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896" windowHeight="1068"/>
  </bookViews>
  <sheets>
    <sheet name="Смета по ФЕР 421пр (12 гр." sheetId="5" r:id="rId1"/>
    <sheet name="Source" sheetId="1" r:id="rId2"/>
    <sheet name="SourceObSm" sheetId="2" r:id="rId3"/>
    <sheet name="SmtRes" sheetId="3" r:id="rId4"/>
    <sheet name="EtalonRes" sheetId="4" r:id="rId5"/>
  </sheets>
  <definedNames>
    <definedName name="_xlnm.Print_Titles" localSheetId="0">'Смета по ФЕР 421пр (12 гр.'!$46:$46</definedName>
    <definedName name="_xlnm.Print_Area" localSheetId="0">'Смета по ФЕР 421пр (12 гр.'!$A$1:$L$1690</definedName>
  </definedNames>
  <calcPr calcId="124519"/>
</workbook>
</file>

<file path=xl/calcChain.xml><?xml version="1.0" encoding="utf-8"?>
<calcChain xmlns="http://schemas.openxmlformats.org/spreadsheetml/2006/main">
  <c r="CC23" i="5"/>
  <c r="CC18"/>
  <c r="H1688"/>
  <c r="H1685"/>
  <c r="C1688"/>
  <c r="C1685"/>
  <c r="J38"/>
  <c r="J37"/>
  <c r="I36"/>
  <c r="J36"/>
  <c r="C40"/>
  <c r="D40"/>
  <c r="C39"/>
  <c r="D39"/>
  <c r="C38"/>
  <c r="D38"/>
  <c r="C37"/>
  <c r="D37"/>
  <c r="C34"/>
  <c r="D34"/>
  <c r="L1682"/>
  <c r="L1681"/>
  <c r="L1679"/>
  <c r="J1679"/>
  <c r="L1678"/>
  <c r="K1678"/>
  <c r="B1678"/>
  <c r="J1678"/>
  <c r="L1677"/>
  <c r="K1677"/>
  <c r="B1677"/>
  <c r="J1677"/>
  <c r="L1675"/>
  <c r="J1675"/>
  <c r="L1674"/>
  <c r="K1674"/>
  <c r="B1674"/>
  <c r="J1674"/>
  <c r="L1673"/>
  <c r="J1673"/>
  <c r="L1672"/>
  <c r="J1672"/>
  <c r="L1671"/>
  <c r="J1671"/>
  <c r="L1670"/>
  <c r="K1670"/>
  <c r="B1670"/>
  <c r="J1670"/>
  <c r="K1669"/>
  <c r="B1669"/>
  <c r="J1669"/>
  <c r="L1669" s="1"/>
  <c r="L1665" s="1"/>
  <c r="L1668"/>
  <c r="K1668"/>
  <c r="B1668"/>
  <c r="J1668"/>
  <c r="L1667"/>
  <c r="J1667"/>
  <c r="L1662"/>
  <c r="L1661"/>
  <c r="J1659"/>
  <c r="J1658"/>
  <c r="J1657"/>
  <c r="J1652" s="1"/>
  <c r="J1656"/>
  <c r="J1655"/>
  <c r="J1654"/>
  <c r="J1653"/>
  <c r="J1651"/>
  <c r="J1650"/>
  <c r="Z1646"/>
  <c r="W1646"/>
  <c r="U1646"/>
  <c r="P1646"/>
  <c r="AO1646"/>
  <c r="AZ1646"/>
  <c r="AP1646"/>
  <c r="X1646"/>
  <c r="V1646"/>
  <c r="R1646"/>
  <c r="Q1646"/>
  <c r="BA1646"/>
  <c r="AQ1646"/>
  <c r="AN1646"/>
  <c r="C1645"/>
  <c r="J1643"/>
  <c r="AX1646" s="1"/>
  <c r="H1643"/>
  <c r="E1643"/>
  <c r="AT1643"/>
  <c r="AS1643"/>
  <c r="AF1643"/>
  <c r="BD1643" s="1"/>
  <c r="AD1643"/>
  <c r="BC1643" s="1"/>
  <c r="AE1643"/>
  <c r="AC1643"/>
  <c r="G1643"/>
  <c r="D1643"/>
  <c r="C1643"/>
  <c r="B1643"/>
  <c r="A1643"/>
  <c r="Z1642"/>
  <c r="W1642"/>
  <c r="U1642"/>
  <c r="P1642"/>
  <c r="AO1642"/>
  <c r="AZ1642"/>
  <c r="AP1642"/>
  <c r="X1642"/>
  <c r="V1642"/>
  <c r="R1642"/>
  <c r="Q1642"/>
  <c r="BA1642"/>
  <c r="AQ1642"/>
  <c r="AN1642"/>
  <c r="C1641"/>
  <c r="J1639"/>
  <c r="AX1642" s="1"/>
  <c r="H1639"/>
  <c r="E1639"/>
  <c r="AT1639"/>
  <c r="AS1639"/>
  <c r="AF1639"/>
  <c r="BD1639" s="1"/>
  <c r="AD1639"/>
  <c r="BC1639" s="1"/>
  <c r="AE1639"/>
  <c r="AC1639"/>
  <c r="G1639"/>
  <c r="D1639"/>
  <c r="C1639"/>
  <c r="B1639"/>
  <c r="A1639"/>
  <c r="Z1638"/>
  <c r="W1638"/>
  <c r="U1638"/>
  <c r="P1638"/>
  <c r="AO1638"/>
  <c r="AZ1638"/>
  <c r="AP1638"/>
  <c r="X1638"/>
  <c r="V1638"/>
  <c r="R1638"/>
  <c r="Q1638"/>
  <c r="BA1638"/>
  <c r="AQ1638"/>
  <c r="AN1638"/>
  <c r="C1637"/>
  <c r="J1635"/>
  <c r="AX1638" s="1"/>
  <c r="H1635"/>
  <c r="E1635"/>
  <c r="AT1635"/>
  <c r="AS1635"/>
  <c r="AF1635"/>
  <c r="BD1635" s="1"/>
  <c r="AD1635"/>
  <c r="BC1635" s="1"/>
  <c r="AE1635"/>
  <c r="AC1635"/>
  <c r="G1635"/>
  <c r="D1635"/>
  <c r="C1635"/>
  <c r="B1635"/>
  <c r="A1635"/>
  <c r="Z1634"/>
  <c r="W1634"/>
  <c r="U1634"/>
  <c r="P1634"/>
  <c r="AO1634"/>
  <c r="AZ1634"/>
  <c r="AP1634"/>
  <c r="X1634"/>
  <c r="V1634"/>
  <c r="R1634"/>
  <c r="Q1634"/>
  <c r="BA1634"/>
  <c r="AQ1634"/>
  <c r="AN1634"/>
  <c r="C1633"/>
  <c r="J1631"/>
  <c r="AX1634" s="1"/>
  <c r="H1631"/>
  <c r="E1631"/>
  <c r="AT1631"/>
  <c r="AS1631"/>
  <c r="AF1631"/>
  <c r="BD1631" s="1"/>
  <c r="AD1631"/>
  <c r="BC1631" s="1"/>
  <c r="AE1631"/>
  <c r="AC1631"/>
  <c r="G1631"/>
  <c r="D1631"/>
  <c r="C1631"/>
  <c r="B1631"/>
  <c r="A1631"/>
  <c r="Z1630"/>
  <c r="W1630"/>
  <c r="U1630"/>
  <c r="P1630"/>
  <c r="AO1630"/>
  <c r="AZ1630"/>
  <c r="AP1630"/>
  <c r="X1630"/>
  <c r="V1630"/>
  <c r="R1630"/>
  <c r="Q1630"/>
  <c r="BA1630"/>
  <c r="AQ1630"/>
  <c r="AN1630"/>
  <c r="C1629"/>
  <c r="J1627"/>
  <c r="AX1630" s="1"/>
  <c r="H1627"/>
  <c r="E1627"/>
  <c r="AT1627"/>
  <c r="AS1627"/>
  <c r="AF1627"/>
  <c r="BD1627" s="1"/>
  <c r="AD1627"/>
  <c r="BC1627" s="1"/>
  <c r="AE1627"/>
  <c r="AC1627"/>
  <c r="G1627"/>
  <c r="D1627"/>
  <c r="C1627"/>
  <c r="B1627"/>
  <c r="A1627"/>
  <c r="C1626"/>
  <c r="Z1625"/>
  <c r="P1625"/>
  <c r="AO1625"/>
  <c r="AP1625"/>
  <c r="AQ1625"/>
  <c r="AN1625"/>
  <c r="G1624"/>
  <c r="E1624"/>
  <c r="G1623"/>
  <c r="E1623"/>
  <c r="G1620"/>
  <c r="F1620"/>
  <c r="E1620"/>
  <c r="G1619"/>
  <c r="F1619"/>
  <c r="E1619"/>
  <c r="J1618"/>
  <c r="AB1625" s="1"/>
  <c r="H1618"/>
  <c r="L1617"/>
  <c r="W1625" s="1"/>
  <c r="K1617"/>
  <c r="J1617"/>
  <c r="V1625" s="1"/>
  <c r="I1617"/>
  <c r="H1617"/>
  <c r="J1616"/>
  <c r="AZ1625" s="1"/>
  <c r="I1616"/>
  <c r="H1616"/>
  <c r="L1615"/>
  <c r="U1625" s="1"/>
  <c r="L1622" s="1"/>
  <c r="K1615"/>
  <c r="J1615"/>
  <c r="Q1625" s="1"/>
  <c r="J1622" s="1"/>
  <c r="I1615"/>
  <c r="H1615"/>
  <c r="H1621" s="1"/>
  <c r="C1614"/>
  <c r="E1612"/>
  <c r="AT1612"/>
  <c r="AS1612"/>
  <c r="AF1612"/>
  <c r="L1624" s="1"/>
  <c r="AD1612"/>
  <c r="L1623" s="1"/>
  <c r="AE1612"/>
  <c r="J1624" s="1"/>
  <c r="AC1612"/>
  <c r="J1623" s="1"/>
  <c r="G1612"/>
  <c r="D1612"/>
  <c r="B1612"/>
  <c r="A1612"/>
  <c r="Z1611"/>
  <c r="P1611"/>
  <c r="AO1611"/>
  <c r="AP1611"/>
  <c r="AQ1611"/>
  <c r="AN1611"/>
  <c r="G1610"/>
  <c r="E1610"/>
  <c r="G1609"/>
  <c r="E1609"/>
  <c r="G1606"/>
  <c r="F1606"/>
  <c r="E1606"/>
  <c r="G1605"/>
  <c r="F1605"/>
  <c r="E1605"/>
  <c r="J1604"/>
  <c r="AB1611" s="1"/>
  <c r="H1604"/>
  <c r="L1603"/>
  <c r="W1611" s="1"/>
  <c r="K1603"/>
  <c r="J1603"/>
  <c r="V1611" s="1"/>
  <c r="I1603"/>
  <c r="H1603"/>
  <c r="J1602"/>
  <c r="AZ1611" s="1"/>
  <c r="I1602"/>
  <c r="H1602"/>
  <c r="L1601"/>
  <c r="U1611" s="1"/>
  <c r="L1608" s="1"/>
  <c r="K1601"/>
  <c r="J1601"/>
  <c r="Q1611" s="1"/>
  <c r="J1608" s="1"/>
  <c r="I1601"/>
  <c r="H1601"/>
  <c r="H1607" s="1"/>
  <c r="C1600"/>
  <c r="E1598"/>
  <c r="AT1598"/>
  <c r="AS1598"/>
  <c r="AF1598"/>
  <c r="L1610" s="1"/>
  <c r="AD1598"/>
  <c r="L1609" s="1"/>
  <c r="AE1598"/>
  <c r="J1610" s="1"/>
  <c r="AC1598"/>
  <c r="J1609" s="1"/>
  <c r="G1598"/>
  <c r="D1598"/>
  <c r="B1598"/>
  <c r="A1598"/>
  <c r="Z1597"/>
  <c r="P1597"/>
  <c r="AO1597"/>
  <c r="AP1597"/>
  <c r="AQ1597"/>
  <c r="AN1597"/>
  <c r="G1596"/>
  <c r="E1596"/>
  <c r="G1595"/>
  <c r="E1595"/>
  <c r="G1592"/>
  <c r="F1592"/>
  <c r="E1592"/>
  <c r="G1591"/>
  <c r="F1591"/>
  <c r="E1591"/>
  <c r="J1590"/>
  <c r="AB1597" s="1"/>
  <c r="H1590"/>
  <c r="L1589"/>
  <c r="W1597" s="1"/>
  <c r="K1589"/>
  <c r="J1589"/>
  <c r="V1597" s="1"/>
  <c r="I1589"/>
  <c r="H1589"/>
  <c r="J1588"/>
  <c r="AZ1597" s="1"/>
  <c r="I1588"/>
  <c r="H1588"/>
  <c r="L1587"/>
  <c r="U1597" s="1"/>
  <c r="L1594" s="1"/>
  <c r="K1587"/>
  <c r="J1587"/>
  <c r="Q1597" s="1"/>
  <c r="J1594" s="1"/>
  <c r="I1587"/>
  <c r="H1587"/>
  <c r="H1593" s="1"/>
  <c r="C1586"/>
  <c r="E1584"/>
  <c r="AT1584"/>
  <c r="AS1584"/>
  <c r="AF1584"/>
  <c r="L1596" s="1"/>
  <c r="AD1584"/>
  <c r="L1595" s="1"/>
  <c r="AE1584"/>
  <c r="J1596" s="1"/>
  <c r="AC1584"/>
  <c r="J1595" s="1"/>
  <c r="G1584"/>
  <c r="D1584"/>
  <c r="B1584"/>
  <c r="A1584"/>
  <c r="Z1583"/>
  <c r="P1583"/>
  <c r="AO1583"/>
  <c r="AP1583"/>
  <c r="AQ1583"/>
  <c r="AN1583"/>
  <c r="G1582"/>
  <c r="E1582"/>
  <c r="G1581"/>
  <c r="E1581"/>
  <c r="G1578"/>
  <c r="F1578"/>
  <c r="E1578"/>
  <c r="G1577"/>
  <c r="F1577"/>
  <c r="E1577"/>
  <c r="J1576"/>
  <c r="AB1583" s="1"/>
  <c r="H1576"/>
  <c r="L1575"/>
  <c r="W1583" s="1"/>
  <c r="K1575"/>
  <c r="J1575"/>
  <c r="V1583" s="1"/>
  <c r="I1575"/>
  <c r="H1575"/>
  <c r="J1574"/>
  <c r="AZ1583" s="1"/>
  <c r="I1574"/>
  <c r="H1574"/>
  <c r="L1573"/>
  <c r="U1583" s="1"/>
  <c r="L1580" s="1"/>
  <c r="K1573"/>
  <c r="J1573"/>
  <c r="Q1583" s="1"/>
  <c r="J1580" s="1"/>
  <c r="I1573"/>
  <c r="H1573"/>
  <c r="H1579" s="1"/>
  <c r="C1572"/>
  <c r="E1570"/>
  <c r="AT1570"/>
  <c r="AS1570"/>
  <c r="AF1570"/>
  <c r="L1582" s="1"/>
  <c r="AD1570"/>
  <c r="L1581" s="1"/>
  <c r="AE1570"/>
  <c r="J1582" s="1"/>
  <c r="AC1570"/>
  <c r="J1581" s="1"/>
  <c r="G1570"/>
  <c r="D1570"/>
  <c r="B1570"/>
  <c r="A1570"/>
  <c r="Z1569"/>
  <c r="P1569"/>
  <c r="AO1569"/>
  <c r="AP1569"/>
  <c r="AQ1569"/>
  <c r="AN1569"/>
  <c r="G1568"/>
  <c r="E1568"/>
  <c r="G1567"/>
  <c r="E1567"/>
  <c r="G1564"/>
  <c r="F1564"/>
  <c r="E1564"/>
  <c r="G1563"/>
  <c r="F1563"/>
  <c r="E1563"/>
  <c r="J1562"/>
  <c r="AB1569" s="1"/>
  <c r="H1562"/>
  <c r="L1561"/>
  <c r="W1569" s="1"/>
  <c r="K1561"/>
  <c r="J1561"/>
  <c r="V1569" s="1"/>
  <c r="I1561"/>
  <c r="H1561"/>
  <c r="J1560"/>
  <c r="AZ1569" s="1"/>
  <c r="I1560"/>
  <c r="H1560"/>
  <c r="L1559"/>
  <c r="U1569" s="1"/>
  <c r="L1566" s="1"/>
  <c r="K1559"/>
  <c r="J1559"/>
  <c r="Q1569" s="1"/>
  <c r="J1566" s="1"/>
  <c r="I1559"/>
  <c r="H1559"/>
  <c r="H1565" s="1"/>
  <c r="C1558"/>
  <c r="E1556"/>
  <c r="AT1556"/>
  <c r="AS1556"/>
  <c r="AF1556"/>
  <c r="L1568" s="1"/>
  <c r="AD1556"/>
  <c r="L1567" s="1"/>
  <c r="AE1556"/>
  <c r="J1568" s="1"/>
  <c r="AC1556"/>
  <c r="J1567" s="1"/>
  <c r="G1556"/>
  <c r="D1556"/>
  <c r="B1556"/>
  <c r="A1556"/>
  <c r="C1555"/>
  <c r="Z1554"/>
  <c r="W1554"/>
  <c r="U1554"/>
  <c r="P1554"/>
  <c r="AY1554"/>
  <c r="AZ1554"/>
  <c r="AP1554"/>
  <c r="X1554"/>
  <c r="V1554"/>
  <c r="R1554"/>
  <c r="Q1554"/>
  <c r="BA1554"/>
  <c r="AQ1554"/>
  <c r="AX1554"/>
  <c r="J1552"/>
  <c r="AN1554" s="1"/>
  <c r="H1552"/>
  <c r="E1552"/>
  <c r="BD1552"/>
  <c r="BC1552"/>
  <c r="AF1552"/>
  <c r="AT1552" s="1"/>
  <c r="AD1552"/>
  <c r="AS1552" s="1"/>
  <c r="AE1552"/>
  <c r="AC1552"/>
  <c r="G1552"/>
  <c r="D1552"/>
  <c r="C1552"/>
  <c r="B1552"/>
  <c r="A1552"/>
  <c r="Z1551"/>
  <c r="P1551"/>
  <c r="AY1551"/>
  <c r="AZ1551"/>
  <c r="BA1551"/>
  <c r="AX1551"/>
  <c r="G1550"/>
  <c r="F1550"/>
  <c r="E1550"/>
  <c r="G1549"/>
  <c r="F1549"/>
  <c r="E1549"/>
  <c r="G1546"/>
  <c r="F1546"/>
  <c r="E1546"/>
  <c r="G1545"/>
  <c r="F1545"/>
  <c r="E1545"/>
  <c r="J1544"/>
  <c r="AB1551" s="1"/>
  <c r="H1544"/>
  <c r="L1543"/>
  <c r="W1551" s="1"/>
  <c r="K1543"/>
  <c r="J1543"/>
  <c r="V1551" s="1"/>
  <c r="I1543"/>
  <c r="H1543"/>
  <c r="J1542"/>
  <c r="AP1551" s="1"/>
  <c r="I1542"/>
  <c r="H1542"/>
  <c r="L1541"/>
  <c r="U1551" s="1"/>
  <c r="L1548" s="1"/>
  <c r="K1541"/>
  <c r="J1541"/>
  <c r="Q1551" s="1"/>
  <c r="J1548" s="1"/>
  <c r="I1541"/>
  <c r="H1541"/>
  <c r="H1547" s="1"/>
  <c r="C1540"/>
  <c r="E1538"/>
  <c r="BD1538"/>
  <c r="BC1538"/>
  <c r="AF1538"/>
  <c r="L1550" s="1"/>
  <c r="AD1538"/>
  <c r="L1549" s="1"/>
  <c r="AE1538"/>
  <c r="J1550" s="1"/>
  <c r="AC1538"/>
  <c r="J1549" s="1"/>
  <c r="G1538"/>
  <c r="D1538"/>
  <c r="B1538"/>
  <c r="A1538"/>
  <c r="Z1537"/>
  <c r="W1537"/>
  <c r="U1537"/>
  <c r="P1537"/>
  <c r="AY1537"/>
  <c r="AZ1537"/>
  <c r="AP1537"/>
  <c r="X1537"/>
  <c r="V1537"/>
  <c r="R1537"/>
  <c r="Q1537"/>
  <c r="BA1537"/>
  <c r="AQ1537"/>
  <c r="AX1537"/>
  <c r="J1535"/>
  <c r="AN1537" s="1"/>
  <c r="H1535"/>
  <c r="E1535"/>
  <c r="BD1535"/>
  <c r="BC1535"/>
  <c r="AF1535"/>
  <c r="AT1535" s="1"/>
  <c r="AD1535"/>
  <c r="AS1535" s="1"/>
  <c r="AE1535"/>
  <c r="AC1535"/>
  <c r="G1535"/>
  <c r="D1535"/>
  <c r="C1535"/>
  <c r="B1535"/>
  <c r="A1535"/>
  <c r="Z1534"/>
  <c r="P1534"/>
  <c r="AY1534"/>
  <c r="AZ1534"/>
  <c r="BA1534"/>
  <c r="AX1534"/>
  <c r="G1533"/>
  <c r="F1533"/>
  <c r="E1533"/>
  <c r="G1532"/>
  <c r="F1532"/>
  <c r="E1532"/>
  <c r="G1529"/>
  <c r="F1529"/>
  <c r="E1529"/>
  <c r="G1528"/>
  <c r="F1528"/>
  <c r="E1528"/>
  <c r="J1527"/>
  <c r="AB1534" s="1"/>
  <c r="H1527"/>
  <c r="L1526"/>
  <c r="W1534" s="1"/>
  <c r="K1526"/>
  <c r="J1526"/>
  <c r="V1534" s="1"/>
  <c r="I1526"/>
  <c r="H1526"/>
  <c r="J1525"/>
  <c r="X1534" s="1"/>
  <c r="I1525"/>
  <c r="H1525"/>
  <c r="L1524"/>
  <c r="U1534" s="1"/>
  <c r="L1531" s="1"/>
  <c r="K1524"/>
  <c r="J1524"/>
  <c r="R1534" s="1"/>
  <c r="I1524"/>
  <c r="H1524"/>
  <c r="H1530" s="1"/>
  <c r="C1523"/>
  <c r="E1521"/>
  <c r="BD1521"/>
  <c r="BC1521"/>
  <c r="AF1521"/>
  <c r="L1533" s="1"/>
  <c r="AD1521"/>
  <c r="AS1521" s="1"/>
  <c r="AE1521"/>
  <c r="J1533" s="1"/>
  <c r="AC1521"/>
  <c r="J1532" s="1"/>
  <c r="G1521"/>
  <c r="D1521"/>
  <c r="B1521"/>
  <c r="A1521"/>
  <c r="Z1520"/>
  <c r="P1520"/>
  <c r="AY1520"/>
  <c r="AZ1520"/>
  <c r="BA1520"/>
  <c r="AX1520"/>
  <c r="G1519"/>
  <c r="F1519"/>
  <c r="E1519"/>
  <c r="G1518"/>
  <c r="F1518"/>
  <c r="E1518"/>
  <c r="G1515"/>
  <c r="F1515"/>
  <c r="E1515"/>
  <c r="G1514"/>
  <c r="F1514"/>
  <c r="E1514"/>
  <c r="J1513"/>
  <c r="AB1520" s="1"/>
  <c r="H1513"/>
  <c r="L1512"/>
  <c r="W1520" s="1"/>
  <c r="K1512"/>
  <c r="J1512"/>
  <c r="V1520" s="1"/>
  <c r="I1512"/>
  <c r="H1512"/>
  <c r="J1511"/>
  <c r="X1520" s="1"/>
  <c r="I1511"/>
  <c r="H1511"/>
  <c r="L1510"/>
  <c r="U1520" s="1"/>
  <c r="L1517" s="1"/>
  <c r="K1510"/>
  <c r="J1510"/>
  <c r="R1520" s="1"/>
  <c r="I1510"/>
  <c r="H1510"/>
  <c r="H1516" s="1"/>
  <c r="C1509"/>
  <c r="E1507"/>
  <c r="BD1507"/>
  <c r="BC1507"/>
  <c r="AF1507"/>
  <c r="L1519" s="1"/>
  <c r="AD1507"/>
  <c r="AS1507" s="1"/>
  <c r="AE1507"/>
  <c r="J1519" s="1"/>
  <c r="AC1507"/>
  <c r="J1518" s="1"/>
  <c r="G1507"/>
  <c r="D1507"/>
  <c r="B1507"/>
  <c r="A1507"/>
  <c r="Z1506"/>
  <c r="P1506"/>
  <c r="AY1506"/>
  <c r="AZ1506"/>
  <c r="BA1506"/>
  <c r="AX1506"/>
  <c r="G1505"/>
  <c r="F1505"/>
  <c r="E1505"/>
  <c r="G1504"/>
  <c r="F1504"/>
  <c r="E1504"/>
  <c r="G1501"/>
  <c r="F1501"/>
  <c r="E1501"/>
  <c r="G1500"/>
  <c r="F1500"/>
  <c r="E1500"/>
  <c r="J1499"/>
  <c r="AB1506" s="1"/>
  <c r="H1499"/>
  <c r="L1498"/>
  <c r="W1506" s="1"/>
  <c r="K1498"/>
  <c r="J1498"/>
  <c r="V1506" s="1"/>
  <c r="I1498"/>
  <c r="H1498"/>
  <c r="J1497"/>
  <c r="X1506" s="1"/>
  <c r="I1497"/>
  <c r="H1497"/>
  <c r="L1496"/>
  <c r="U1506" s="1"/>
  <c r="L1503" s="1"/>
  <c r="K1496"/>
  <c r="J1496"/>
  <c r="R1506" s="1"/>
  <c r="I1496"/>
  <c r="H1496"/>
  <c r="H1502" s="1"/>
  <c r="C1495"/>
  <c r="E1493"/>
  <c r="BD1493"/>
  <c r="BC1493"/>
  <c r="AF1493"/>
  <c r="L1505" s="1"/>
  <c r="AD1493"/>
  <c r="AS1493" s="1"/>
  <c r="AE1493"/>
  <c r="J1505" s="1"/>
  <c r="AC1493"/>
  <c r="J1504" s="1"/>
  <c r="G1493"/>
  <c r="D1493"/>
  <c r="B1493"/>
  <c r="A1493"/>
  <c r="Z1492"/>
  <c r="P1492"/>
  <c r="AY1492"/>
  <c r="AZ1492"/>
  <c r="BA1492"/>
  <c r="AX1492"/>
  <c r="G1491"/>
  <c r="F1491"/>
  <c r="E1491"/>
  <c r="G1490"/>
  <c r="F1490"/>
  <c r="E1490"/>
  <c r="G1487"/>
  <c r="F1487"/>
  <c r="E1487"/>
  <c r="G1486"/>
  <c r="F1486"/>
  <c r="E1486"/>
  <c r="J1485"/>
  <c r="AB1492" s="1"/>
  <c r="H1485"/>
  <c r="L1484"/>
  <c r="W1492" s="1"/>
  <c r="K1484"/>
  <c r="J1484"/>
  <c r="V1492" s="1"/>
  <c r="I1484"/>
  <c r="H1484"/>
  <c r="J1483"/>
  <c r="X1492" s="1"/>
  <c r="I1483"/>
  <c r="H1483"/>
  <c r="L1482"/>
  <c r="U1492" s="1"/>
  <c r="L1489" s="1"/>
  <c r="K1482"/>
  <c r="J1482"/>
  <c r="R1492" s="1"/>
  <c r="I1482"/>
  <c r="H1482"/>
  <c r="H1488" s="1"/>
  <c r="C1481"/>
  <c r="E1479"/>
  <c r="BD1479"/>
  <c r="BC1479"/>
  <c r="AF1479"/>
  <c r="L1491" s="1"/>
  <c r="AD1479"/>
  <c r="AS1479" s="1"/>
  <c r="AE1479"/>
  <c r="J1491" s="1"/>
  <c r="AC1479"/>
  <c r="J1490" s="1"/>
  <c r="G1479"/>
  <c r="D1479"/>
  <c r="B1479"/>
  <c r="A1479"/>
  <c r="Z1478"/>
  <c r="W1478"/>
  <c r="U1478"/>
  <c r="P1478"/>
  <c r="AO1478"/>
  <c r="AZ1478"/>
  <c r="AP1478"/>
  <c r="X1478"/>
  <c r="V1478"/>
  <c r="R1478"/>
  <c r="Q1478"/>
  <c r="BA1478"/>
  <c r="AQ1478"/>
  <c r="AN1478"/>
  <c r="I1478"/>
  <c r="AY1478" s="1"/>
  <c r="J1476"/>
  <c r="AX1478" s="1"/>
  <c r="H1476"/>
  <c r="E1476"/>
  <c r="AT1476"/>
  <c r="AS1476"/>
  <c r="AF1476"/>
  <c r="BD1476" s="1"/>
  <c r="AD1476"/>
  <c r="BC1476" s="1"/>
  <c r="AE1476"/>
  <c r="AC1476"/>
  <c r="G1476"/>
  <c r="D1476"/>
  <c r="C1476"/>
  <c r="B1476"/>
  <c r="A1476"/>
  <c r="Z1475"/>
  <c r="W1475"/>
  <c r="U1475"/>
  <c r="P1475"/>
  <c r="AO1475"/>
  <c r="AZ1475"/>
  <c r="AP1475"/>
  <c r="X1475"/>
  <c r="V1475"/>
  <c r="R1475"/>
  <c r="Q1475"/>
  <c r="BA1475"/>
  <c r="AQ1475"/>
  <c r="AX1475"/>
  <c r="AN1475"/>
  <c r="C1474"/>
  <c r="J1472"/>
  <c r="I1475" s="1"/>
  <c r="H1472"/>
  <c r="E1472"/>
  <c r="AT1472"/>
  <c r="AS1472"/>
  <c r="AF1472"/>
  <c r="BD1472" s="1"/>
  <c r="AD1472"/>
  <c r="BC1472" s="1"/>
  <c r="AE1472"/>
  <c r="AC1472"/>
  <c r="G1472"/>
  <c r="D1472"/>
  <c r="C1472"/>
  <c r="B1472"/>
  <c r="A1472"/>
  <c r="Z1471"/>
  <c r="P1471"/>
  <c r="AY1471"/>
  <c r="AZ1471"/>
  <c r="BA1471"/>
  <c r="AX1471"/>
  <c r="G1470"/>
  <c r="F1470"/>
  <c r="E1470"/>
  <c r="G1469"/>
  <c r="F1469"/>
  <c r="E1469"/>
  <c r="G1466"/>
  <c r="F1466"/>
  <c r="E1466"/>
  <c r="G1465"/>
  <c r="F1465"/>
  <c r="E1465"/>
  <c r="J1464"/>
  <c r="AB1471" s="1"/>
  <c r="H1464"/>
  <c r="L1463"/>
  <c r="W1471" s="1"/>
  <c r="K1463"/>
  <c r="J1463"/>
  <c r="V1471" s="1"/>
  <c r="I1463"/>
  <c r="H1463"/>
  <c r="J1462"/>
  <c r="AP1471" s="1"/>
  <c r="I1462"/>
  <c r="H1462"/>
  <c r="L1461"/>
  <c r="U1471" s="1"/>
  <c r="L1468" s="1"/>
  <c r="K1461"/>
  <c r="J1461"/>
  <c r="Q1471" s="1"/>
  <c r="J1468" s="1"/>
  <c r="I1461"/>
  <c r="H1461"/>
  <c r="H1467" s="1"/>
  <c r="C1460"/>
  <c r="E1458"/>
  <c r="BD1458"/>
  <c r="BC1458"/>
  <c r="AF1458"/>
  <c r="L1470" s="1"/>
  <c r="AD1458"/>
  <c r="L1469" s="1"/>
  <c r="AE1458"/>
  <c r="J1470" s="1"/>
  <c r="AC1458"/>
  <c r="J1469" s="1"/>
  <c r="G1458"/>
  <c r="D1458"/>
  <c r="B1458"/>
  <c r="A1458"/>
  <c r="Z1457"/>
  <c r="P1457"/>
  <c r="AY1457"/>
  <c r="AZ1457"/>
  <c r="BA1457"/>
  <c r="AX1457"/>
  <c r="G1456"/>
  <c r="F1456"/>
  <c r="E1456"/>
  <c r="G1455"/>
  <c r="F1455"/>
  <c r="E1455"/>
  <c r="G1452"/>
  <c r="F1452"/>
  <c r="E1452"/>
  <c r="G1451"/>
  <c r="F1451"/>
  <c r="E1451"/>
  <c r="J1450"/>
  <c r="AB1457" s="1"/>
  <c r="H1450"/>
  <c r="L1449"/>
  <c r="W1457" s="1"/>
  <c r="K1449"/>
  <c r="J1449"/>
  <c r="V1457" s="1"/>
  <c r="I1449"/>
  <c r="H1449"/>
  <c r="J1448"/>
  <c r="AP1457" s="1"/>
  <c r="I1448"/>
  <c r="H1448"/>
  <c r="L1447"/>
  <c r="U1457" s="1"/>
  <c r="L1454" s="1"/>
  <c r="K1447"/>
  <c r="J1447"/>
  <c r="Q1457" s="1"/>
  <c r="J1454" s="1"/>
  <c r="I1447"/>
  <c r="H1447"/>
  <c r="H1453" s="1"/>
  <c r="C1446"/>
  <c r="E1444"/>
  <c r="BD1444"/>
  <c r="BC1444"/>
  <c r="AF1444"/>
  <c r="L1456" s="1"/>
  <c r="AD1444"/>
  <c r="L1455" s="1"/>
  <c r="AE1444"/>
  <c r="J1456" s="1"/>
  <c r="AC1444"/>
  <c r="J1455" s="1"/>
  <c r="G1444"/>
  <c r="D1444"/>
  <c r="B1444"/>
  <c r="A1444"/>
  <c r="Z1443"/>
  <c r="W1443"/>
  <c r="U1443"/>
  <c r="P1443"/>
  <c r="AY1443"/>
  <c r="AZ1443"/>
  <c r="AP1443"/>
  <c r="X1443"/>
  <c r="V1443"/>
  <c r="R1443"/>
  <c r="Q1443"/>
  <c r="BA1443"/>
  <c r="AQ1443"/>
  <c r="AX1443"/>
  <c r="J1441"/>
  <c r="AN1443" s="1"/>
  <c r="H1441"/>
  <c r="E1441"/>
  <c r="BD1441"/>
  <c r="BC1441"/>
  <c r="AF1441"/>
  <c r="AT1441" s="1"/>
  <c r="AD1441"/>
  <c r="AS1441" s="1"/>
  <c r="AE1441"/>
  <c r="AC1441"/>
  <c r="G1441"/>
  <c r="D1441"/>
  <c r="C1441"/>
  <c r="B1441"/>
  <c r="A1441"/>
  <c r="Z1440"/>
  <c r="W1440"/>
  <c r="U1440"/>
  <c r="P1440"/>
  <c r="AY1440"/>
  <c r="AZ1440"/>
  <c r="AP1440"/>
  <c r="X1440"/>
  <c r="V1440"/>
  <c r="R1440"/>
  <c r="Q1440"/>
  <c r="BA1440"/>
  <c r="AQ1440"/>
  <c r="AX1440"/>
  <c r="C1439"/>
  <c r="J1437"/>
  <c r="AN1440" s="1"/>
  <c r="H1437"/>
  <c r="E1437"/>
  <c r="BD1437"/>
  <c r="BC1437"/>
  <c r="AF1437"/>
  <c r="AT1437" s="1"/>
  <c r="AD1437"/>
  <c r="AS1437" s="1"/>
  <c r="AE1437"/>
  <c r="AC1437"/>
  <c r="G1437"/>
  <c r="D1437"/>
  <c r="C1437"/>
  <c r="B1437"/>
  <c r="A1437"/>
  <c r="Z1436"/>
  <c r="P1436"/>
  <c r="AY1436"/>
  <c r="AZ1436"/>
  <c r="BA1436"/>
  <c r="AX1436"/>
  <c r="G1435"/>
  <c r="F1435"/>
  <c r="E1435"/>
  <c r="G1434"/>
  <c r="F1434"/>
  <c r="E1434"/>
  <c r="G1431"/>
  <c r="F1431"/>
  <c r="E1431"/>
  <c r="G1430"/>
  <c r="F1430"/>
  <c r="E1430"/>
  <c r="J1429"/>
  <c r="AB1436" s="1"/>
  <c r="H1429"/>
  <c r="L1428"/>
  <c r="W1436" s="1"/>
  <c r="K1428"/>
  <c r="J1428"/>
  <c r="V1436" s="1"/>
  <c r="I1428"/>
  <c r="H1428"/>
  <c r="J1427"/>
  <c r="X1436" s="1"/>
  <c r="I1427"/>
  <c r="H1427"/>
  <c r="L1426"/>
  <c r="U1436" s="1"/>
  <c r="L1433" s="1"/>
  <c r="K1426"/>
  <c r="J1426"/>
  <c r="R1436" s="1"/>
  <c r="I1426"/>
  <c r="H1426"/>
  <c r="H1432" s="1"/>
  <c r="C1425"/>
  <c r="E1423"/>
  <c r="BD1423"/>
  <c r="BC1423"/>
  <c r="AF1423"/>
  <c r="L1435" s="1"/>
  <c r="AD1423"/>
  <c r="AS1423" s="1"/>
  <c r="AE1423"/>
  <c r="J1435" s="1"/>
  <c r="AC1423"/>
  <c r="J1434" s="1"/>
  <c r="G1423"/>
  <c r="D1423"/>
  <c r="B1423"/>
  <c r="A1423"/>
  <c r="Z1422"/>
  <c r="P1422"/>
  <c r="AY1422"/>
  <c r="AZ1422"/>
  <c r="BA1422"/>
  <c r="AX1422"/>
  <c r="G1421"/>
  <c r="F1421"/>
  <c r="E1421"/>
  <c r="G1420"/>
  <c r="F1420"/>
  <c r="E1420"/>
  <c r="G1417"/>
  <c r="F1417"/>
  <c r="E1417"/>
  <c r="G1416"/>
  <c r="F1416"/>
  <c r="E1416"/>
  <c r="J1415"/>
  <c r="AB1422" s="1"/>
  <c r="H1415"/>
  <c r="L1414"/>
  <c r="W1422" s="1"/>
  <c r="K1414"/>
  <c r="J1414"/>
  <c r="V1422" s="1"/>
  <c r="I1414"/>
  <c r="H1414"/>
  <c r="J1413"/>
  <c r="X1422" s="1"/>
  <c r="I1413"/>
  <c r="H1413"/>
  <c r="L1412"/>
  <c r="U1422" s="1"/>
  <c r="L1419" s="1"/>
  <c r="K1412"/>
  <c r="J1412"/>
  <c r="R1422" s="1"/>
  <c r="I1412"/>
  <c r="H1412"/>
  <c r="H1418" s="1"/>
  <c r="C1411"/>
  <c r="E1409"/>
  <c r="BD1409"/>
  <c r="BC1409"/>
  <c r="AF1409"/>
  <c r="L1421" s="1"/>
  <c r="AD1409"/>
  <c r="AS1409" s="1"/>
  <c r="AE1409"/>
  <c r="J1421" s="1"/>
  <c r="AC1409"/>
  <c r="J1420" s="1"/>
  <c r="G1409"/>
  <c r="D1409"/>
  <c r="B1409"/>
  <c r="A1409"/>
  <c r="Z1408"/>
  <c r="P1408"/>
  <c r="AY1408"/>
  <c r="AZ1408"/>
  <c r="BA1408"/>
  <c r="AX1408"/>
  <c r="G1407"/>
  <c r="F1407"/>
  <c r="E1407"/>
  <c r="G1406"/>
  <c r="F1406"/>
  <c r="E1406"/>
  <c r="G1403"/>
  <c r="F1403"/>
  <c r="E1403"/>
  <c r="G1402"/>
  <c r="F1402"/>
  <c r="E1402"/>
  <c r="J1401"/>
  <c r="AB1408" s="1"/>
  <c r="H1401"/>
  <c r="L1400"/>
  <c r="W1408" s="1"/>
  <c r="K1400"/>
  <c r="J1400"/>
  <c r="V1408" s="1"/>
  <c r="I1400"/>
  <c r="H1400"/>
  <c r="J1399"/>
  <c r="X1408" s="1"/>
  <c r="I1399"/>
  <c r="H1399"/>
  <c r="L1398"/>
  <c r="U1408" s="1"/>
  <c r="L1405" s="1"/>
  <c r="K1398"/>
  <c r="J1398"/>
  <c r="R1408" s="1"/>
  <c r="I1398"/>
  <c r="H1398"/>
  <c r="H1404" s="1"/>
  <c r="C1397"/>
  <c r="E1395"/>
  <c r="BD1395"/>
  <c r="BC1395"/>
  <c r="AF1395"/>
  <c r="L1407" s="1"/>
  <c r="AD1395"/>
  <c r="AS1395" s="1"/>
  <c r="AE1395"/>
  <c r="J1407" s="1"/>
  <c r="AC1395"/>
  <c r="J1406" s="1"/>
  <c r="G1395"/>
  <c r="D1395"/>
  <c r="B1395"/>
  <c r="A1395"/>
  <c r="Z1394"/>
  <c r="P1394"/>
  <c r="AY1394"/>
  <c r="AZ1394"/>
  <c r="BA1394"/>
  <c r="AX1394"/>
  <c r="G1393"/>
  <c r="F1393"/>
  <c r="E1393"/>
  <c r="G1392"/>
  <c r="F1392"/>
  <c r="E1392"/>
  <c r="G1389"/>
  <c r="F1389"/>
  <c r="E1389"/>
  <c r="G1388"/>
  <c r="F1388"/>
  <c r="E1388"/>
  <c r="J1387"/>
  <c r="AB1394" s="1"/>
  <c r="H1387"/>
  <c r="L1386"/>
  <c r="W1394" s="1"/>
  <c r="K1386"/>
  <c r="J1386"/>
  <c r="V1394" s="1"/>
  <c r="I1386"/>
  <c r="H1386"/>
  <c r="J1385"/>
  <c r="X1394" s="1"/>
  <c r="I1385"/>
  <c r="H1385"/>
  <c r="L1384"/>
  <c r="U1394" s="1"/>
  <c r="L1391" s="1"/>
  <c r="K1384"/>
  <c r="J1384"/>
  <c r="R1394" s="1"/>
  <c r="I1384"/>
  <c r="H1384"/>
  <c r="H1390" s="1"/>
  <c r="C1383"/>
  <c r="E1381"/>
  <c r="BD1381"/>
  <c r="BC1381"/>
  <c r="AF1381"/>
  <c r="L1393" s="1"/>
  <c r="AD1381"/>
  <c r="AS1381" s="1"/>
  <c r="AE1381"/>
  <c r="J1393" s="1"/>
  <c r="AC1381"/>
  <c r="J1392" s="1"/>
  <c r="G1381"/>
  <c r="D1381"/>
  <c r="B1381"/>
  <c r="A1381"/>
  <c r="Z1380"/>
  <c r="P1380"/>
  <c r="AY1380"/>
  <c r="AZ1380"/>
  <c r="BA1380"/>
  <c r="AX1380"/>
  <c r="G1379"/>
  <c r="F1379"/>
  <c r="E1379"/>
  <c r="G1378"/>
  <c r="F1378"/>
  <c r="E1378"/>
  <c r="G1375"/>
  <c r="F1375"/>
  <c r="E1375"/>
  <c r="G1374"/>
  <c r="F1374"/>
  <c r="E1374"/>
  <c r="J1373"/>
  <c r="AB1380" s="1"/>
  <c r="H1373"/>
  <c r="L1372"/>
  <c r="W1380" s="1"/>
  <c r="K1372"/>
  <c r="J1372"/>
  <c r="V1380" s="1"/>
  <c r="I1372"/>
  <c r="H1372"/>
  <c r="J1371"/>
  <c r="X1380" s="1"/>
  <c r="I1371"/>
  <c r="H1371"/>
  <c r="L1370"/>
  <c r="U1380" s="1"/>
  <c r="L1377" s="1"/>
  <c r="K1370"/>
  <c r="J1370"/>
  <c r="R1380" s="1"/>
  <c r="I1370"/>
  <c r="H1370"/>
  <c r="H1376" s="1"/>
  <c r="C1369"/>
  <c r="E1367"/>
  <c r="BD1367"/>
  <c r="BC1367"/>
  <c r="AF1367"/>
  <c r="L1379" s="1"/>
  <c r="AD1367"/>
  <c r="AS1367" s="1"/>
  <c r="AE1367"/>
  <c r="J1379" s="1"/>
  <c r="AC1367"/>
  <c r="J1378" s="1"/>
  <c r="G1367"/>
  <c r="D1367"/>
  <c r="B1367"/>
  <c r="A1367"/>
  <c r="Z1366"/>
  <c r="P1366"/>
  <c r="AY1366"/>
  <c r="AZ1366"/>
  <c r="BA1366"/>
  <c r="AX1366"/>
  <c r="G1365"/>
  <c r="F1365"/>
  <c r="E1365"/>
  <c r="G1364"/>
  <c r="F1364"/>
  <c r="E1364"/>
  <c r="G1361"/>
  <c r="F1361"/>
  <c r="E1361"/>
  <c r="G1360"/>
  <c r="F1360"/>
  <c r="E1360"/>
  <c r="J1359"/>
  <c r="AB1366" s="1"/>
  <c r="H1359"/>
  <c r="L1358"/>
  <c r="W1366" s="1"/>
  <c r="K1358"/>
  <c r="J1358"/>
  <c r="V1366" s="1"/>
  <c r="I1358"/>
  <c r="H1358"/>
  <c r="J1357"/>
  <c r="X1366" s="1"/>
  <c r="I1357"/>
  <c r="H1357"/>
  <c r="L1356"/>
  <c r="U1366" s="1"/>
  <c r="L1363" s="1"/>
  <c r="K1356"/>
  <c r="J1356"/>
  <c r="R1366" s="1"/>
  <c r="I1356"/>
  <c r="H1356"/>
  <c r="H1362" s="1"/>
  <c r="C1355"/>
  <c r="E1353"/>
  <c r="BD1353"/>
  <c r="BC1353"/>
  <c r="AF1353"/>
  <c r="L1365" s="1"/>
  <c r="AD1353"/>
  <c r="L1364" s="1"/>
  <c r="AE1353"/>
  <c r="J1365" s="1"/>
  <c r="AC1353"/>
  <c r="J1364" s="1"/>
  <c r="G1353"/>
  <c r="D1353"/>
  <c r="B1353"/>
  <c r="A1353"/>
  <c r="Z1352"/>
  <c r="W1352"/>
  <c r="U1352"/>
  <c r="AY1352"/>
  <c r="AZ1352"/>
  <c r="AP1352"/>
  <c r="X1352"/>
  <c r="V1352"/>
  <c r="R1352"/>
  <c r="Q1352"/>
  <c r="BA1352"/>
  <c r="AQ1352"/>
  <c r="AX1352"/>
  <c r="L1350"/>
  <c r="K1352" s="1"/>
  <c r="J1350"/>
  <c r="AN1352" s="1"/>
  <c r="K1350"/>
  <c r="H1350"/>
  <c r="E1350"/>
  <c r="BD1350"/>
  <c r="BC1350"/>
  <c r="AF1350"/>
  <c r="AT1350" s="1"/>
  <c r="AD1350"/>
  <c r="AS1350" s="1"/>
  <c r="AE1350"/>
  <c r="AC1350"/>
  <c r="G1350"/>
  <c r="D1350"/>
  <c r="C1350"/>
  <c r="B1350"/>
  <c r="A1350"/>
  <c r="Z1349"/>
  <c r="W1349"/>
  <c r="U1349"/>
  <c r="P1349"/>
  <c r="AY1349"/>
  <c r="AZ1349"/>
  <c r="AP1349"/>
  <c r="X1349"/>
  <c r="V1349"/>
  <c r="R1349"/>
  <c r="Q1349"/>
  <c r="BA1349"/>
  <c r="AQ1349"/>
  <c r="AX1349"/>
  <c r="C1348"/>
  <c r="J1346"/>
  <c r="AN1349" s="1"/>
  <c r="H1346"/>
  <c r="E1346"/>
  <c r="BD1346"/>
  <c r="BC1346"/>
  <c r="AF1346"/>
  <c r="AT1346" s="1"/>
  <c r="AD1346"/>
  <c r="AS1346" s="1"/>
  <c r="AE1346"/>
  <c r="AC1346"/>
  <c r="G1346"/>
  <c r="D1346"/>
  <c r="C1346"/>
  <c r="B1346"/>
  <c r="A1346"/>
  <c r="Z1345"/>
  <c r="P1345"/>
  <c r="AY1345"/>
  <c r="AZ1345"/>
  <c r="BA1345"/>
  <c r="AX1345"/>
  <c r="G1344"/>
  <c r="E1344"/>
  <c r="G1343"/>
  <c r="E1343"/>
  <c r="G1340"/>
  <c r="F1340"/>
  <c r="E1340"/>
  <c r="G1339"/>
  <c r="F1339"/>
  <c r="E1339"/>
  <c r="J1338"/>
  <c r="AB1345" s="1"/>
  <c r="H1338"/>
  <c r="L1337"/>
  <c r="W1345" s="1"/>
  <c r="K1337"/>
  <c r="J1337"/>
  <c r="V1345" s="1"/>
  <c r="I1337"/>
  <c r="H1337"/>
  <c r="J1336"/>
  <c r="X1345" s="1"/>
  <c r="I1336"/>
  <c r="H1336"/>
  <c r="L1335"/>
  <c r="U1345" s="1"/>
  <c r="L1342" s="1"/>
  <c r="K1335"/>
  <c r="J1335"/>
  <c r="R1345" s="1"/>
  <c r="I1335"/>
  <c r="H1335"/>
  <c r="H1341" s="1"/>
  <c r="C1334"/>
  <c r="E1332"/>
  <c r="BD1332"/>
  <c r="BC1332"/>
  <c r="AF1332"/>
  <c r="L1344" s="1"/>
  <c r="AD1332"/>
  <c r="AS1332" s="1"/>
  <c r="AE1332"/>
  <c r="J1344" s="1"/>
  <c r="AC1332"/>
  <c r="J1343" s="1"/>
  <c r="G1332"/>
  <c r="D1332"/>
  <c r="B1332"/>
  <c r="A1332"/>
  <c r="Z1331"/>
  <c r="W1331"/>
  <c r="P1331"/>
  <c r="AB1331"/>
  <c r="AY1331"/>
  <c r="AO1331"/>
  <c r="AZ1331"/>
  <c r="AP1331"/>
  <c r="X1331"/>
  <c r="V1331"/>
  <c r="BA1331"/>
  <c r="AX1331"/>
  <c r="G1330"/>
  <c r="F1330"/>
  <c r="E1330"/>
  <c r="G1329"/>
  <c r="F1329"/>
  <c r="E1329"/>
  <c r="G1326"/>
  <c r="F1326"/>
  <c r="E1326"/>
  <c r="L1325"/>
  <c r="U1331" s="1"/>
  <c r="L1328" s="1"/>
  <c r="K1325"/>
  <c r="J1325"/>
  <c r="R1331" s="1"/>
  <c r="I1325"/>
  <c r="H1325"/>
  <c r="H1327" s="1"/>
  <c r="C1324"/>
  <c r="E1322"/>
  <c r="BD1322"/>
  <c r="BC1322"/>
  <c r="AF1322"/>
  <c r="AT1322" s="1"/>
  <c r="AD1322"/>
  <c r="L1329" s="1"/>
  <c r="AE1322"/>
  <c r="J1330" s="1"/>
  <c r="AC1322"/>
  <c r="J1329" s="1"/>
  <c r="G1322"/>
  <c r="D1322"/>
  <c r="B1322"/>
  <c r="A1322"/>
  <c r="Z1321"/>
  <c r="P1321"/>
  <c r="AY1321"/>
  <c r="AZ1321"/>
  <c r="BA1321"/>
  <c r="AX1321"/>
  <c r="G1320"/>
  <c r="F1320"/>
  <c r="E1320"/>
  <c r="G1319"/>
  <c r="F1319"/>
  <c r="E1319"/>
  <c r="G1316"/>
  <c r="F1316"/>
  <c r="E1316"/>
  <c r="G1315"/>
  <c r="F1315"/>
  <c r="E1315"/>
  <c r="J1314"/>
  <c r="AB1321" s="1"/>
  <c r="H1314"/>
  <c r="L1313"/>
  <c r="W1321" s="1"/>
  <c r="K1313"/>
  <c r="J1313"/>
  <c r="V1321" s="1"/>
  <c r="I1313"/>
  <c r="H1313"/>
  <c r="J1312"/>
  <c r="AP1321" s="1"/>
  <c r="I1312"/>
  <c r="H1312"/>
  <c r="L1311"/>
  <c r="U1321" s="1"/>
  <c r="L1318" s="1"/>
  <c r="K1311"/>
  <c r="J1311"/>
  <c r="Q1321" s="1"/>
  <c r="J1318" s="1"/>
  <c r="I1311"/>
  <c r="H1311"/>
  <c r="H1317" s="1"/>
  <c r="E1309"/>
  <c r="BD1309"/>
  <c r="BC1309"/>
  <c r="AF1309"/>
  <c r="L1320" s="1"/>
  <c r="AD1309"/>
  <c r="L1319" s="1"/>
  <c r="AE1309"/>
  <c r="J1320" s="1"/>
  <c r="AC1309"/>
  <c r="J1319" s="1"/>
  <c r="G1309"/>
  <c r="D1309"/>
  <c r="B1309"/>
  <c r="A1309"/>
  <c r="Z1308"/>
  <c r="W1308"/>
  <c r="U1308"/>
  <c r="P1308"/>
  <c r="AY1308"/>
  <c r="AZ1308"/>
  <c r="AP1308"/>
  <c r="X1308"/>
  <c r="V1308"/>
  <c r="R1308"/>
  <c r="Q1308"/>
  <c r="BA1308"/>
  <c r="AQ1308"/>
  <c r="AX1308"/>
  <c r="C1307"/>
  <c r="J1305"/>
  <c r="AN1308" s="1"/>
  <c r="H1305"/>
  <c r="E1305"/>
  <c r="BD1305"/>
  <c r="BC1305"/>
  <c r="AF1305"/>
  <c r="AT1305" s="1"/>
  <c r="AD1305"/>
  <c r="AS1305" s="1"/>
  <c r="AE1305"/>
  <c r="AC1305"/>
  <c r="G1305"/>
  <c r="D1305"/>
  <c r="C1305"/>
  <c r="B1305"/>
  <c r="A1305"/>
  <c r="Z1304"/>
  <c r="W1304"/>
  <c r="U1304"/>
  <c r="P1304"/>
  <c r="AY1304"/>
  <c r="AZ1304"/>
  <c r="AP1304"/>
  <c r="X1304"/>
  <c r="V1304"/>
  <c r="R1304"/>
  <c r="Q1304"/>
  <c r="BA1304"/>
  <c r="AQ1304"/>
  <c r="AX1304"/>
  <c r="J1302"/>
  <c r="AN1304" s="1"/>
  <c r="H1302"/>
  <c r="E1302"/>
  <c r="BD1302"/>
  <c r="BC1302"/>
  <c r="AF1302"/>
  <c r="AT1302" s="1"/>
  <c r="AD1302"/>
  <c r="AS1302" s="1"/>
  <c r="AE1302"/>
  <c r="AC1302"/>
  <c r="G1302"/>
  <c r="D1302"/>
  <c r="C1302"/>
  <c r="B1302"/>
  <c r="A1302"/>
  <c r="Z1301"/>
  <c r="W1301"/>
  <c r="U1301"/>
  <c r="P1301"/>
  <c r="AY1301"/>
  <c r="AZ1301"/>
  <c r="AP1301"/>
  <c r="X1301"/>
  <c r="V1301"/>
  <c r="R1301"/>
  <c r="Q1301"/>
  <c r="BA1301"/>
  <c r="AQ1301"/>
  <c r="AX1301"/>
  <c r="C1300"/>
  <c r="J1298"/>
  <c r="AN1301" s="1"/>
  <c r="H1298"/>
  <c r="E1298"/>
  <c r="BD1298"/>
  <c r="BC1298"/>
  <c r="AF1298"/>
  <c r="AT1298" s="1"/>
  <c r="AD1298"/>
  <c r="AS1298" s="1"/>
  <c r="AE1298"/>
  <c r="AC1298"/>
  <c r="G1298"/>
  <c r="D1298"/>
  <c r="C1298"/>
  <c r="B1298"/>
  <c r="A1298"/>
  <c r="Z1297"/>
  <c r="W1297"/>
  <c r="U1297"/>
  <c r="P1297"/>
  <c r="AY1297"/>
  <c r="AZ1297"/>
  <c r="AP1297"/>
  <c r="X1297"/>
  <c r="V1297"/>
  <c r="R1297"/>
  <c r="Q1297"/>
  <c r="BA1297"/>
  <c r="AQ1297"/>
  <c r="AX1297"/>
  <c r="C1296"/>
  <c r="J1294"/>
  <c r="AN1297" s="1"/>
  <c r="H1294"/>
  <c r="E1294"/>
  <c r="BD1294"/>
  <c r="BC1294"/>
  <c r="AF1294"/>
  <c r="AT1294" s="1"/>
  <c r="AD1294"/>
  <c r="AS1294" s="1"/>
  <c r="AE1294"/>
  <c r="AC1294"/>
  <c r="G1294"/>
  <c r="D1294"/>
  <c r="C1294"/>
  <c r="B1294"/>
  <c r="A1294"/>
  <c r="Z1293"/>
  <c r="P1293"/>
  <c r="AY1293"/>
  <c r="AZ1293"/>
  <c r="BA1293"/>
  <c r="AX1293"/>
  <c r="G1292"/>
  <c r="F1292"/>
  <c r="E1292"/>
  <c r="G1291"/>
  <c r="F1291"/>
  <c r="E1291"/>
  <c r="G1288"/>
  <c r="F1288"/>
  <c r="E1288"/>
  <c r="G1287"/>
  <c r="F1287"/>
  <c r="E1287"/>
  <c r="J1286"/>
  <c r="AB1293" s="1"/>
  <c r="H1286"/>
  <c r="L1285"/>
  <c r="W1293" s="1"/>
  <c r="K1285"/>
  <c r="J1285"/>
  <c r="V1293" s="1"/>
  <c r="I1285"/>
  <c r="H1285"/>
  <c r="J1284"/>
  <c r="AP1293" s="1"/>
  <c r="I1284"/>
  <c r="H1284"/>
  <c r="L1283"/>
  <c r="U1293" s="1"/>
  <c r="L1290" s="1"/>
  <c r="K1283"/>
  <c r="J1283"/>
  <c r="Q1293" s="1"/>
  <c r="J1290" s="1"/>
  <c r="I1283"/>
  <c r="H1283"/>
  <c r="H1289" s="1"/>
  <c r="E1281"/>
  <c r="BD1281"/>
  <c r="BC1281"/>
  <c r="AF1281"/>
  <c r="L1292" s="1"/>
  <c r="AD1281"/>
  <c r="L1291" s="1"/>
  <c r="AE1281"/>
  <c r="J1292" s="1"/>
  <c r="AC1281"/>
  <c r="J1291" s="1"/>
  <c r="G1281"/>
  <c r="D1281"/>
  <c r="B1281"/>
  <c r="A1281"/>
  <c r="Z1280"/>
  <c r="W1280"/>
  <c r="U1280"/>
  <c r="AY1280"/>
  <c r="AZ1280"/>
  <c r="AP1280"/>
  <c r="X1280"/>
  <c r="V1280"/>
  <c r="R1280"/>
  <c r="Q1280"/>
  <c r="BA1280"/>
  <c r="AQ1280"/>
  <c r="AX1280"/>
  <c r="L1278"/>
  <c r="K1280" s="1"/>
  <c r="J1278"/>
  <c r="AN1280" s="1"/>
  <c r="K1278"/>
  <c r="H1278"/>
  <c r="E1278"/>
  <c r="BD1278"/>
  <c r="BC1278"/>
  <c r="AF1278"/>
  <c r="AT1278" s="1"/>
  <c r="AD1278"/>
  <c r="AS1278" s="1"/>
  <c r="AE1278"/>
  <c r="AC1278"/>
  <c r="G1278"/>
  <c r="D1278"/>
  <c r="C1278"/>
  <c r="B1278"/>
  <c r="A1278"/>
  <c r="Z1277"/>
  <c r="P1277"/>
  <c r="AY1277"/>
  <c r="AZ1277"/>
  <c r="BA1277"/>
  <c r="AX1277"/>
  <c r="G1276"/>
  <c r="F1276"/>
  <c r="E1276"/>
  <c r="G1275"/>
  <c r="F1275"/>
  <c r="E1275"/>
  <c r="G1272"/>
  <c r="F1272"/>
  <c r="E1272"/>
  <c r="G1271"/>
  <c r="F1271"/>
  <c r="E1271"/>
  <c r="J1270"/>
  <c r="AB1277" s="1"/>
  <c r="H1270"/>
  <c r="L1269"/>
  <c r="W1277" s="1"/>
  <c r="K1269"/>
  <c r="J1269"/>
  <c r="V1277" s="1"/>
  <c r="I1269"/>
  <c r="H1269"/>
  <c r="J1268"/>
  <c r="X1277" s="1"/>
  <c r="I1268"/>
  <c r="H1268"/>
  <c r="L1267"/>
  <c r="U1277" s="1"/>
  <c r="L1274" s="1"/>
  <c r="K1267"/>
  <c r="J1267"/>
  <c r="R1277" s="1"/>
  <c r="I1267"/>
  <c r="H1267"/>
  <c r="H1273" s="1"/>
  <c r="E1265"/>
  <c r="BD1265"/>
  <c r="BC1265"/>
  <c r="AF1265"/>
  <c r="AT1265" s="1"/>
  <c r="AD1265"/>
  <c r="L1275" s="1"/>
  <c r="AE1265"/>
  <c r="J1276" s="1"/>
  <c r="AC1265"/>
  <c r="J1275" s="1"/>
  <c r="G1265"/>
  <c r="D1265"/>
  <c r="B1265"/>
  <c r="A1265"/>
  <c r="Z1264"/>
  <c r="W1264"/>
  <c r="P1264"/>
  <c r="AB1264"/>
  <c r="AY1264"/>
  <c r="AO1264"/>
  <c r="AZ1264"/>
  <c r="V1264"/>
  <c r="BA1264"/>
  <c r="AX1264"/>
  <c r="G1263"/>
  <c r="E1263"/>
  <c r="G1262"/>
  <c r="E1262"/>
  <c r="G1259"/>
  <c r="F1259"/>
  <c r="E1259"/>
  <c r="J1258"/>
  <c r="AP1264" s="1"/>
  <c r="I1258"/>
  <c r="H1258"/>
  <c r="L1257"/>
  <c r="U1264" s="1"/>
  <c r="L1261" s="1"/>
  <c r="K1257"/>
  <c r="J1257"/>
  <c r="Q1264" s="1"/>
  <c r="J1261" s="1"/>
  <c r="I1257"/>
  <c r="H1257"/>
  <c r="H1260" s="1"/>
  <c r="C1256"/>
  <c r="E1254"/>
  <c r="BD1254"/>
  <c r="BC1254"/>
  <c r="AF1254"/>
  <c r="L1263" s="1"/>
  <c r="AD1254"/>
  <c r="L1262" s="1"/>
  <c r="AE1254"/>
  <c r="J1263" s="1"/>
  <c r="AC1254"/>
  <c r="J1262" s="1"/>
  <c r="G1254"/>
  <c r="D1254"/>
  <c r="B1254"/>
  <c r="A1254"/>
  <c r="Z1253"/>
  <c r="W1253"/>
  <c r="P1253"/>
  <c r="AB1253"/>
  <c r="AY1253"/>
  <c r="AO1253"/>
  <c r="AZ1253"/>
  <c r="V1253"/>
  <c r="BA1253"/>
  <c r="AX1253"/>
  <c r="G1252"/>
  <c r="E1252"/>
  <c r="G1251"/>
  <c r="E1251"/>
  <c r="G1248"/>
  <c r="F1248"/>
  <c r="E1248"/>
  <c r="J1247"/>
  <c r="AP1253" s="1"/>
  <c r="I1247"/>
  <c r="H1247"/>
  <c r="L1246"/>
  <c r="U1253" s="1"/>
  <c r="L1250" s="1"/>
  <c r="K1246"/>
  <c r="J1246"/>
  <c r="Q1253" s="1"/>
  <c r="J1250" s="1"/>
  <c r="I1246"/>
  <c r="H1246"/>
  <c r="H1249" s="1"/>
  <c r="C1245"/>
  <c r="E1243"/>
  <c r="BD1243"/>
  <c r="BC1243"/>
  <c r="AF1243"/>
  <c r="L1252" s="1"/>
  <c r="AD1243"/>
  <c r="L1251" s="1"/>
  <c r="AE1243"/>
  <c r="J1252" s="1"/>
  <c r="AC1243"/>
  <c r="J1251" s="1"/>
  <c r="G1243"/>
  <c r="D1243"/>
  <c r="B1243"/>
  <c r="A1243"/>
  <c r="Z1242"/>
  <c r="W1242"/>
  <c r="U1242"/>
  <c r="P1242"/>
  <c r="AY1242"/>
  <c r="AZ1242"/>
  <c r="AP1242"/>
  <c r="X1242"/>
  <c r="V1242"/>
  <c r="R1242"/>
  <c r="Q1242"/>
  <c r="BA1242"/>
  <c r="AQ1242"/>
  <c r="AX1242"/>
  <c r="J1240"/>
  <c r="AN1242" s="1"/>
  <c r="H1240"/>
  <c r="E1240"/>
  <c r="BD1240"/>
  <c r="BC1240"/>
  <c r="AF1240"/>
  <c r="AT1240" s="1"/>
  <c r="AD1240"/>
  <c r="AS1240" s="1"/>
  <c r="AE1240"/>
  <c r="AC1240"/>
  <c r="G1240"/>
  <c r="D1240"/>
  <c r="C1240"/>
  <c r="B1240"/>
  <c r="A1240"/>
  <c r="Z1239"/>
  <c r="W1239"/>
  <c r="U1239"/>
  <c r="P1239"/>
  <c r="AY1239"/>
  <c r="AZ1239"/>
  <c r="AP1239"/>
  <c r="X1239"/>
  <c r="V1239"/>
  <c r="R1239"/>
  <c r="Q1239"/>
  <c r="BA1239"/>
  <c r="AQ1239"/>
  <c r="AX1239"/>
  <c r="C1238"/>
  <c r="J1236"/>
  <c r="AN1239" s="1"/>
  <c r="H1236"/>
  <c r="E1236"/>
  <c r="BD1236"/>
  <c r="BC1236"/>
  <c r="AF1236"/>
  <c r="AT1236" s="1"/>
  <c r="AD1236"/>
  <c r="AS1236" s="1"/>
  <c r="AE1236"/>
  <c r="AC1236"/>
  <c r="G1236"/>
  <c r="D1236"/>
  <c r="C1236"/>
  <c r="B1236"/>
  <c r="A1236"/>
  <c r="Z1235"/>
  <c r="W1235"/>
  <c r="P1235"/>
  <c r="AY1235"/>
  <c r="AZ1235"/>
  <c r="V1235"/>
  <c r="BA1235"/>
  <c r="AX1235"/>
  <c r="G1234"/>
  <c r="E1234"/>
  <c r="G1233"/>
  <c r="E1233"/>
  <c r="G1230"/>
  <c r="F1230"/>
  <c r="E1230"/>
  <c r="J1229"/>
  <c r="AB1235" s="1"/>
  <c r="H1229"/>
  <c r="J1228"/>
  <c r="X1235" s="1"/>
  <c r="I1228"/>
  <c r="H1228"/>
  <c r="L1227"/>
  <c r="U1235" s="1"/>
  <c r="L1232" s="1"/>
  <c r="K1227"/>
  <c r="J1227"/>
  <c r="R1235" s="1"/>
  <c r="I1227"/>
  <c r="H1227"/>
  <c r="H1231" s="1"/>
  <c r="C1226"/>
  <c r="E1224"/>
  <c r="BD1224"/>
  <c r="BC1224"/>
  <c r="AF1224"/>
  <c r="L1234" s="1"/>
  <c r="AD1224"/>
  <c r="AS1224" s="1"/>
  <c r="AE1224"/>
  <c r="J1234" s="1"/>
  <c r="AC1224"/>
  <c r="J1233" s="1"/>
  <c r="G1224"/>
  <c r="D1224"/>
  <c r="B1224"/>
  <c r="A1224"/>
  <c r="Z1223"/>
  <c r="P1223"/>
  <c r="AY1223"/>
  <c r="AZ1223"/>
  <c r="BA1223"/>
  <c r="AX1223"/>
  <c r="G1222"/>
  <c r="F1222"/>
  <c r="E1222"/>
  <c r="G1221"/>
  <c r="F1221"/>
  <c r="E1221"/>
  <c r="G1218"/>
  <c r="F1218"/>
  <c r="E1218"/>
  <c r="G1217"/>
  <c r="F1217"/>
  <c r="E1217"/>
  <c r="J1216"/>
  <c r="AB1223" s="1"/>
  <c r="H1216"/>
  <c r="L1215"/>
  <c r="W1223" s="1"/>
  <c r="K1215"/>
  <c r="J1215"/>
  <c r="V1223" s="1"/>
  <c r="I1215"/>
  <c r="H1215"/>
  <c r="J1214"/>
  <c r="X1223" s="1"/>
  <c r="I1214"/>
  <c r="H1214"/>
  <c r="L1213"/>
  <c r="U1223" s="1"/>
  <c r="L1220" s="1"/>
  <c r="K1213"/>
  <c r="J1213"/>
  <c r="R1223" s="1"/>
  <c r="I1213"/>
  <c r="H1213"/>
  <c r="H1219" s="1"/>
  <c r="C1212"/>
  <c r="E1210"/>
  <c r="BD1210"/>
  <c r="BC1210"/>
  <c r="AF1210"/>
  <c r="L1222" s="1"/>
  <c r="AD1210"/>
  <c r="AS1210" s="1"/>
  <c r="AE1210"/>
  <c r="J1222" s="1"/>
  <c r="AC1210"/>
  <c r="J1221" s="1"/>
  <c r="G1210"/>
  <c r="D1210"/>
  <c r="B1210"/>
  <c r="A1210"/>
  <c r="Z1209"/>
  <c r="P1209"/>
  <c r="AY1209"/>
  <c r="AZ1209"/>
  <c r="BA1209"/>
  <c r="AX1209"/>
  <c r="G1208"/>
  <c r="F1208"/>
  <c r="E1208"/>
  <c r="G1207"/>
  <c r="F1207"/>
  <c r="E1207"/>
  <c r="G1204"/>
  <c r="F1204"/>
  <c r="E1204"/>
  <c r="G1203"/>
  <c r="F1203"/>
  <c r="E1203"/>
  <c r="J1202"/>
  <c r="AB1209" s="1"/>
  <c r="H1202"/>
  <c r="L1201"/>
  <c r="W1209" s="1"/>
  <c r="K1201"/>
  <c r="J1201"/>
  <c r="V1209" s="1"/>
  <c r="I1201"/>
  <c r="H1201"/>
  <c r="J1200"/>
  <c r="X1209" s="1"/>
  <c r="I1200"/>
  <c r="H1200"/>
  <c r="L1199"/>
  <c r="U1209" s="1"/>
  <c r="L1206" s="1"/>
  <c r="K1199"/>
  <c r="J1199"/>
  <c r="R1209" s="1"/>
  <c r="I1199"/>
  <c r="H1199"/>
  <c r="H1205" s="1"/>
  <c r="C1198"/>
  <c r="E1196"/>
  <c r="BD1196"/>
  <c r="BC1196"/>
  <c r="AF1196"/>
  <c r="L1208" s="1"/>
  <c r="AD1196"/>
  <c r="AS1196" s="1"/>
  <c r="AE1196"/>
  <c r="J1208" s="1"/>
  <c r="AC1196"/>
  <c r="J1207" s="1"/>
  <c r="G1196"/>
  <c r="D1196"/>
  <c r="B1196"/>
  <c r="A1196"/>
  <c r="Z1195"/>
  <c r="P1195"/>
  <c r="AY1195"/>
  <c r="AZ1195"/>
  <c r="BA1195"/>
  <c r="AX1195"/>
  <c r="G1194"/>
  <c r="E1194"/>
  <c r="G1193"/>
  <c r="E1193"/>
  <c r="G1190"/>
  <c r="F1190"/>
  <c r="E1190"/>
  <c r="G1189"/>
  <c r="F1189"/>
  <c r="E1189"/>
  <c r="J1188"/>
  <c r="AB1195" s="1"/>
  <c r="H1188"/>
  <c r="L1187"/>
  <c r="W1195" s="1"/>
  <c r="K1187"/>
  <c r="J1187"/>
  <c r="V1195" s="1"/>
  <c r="I1187"/>
  <c r="H1187"/>
  <c r="J1186"/>
  <c r="X1195" s="1"/>
  <c r="I1186"/>
  <c r="H1186"/>
  <c r="L1185"/>
  <c r="U1195" s="1"/>
  <c r="L1192" s="1"/>
  <c r="K1185"/>
  <c r="J1185"/>
  <c r="R1195" s="1"/>
  <c r="I1185"/>
  <c r="H1185"/>
  <c r="H1191" s="1"/>
  <c r="C1184"/>
  <c r="E1182"/>
  <c r="BD1182"/>
  <c r="BC1182"/>
  <c r="AF1182"/>
  <c r="L1194" s="1"/>
  <c r="AD1182"/>
  <c r="AS1182" s="1"/>
  <c r="AE1182"/>
  <c r="J1194" s="1"/>
  <c r="AC1182"/>
  <c r="J1193" s="1"/>
  <c r="G1182"/>
  <c r="D1182"/>
  <c r="B1182"/>
  <c r="A1182"/>
  <c r="Z1181"/>
  <c r="P1181"/>
  <c r="AB1181"/>
  <c r="AY1181"/>
  <c r="AO1181"/>
  <c r="AZ1181"/>
  <c r="BA1181"/>
  <c r="AX1181"/>
  <c r="G1180"/>
  <c r="E1180"/>
  <c r="G1179"/>
  <c r="E1179"/>
  <c r="G1176"/>
  <c r="F1176"/>
  <c r="E1176"/>
  <c r="G1175"/>
  <c r="F1175"/>
  <c r="E1175"/>
  <c r="L1174"/>
  <c r="W1181" s="1"/>
  <c r="K1174"/>
  <c r="J1174"/>
  <c r="V1181" s="1"/>
  <c r="I1174"/>
  <c r="H1174"/>
  <c r="J1173"/>
  <c r="X1181" s="1"/>
  <c r="I1173"/>
  <c r="H1173"/>
  <c r="L1172"/>
  <c r="U1181" s="1"/>
  <c r="L1178" s="1"/>
  <c r="K1172"/>
  <c r="J1172"/>
  <c r="R1181" s="1"/>
  <c r="I1172"/>
  <c r="H1172"/>
  <c r="H1177" s="1"/>
  <c r="C1171"/>
  <c r="E1169"/>
  <c r="BD1169"/>
  <c r="BC1169"/>
  <c r="AF1169"/>
  <c r="L1180" s="1"/>
  <c r="AD1169"/>
  <c r="AS1169" s="1"/>
  <c r="AE1169"/>
  <c r="J1180" s="1"/>
  <c r="AC1169"/>
  <c r="J1179" s="1"/>
  <c r="G1169"/>
  <c r="D1169"/>
  <c r="B1169"/>
  <c r="A1169"/>
  <c r="Z1168"/>
  <c r="P1168"/>
  <c r="AB1168"/>
  <c r="AY1168"/>
  <c r="AO1168"/>
  <c r="AZ1168"/>
  <c r="BA1168"/>
  <c r="AX1168"/>
  <c r="G1167"/>
  <c r="E1167"/>
  <c r="G1166"/>
  <c r="E1166"/>
  <c r="G1163"/>
  <c r="F1163"/>
  <c r="E1163"/>
  <c r="G1162"/>
  <c r="F1162"/>
  <c r="E1162"/>
  <c r="L1161"/>
  <c r="W1168" s="1"/>
  <c r="K1161"/>
  <c r="J1161"/>
  <c r="V1168" s="1"/>
  <c r="I1161"/>
  <c r="H1161"/>
  <c r="J1160"/>
  <c r="X1168" s="1"/>
  <c r="I1160"/>
  <c r="H1160"/>
  <c r="L1159"/>
  <c r="U1168" s="1"/>
  <c r="L1165" s="1"/>
  <c r="K1159"/>
  <c r="J1159"/>
  <c r="R1168" s="1"/>
  <c r="I1159"/>
  <c r="H1159"/>
  <c r="H1164" s="1"/>
  <c r="C1158"/>
  <c r="E1156"/>
  <c r="BD1156"/>
  <c r="BC1156"/>
  <c r="AF1156"/>
  <c r="L1167" s="1"/>
  <c r="AD1156"/>
  <c r="AS1156" s="1"/>
  <c r="AE1156"/>
  <c r="J1167" s="1"/>
  <c r="AC1156"/>
  <c r="J1166" s="1"/>
  <c r="G1156"/>
  <c r="D1156"/>
  <c r="B1156"/>
  <c r="A1156"/>
  <c r="Z1155"/>
  <c r="P1155"/>
  <c r="AB1155"/>
  <c r="AY1155"/>
  <c r="AO1155"/>
  <c r="AZ1155"/>
  <c r="BA1155"/>
  <c r="AX1155"/>
  <c r="G1154"/>
  <c r="F1154"/>
  <c r="E1154"/>
  <c r="G1153"/>
  <c r="F1153"/>
  <c r="E1153"/>
  <c r="G1150"/>
  <c r="F1150"/>
  <c r="E1150"/>
  <c r="G1149"/>
  <c r="F1149"/>
  <c r="E1149"/>
  <c r="L1148"/>
  <c r="W1155" s="1"/>
  <c r="K1148"/>
  <c r="J1148"/>
  <c r="V1155" s="1"/>
  <c r="I1148"/>
  <c r="H1148"/>
  <c r="J1147"/>
  <c r="X1155" s="1"/>
  <c r="I1147"/>
  <c r="H1147"/>
  <c r="L1146"/>
  <c r="U1155" s="1"/>
  <c r="L1152" s="1"/>
  <c r="K1146"/>
  <c r="J1146"/>
  <c r="R1155" s="1"/>
  <c r="I1146"/>
  <c r="H1146"/>
  <c r="H1151" s="1"/>
  <c r="C1145"/>
  <c r="E1143"/>
  <c r="BD1143"/>
  <c r="BC1143"/>
  <c r="AF1143"/>
  <c r="L1154" s="1"/>
  <c r="AD1143"/>
  <c r="AS1143" s="1"/>
  <c r="AE1143"/>
  <c r="J1154" s="1"/>
  <c r="AC1143"/>
  <c r="J1153" s="1"/>
  <c r="G1143"/>
  <c r="D1143"/>
  <c r="B1143"/>
  <c r="A1143"/>
  <c r="Z1142"/>
  <c r="P1142"/>
  <c r="AB1142"/>
  <c r="AY1142"/>
  <c r="AO1142"/>
  <c r="AZ1142"/>
  <c r="BA1142"/>
  <c r="AX1142"/>
  <c r="G1141"/>
  <c r="F1141"/>
  <c r="E1141"/>
  <c r="G1140"/>
  <c r="F1140"/>
  <c r="E1140"/>
  <c r="G1137"/>
  <c r="F1137"/>
  <c r="E1137"/>
  <c r="G1136"/>
  <c r="F1136"/>
  <c r="E1136"/>
  <c r="L1135"/>
  <c r="W1142" s="1"/>
  <c r="K1135"/>
  <c r="J1135"/>
  <c r="V1142" s="1"/>
  <c r="I1135"/>
  <c r="H1135"/>
  <c r="J1134"/>
  <c r="X1142" s="1"/>
  <c r="I1134"/>
  <c r="H1134"/>
  <c r="L1133"/>
  <c r="U1142" s="1"/>
  <c r="L1139" s="1"/>
  <c r="K1133"/>
  <c r="J1133"/>
  <c r="R1142" s="1"/>
  <c r="I1133"/>
  <c r="H1133"/>
  <c r="H1138" s="1"/>
  <c r="C1132"/>
  <c r="E1130"/>
  <c r="BD1130"/>
  <c r="BC1130"/>
  <c r="AF1130"/>
  <c r="L1141" s="1"/>
  <c r="AD1130"/>
  <c r="AS1130" s="1"/>
  <c r="AE1130"/>
  <c r="J1141" s="1"/>
  <c r="AC1130"/>
  <c r="J1140" s="1"/>
  <c r="G1130"/>
  <c r="D1130"/>
  <c r="B1130"/>
  <c r="A1130"/>
  <c r="Z1129"/>
  <c r="P1129"/>
  <c r="AB1129"/>
  <c r="AY1129"/>
  <c r="AO1129"/>
  <c r="AZ1129"/>
  <c r="BA1129"/>
  <c r="AX1129"/>
  <c r="G1128"/>
  <c r="F1128"/>
  <c r="E1128"/>
  <c r="G1127"/>
  <c r="F1127"/>
  <c r="E1127"/>
  <c r="G1124"/>
  <c r="F1124"/>
  <c r="E1124"/>
  <c r="G1123"/>
  <c r="F1123"/>
  <c r="E1123"/>
  <c r="L1122"/>
  <c r="W1129" s="1"/>
  <c r="K1122"/>
  <c r="J1122"/>
  <c r="V1129" s="1"/>
  <c r="I1122"/>
  <c r="H1122"/>
  <c r="J1121"/>
  <c r="X1129" s="1"/>
  <c r="I1121"/>
  <c r="H1121"/>
  <c r="L1120"/>
  <c r="U1129" s="1"/>
  <c r="L1126" s="1"/>
  <c r="K1120"/>
  <c r="J1120"/>
  <c r="R1129" s="1"/>
  <c r="I1120"/>
  <c r="H1120"/>
  <c r="H1125" s="1"/>
  <c r="C1119"/>
  <c r="E1117"/>
  <c r="BD1117"/>
  <c r="BC1117"/>
  <c r="AF1117"/>
  <c r="L1128" s="1"/>
  <c r="AD1117"/>
  <c r="AS1117" s="1"/>
  <c r="AE1117"/>
  <c r="J1128" s="1"/>
  <c r="AC1117"/>
  <c r="J1127" s="1"/>
  <c r="G1117"/>
  <c r="D1117"/>
  <c r="B1117"/>
  <c r="A1117"/>
  <c r="Z1116"/>
  <c r="P1116"/>
  <c r="AB1116"/>
  <c r="AY1116"/>
  <c r="AO1116"/>
  <c r="AZ1116"/>
  <c r="BA1116"/>
  <c r="AX1116"/>
  <c r="G1115"/>
  <c r="E1115"/>
  <c r="G1114"/>
  <c r="E1114"/>
  <c r="G1111"/>
  <c r="F1111"/>
  <c r="E1111"/>
  <c r="G1110"/>
  <c r="F1110"/>
  <c r="E1110"/>
  <c r="L1109"/>
  <c r="W1116" s="1"/>
  <c r="K1109"/>
  <c r="J1109"/>
  <c r="V1116" s="1"/>
  <c r="I1109"/>
  <c r="H1109"/>
  <c r="J1108"/>
  <c r="X1116" s="1"/>
  <c r="I1108"/>
  <c r="H1108"/>
  <c r="L1107"/>
  <c r="U1116" s="1"/>
  <c r="L1113" s="1"/>
  <c r="K1107"/>
  <c r="J1107"/>
  <c r="R1116" s="1"/>
  <c r="I1107"/>
  <c r="H1107"/>
  <c r="H1112" s="1"/>
  <c r="C1106"/>
  <c r="E1104"/>
  <c r="BD1104"/>
  <c r="BC1104"/>
  <c r="AF1104"/>
  <c r="L1115" s="1"/>
  <c r="AD1104"/>
  <c r="AS1104" s="1"/>
  <c r="AE1104"/>
  <c r="J1115" s="1"/>
  <c r="AC1104"/>
  <c r="J1114" s="1"/>
  <c r="G1104"/>
  <c r="D1104"/>
  <c r="B1104"/>
  <c r="A1104"/>
  <c r="Z1103"/>
  <c r="P1103"/>
  <c r="AB1103"/>
  <c r="AY1103"/>
  <c r="AO1103"/>
  <c r="AZ1103"/>
  <c r="BA1103"/>
  <c r="AX1103"/>
  <c r="G1102"/>
  <c r="F1102"/>
  <c r="E1102"/>
  <c r="G1101"/>
  <c r="F1101"/>
  <c r="E1101"/>
  <c r="G1098"/>
  <c r="F1098"/>
  <c r="E1098"/>
  <c r="G1097"/>
  <c r="F1097"/>
  <c r="E1097"/>
  <c r="L1096"/>
  <c r="W1103" s="1"/>
  <c r="K1096"/>
  <c r="J1096"/>
  <c r="V1103" s="1"/>
  <c r="I1096"/>
  <c r="H1096"/>
  <c r="J1095"/>
  <c r="X1103" s="1"/>
  <c r="I1095"/>
  <c r="H1095"/>
  <c r="L1094"/>
  <c r="U1103" s="1"/>
  <c r="L1100" s="1"/>
  <c r="K1094"/>
  <c r="J1094"/>
  <c r="R1103" s="1"/>
  <c r="I1094"/>
  <c r="H1094"/>
  <c r="H1099" s="1"/>
  <c r="C1093"/>
  <c r="E1091"/>
  <c r="BD1091"/>
  <c r="BC1091"/>
  <c r="AF1091"/>
  <c r="L1102" s="1"/>
  <c r="AD1091"/>
  <c r="AS1091" s="1"/>
  <c r="AE1091"/>
  <c r="J1102" s="1"/>
  <c r="AC1091"/>
  <c r="J1101" s="1"/>
  <c r="G1091"/>
  <c r="D1091"/>
  <c r="B1091"/>
  <c r="A1091"/>
  <c r="Z1090"/>
  <c r="P1090"/>
  <c r="AB1090"/>
  <c r="AY1090"/>
  <c r="AO1090"/>
  <c r="AZ1090"/>
  <c r="BA1090"/>
  <c r="AX1090"/>
  <c r="G1089"/>
  <c r="E1089"/>
  <c r="G1088"/>
  <c r="E1088"/>
  <c r="G1085"/>
  <c r="F1085"/>
  <c r="E1085"/>
  <c r="G1084"/>
  <c r="F1084"/>
  <c r="E1084"/>
  <c r="L1083"/>
  <c r="W1090" s="1"/>
  <c r="K1083"/>
  <c r="J1083"/>
  <c r="V1090" s="1"/>
  <c r="I1083"/>
  <c r="H1083"/>
  <c r="J1082"/>
  <c r="X1090" s="1"/>
  <c r="I1082"/>
  <c r="H1082"/>
  <c r="L1081"/>
  <c r="U1090" s="1"/>
  <c r="L1087" s="1"/>
  <c r="K1081"/>
  <c r="J1081"/>
  <c r="R1090" s="1"/>
  <c r="I1081"/>
  <c r="H1081"/>
  <c r="H1086" s="1"/>
  <c r="E1079"/>
  <c r="BD1079"/>
  <c r="BC1079"/>
  <c r="AF1079"/>
  <c r="AT1079" s="1"/>
  <c r="AD1079"/>
  <c r="L1088" s="1"/>
  <c r="AE1079"/>
  <c r="J1089" s="1"/>
  <c r="AC1079"/>
  <c r="J1088" s="1"/>
  <c r="G1079"/>
  <c r="D1079"/>
  <c r="B1079"/>
  <c r="A1079"/>
  <c r="Z1078"/>
  <c r="W1078"/>
  <c r="P1078"/>
  <c r="AY1078"/>
  <c r="AZ1078"/>
  <c r="V1078"/>
  <c r="BA1078"/>
  <c r="AX1078"/>
  <c r="G1077"/>
  <c r="F1077"/>
  <c r="E1077"/>
  <c r="G1076"/>
  <c r="F1076"/>
  <c r="E1076"/>
  <c r="G1073"/>
  <c r="F1073"/>
  <c r="E1073"/>
  <c r="J1072"/>
  <c r="AB1078" s="1"/>
  <c r="H1072"/>
  <c r="J1071"/>
  <c r="AP1078" s="1"/>
  <c r="I1071"/>
  <c r="H1071"/>
  <c r="L1070"/>
  <c r="U1078" s="1"/>
  <c r="L1075" s="1"/>
  <c r="K1070"/>
  <c r="J1070"/>
  <c r="Q1078" s="1"/>
  <c r="J1075" s="1"/>
  <c r="I1070"/>
  <c r="H1070"/>
  <c r="H1074" s="1"/>
  <c r="C1069"/>
  <c r="E1067"/>
  <c r="BD1067"/>
  <c r="BC1067"/>
  <c r="AF1067"/>
  <c r="L1077" s="1"/>
  <c r="AD1067"/>
  <c r="L1076" s="1"/>
  <c r="AE1067"/>
  <c r="J1077" s="1"/>
  <c r="AC1067"/>
  <c r="J1076" s="1"/>
  <c r="G1067"/>
  <c r="D1067"/>
  <c r="B1067"/>
  <c r="A1067"/>
  <c r="Z1066"/>
  <c r="W1066"/>
  <c r="U1066"/>
  <c r="P1066"/>
  <c r="AY1066"/>
  <c r="AZ1066"/>
  <c r="AP1066"/>
  <c r="X1066"/>
  <c r="V1066"/>
  <c r="R1066"/>
  <c r="Q1066"/>
  <c r="BA1066"/>
  <c r="AQ1066"/>
  <c r="AX1066"/>
  <c r="J1064"/>
  <c r="AN1066" s="1"/>
  <c r="H1064"/>
  <c r="E1064"/>
  <c r="BD1064"/>
  <c r="BC1064"/>
  <c r="AF1064"/>
  <c r="AT1064" s="1"/>
  <c r="AD1064"/>
  <c r="AS1064" s="1"/>
  <c r="AE1064"/>
  <c r="AC1064"/>
  <c r="G1064"/>
  <c r="D1064"/>
  <c r="C1064"/>
  <c r="B1064"/>
  <c r="A1064"/>
  <c r="Z1063"/>
  <c r="P1063"/>
  <c r="AY1063"/>
  <c r="AZ1063"/>
  <c r="BA1063"/>
  <c r="AX1063"/>
  <c r="G1062"/>
  <c r="F1062"/>
  <c r="E1062"/>
  <c r="G1061"/>
  <c r="F1061"/>
  <c r="E1061"/>
  <c r="G1058"/>
  <c r="F1058"/>
  <c r="E1058"/>
  <c r="G1057"/>
  <c r="F1057"/>
  <c r="E1057"/>
  <c r="J1056"/>
  <c r="AB1063" s="1"/>
  <c r="H1056"/>
  <c r="L1055"/>
  <c r="W1063" s="1"/>
  <c r="K1055"/>
  <c r="J1055"/>
  <c r="V1063" s="1"/>
  <c r="I1055"/>
  <c r="H1055"/>
  <c r="J1054"/>
  <c r="X1063" s="1"/>
  <c r="I1054"/>
  <c r="H1054"/>
  <c r="L1053"/>
  <c r="U1063" s="1"/>
  <c r="L1060" s="1"/>
  <c r="K1053"/>
  <c r="J1053"/>
  <c r="R1063" s="1"/>
  <c r="I1053"/>
  <c r="H1053"/>
  <c r="H1059" s="1"/>
  <c r="C1052"/>
  <c r="E1050"/>
  <c r="BD1050"/>
  <c r="BC1050"/>
  <c r="AF1050"/>
  <c r="L1062" s="1"/>
  <c r="AD1050"/>
  <c r="AS1050" s="1"/>
  <c r="AE1050"/>
  <c r="J1062" s="1"/>
  <c r="AC1050"/>
  <c r="J1061" s="1"/>
  <c r="G1050"/>
  <c r="D1050"/>
  <c r="B1050"/>
  <c r="A1050"/>
  <c r="Z1049"/>
  <c r="W1049"/>
  <c r="P1049"/>
  <c r="AY1049"/>
  <c r="AZ1049"/>
  <c r="V1049"/>
  <c r="BA1049"/>
  <c r="AX1049"/>
  <c r="G1048"/>
  <c r="F1048"/>
  <c r="E1048"/>
  <c r="G1047"/>
  <c r="F1047"/>
  <c r="E1047"/>
  <c r="G1044"/>
  <c r="F1044"/>
  <c r="E1044"/>
  <c r="J1043"/>
  <c r="H1043"/>
  <c r="J1042"/>
  <c r="I1042"/>
  <c r="H1042"/>
  <c r="L1041"/>
  <c r="U1049" s="1"/>
  <c r="L1046" s="1"/>
  <c r="K1041"/>
  <c r="J1041"/>
  <c r="I1041"/>
  <c r="H1041"/>
  <c r="H1045" s="1"/>
  <c r="C1040"/>
  <c r="E1038"/>
  <c r="BD1038"/>
  <c r="BC1038"/>
  <c r="AF1038"/>
  <c r="L1048" s="1"/>
  <c r="AD1038"/>
  <c r="L1047" s="1"/>
  <c r="AE1038"/>
  <c r="J1048" s="1"/>
  <c r="AC1038"/>
  <c r="J1047" s="1"/>
  <c r="G1038"/>
  <c r="D1038"/>
  <c r="B1038"/>
  <c r="A1038"/>
  <c r="Z1037"/>
  <c r="W1037"/>
  <c r="P1037"/>
  <c r="AY1037"/>
  <c r="AZ1037"/>
  <c r="V1037"/>
  <c r="BA1037"/>
  <c r="AX1037"/>
  <c r="G1036"/>
  <c r="F1036"/>
  <c r="E1036"/>
  <c r="G1035"/>
  <c r="F1035"/>
  <c r="E1035"/>
  <c r="G1032"/>
  <c r="F1032"/>
  <c r="E1032"/>
  <c r="J1031"/>
  <c r="AB1037" s="1"/>
  <c r="H1031"/>
  <c r="J1030"/>
  <c r="X1037" s="1"/>
  <c r="I1030"/>
  <c r="H1030"/>
  <c r="L1029"/>
  <c r="U1037" s="1"/>
  <c r="L1034" s="1"/>
  <c r="K1029"/>
  <c r="J1029"/>
  <c r="R1037" s="1"/>
  <c r="I1029"/>
  <c r="H1029"/>
  <c r="H1033" s="1"/>
  <c r="E1027"/>
  <c r="BD1027"/>
  <c r="BC1027"/>
  <c r="AF1027"/>
  <c r="AT1027" s="1"/>
  <c r="AD1027"/>
  <c r="L1035" s="1"/>
  <c r="AE1027"/>
  <c r="J1036" s="1"/>
  <c r="AC1027"/>
  <c r="J1035" s="1"/>
  <c r="G1027"/>
  <c r="D1027"/>
  <c r="B1027"/>
  <c r="A1027"/>
  <c r="Z1026"/>
  <c r="W1026"/>
  <c r="P1026"/>
  <c r="AB1026"/>
  <c r="AY1026"/>
  <c r="AO1026"/>
  <c r="AZ1026"/>
  <c r="V1026"/>
  <c r="BA1026"/>
  <c r="AX1026"/>
  <c r="G1025"/>
  <c r="E1025"/>
  <c r="G1024"/>
  <c r="E1024"/>
  <c r="G1021"/>
  <c r="F1021"/>
  <c r="E1021"/>
  <c r="J1020"/>
  <c r="AP1026" s="1"/>
  <c r="I1020"/>
  <c r="H1020"/>
  <c r="L1019"/>
  <c r="U1026" s="1"/>
  <c r="L1023" s="1"/>
  <c r="K1019"/>
  <c r="J1019"/>
  <c r="Q1026" s="1"/>
  <c r="J1023" s="1"/>
  <c r="I1019"/>
  <c r="H1019"/>
  <c r="H1022" s="1"/>
  <c r="C1018"/>
  <c r="E1016"/>
  <c r="BD1016"/>
  <c r="BC1016"/>
  <c r="AF1016"/>
  <c r="L1025" s="1"/>
  <c r="AD1016"/>
  <c r="L1024" s="1"/>
  <c r="AE1016"/>
  <c r="J1025" s="1"/>
  <c r="AC1016"/>
  <c r="J1024" s="1"/>
  <c r="G1016"/>
  <c r="D1016"/>
  <c r="B1016"/>
  <c r="A1016"/>
  <c r="Z1015"/>
  <c r="W1015"/>
  <c r="P1015"/>
  <c r="AB1015"/>
  <c r="AY1015"/>
  <c r="AO1015"/>
  <c r="AZ1015"/>
  <c r="AP1015"/>
  <c r="X1015"/>
  <c r="V1015"/>
  <c r="BA1015"/>
  <c r="AX1015"/>
  <c r="G1014"/>
  <c r="E1014"/>
  <c r="G1013"/>
  <c r="E1013"/>
  <c r="G1010"/>
  <c r="F1010"/>
  <c r="E1010"/>
  <c r="L1009"/>
  <c r="U1015" s="1"/>
  <c r="L1012" s="1"/>
  <c r="K1009"/>
  <c r="J1009"/>
  <c r="Q1015" s="1"/>
  <c r="J1012" s="1"/>
  <c r="I1009"/>
  <c r="H1009"/>
  <c r="H1011" s="1"/>
  <c r="C1008"/>
  <c r="E1006"/>
  <c r="BD1006"/>
  <c r="BC1006"/>
  <c r="AF1006"/>
  <c r="L1014" s="1"/>
  <c r="AD1006"/>
  <c r="L1013" s="1"/>
  <c r="AE1006"/>
  <c r="J1014" s="1"/>
  <c r="AC1006"/>
  <c r="J1013" s="1"/>
  <c r="G1006"/>
  <c r="D1006"/>
  <c r="B1006"/>
  <c r="A1006"/>
  <c r="Z1005"/>
  <c r="W1005"/>
  <c r="P1005"/>
  <c r="AB1005"/>
  <c r="AY1005"/>
  <c r="AO1005"/>
  <c r="AZ1005"/>
  <c r="AP1005"/>
  <c r="X1005"/>
  <c r="V1005"/>
  <c r="BA1005"/>
  <c r="AX1005"/>
  <c r="G1004"/>
  <c r="E1004"/>
  <c r="G1003"/>
  <c r="E1003"/>
  <c r="G1000"/>
  <c r="F1000"/>
  <c r="E1000"/>
  <c r="L999"/>
  <c r="U1005" s="1"/>
  <c r="L1002" s="1"/>
  <c r="K999"/>
  <c r="J999"/>
  <c r="R1005" s="1"/>
  <c r="I999"/>
  <c r="H999"/>
  <c r="H1001" s="1"/>
  <c r="C998"/>
  <c r="E996"/>
  <c r="BD996"/>
  <c r="BC996"/>
  <c r="AF996"/>
  <c r="AT996" s="1"/>
  <c r="AD996"/>
  <c r="L1003" s="1"/>
  <c r="AE996"/>
  <c r="J1004" s="1"/>
  <c r="AC996"/>
  <c r="J1003" s="1"/>
  <c r="G996"/>
  <c r="D996"/>
  <c r="B996"/>
  <c r="A996"/>
  <c r="L993"/>
  <c r="L992"/>
  <c r="J990"/>
  <c r="J989"/>
  <c r="J988"/>
  <c r="J983" s="1"/>
  <c r="J987"/>
  <c r="J986"/>
  <c r="J985"/>
  <c r="J984"/>
  <c r="J982"/>
  <c r="J981"/>
  <c r="AA977"/>
  <c r="W977"/>
  <c r="AJ977"/>
  <c r="P977"/>
  <c r="AB977"/>
  <c r="AY977"/>
  <c r="AO977"/>
  <c r="V977"/>
  <c r="R977"/>
  <c r="AI977"/>
  <c r="BA977"/>
  <c r="AQ977"/>
  <c r="BB977"/>
  <c r="J975"/>
  <c r="Y977" s="1"/>
  <c r="H975"/>
  <c r="H976" s="1"/>
  <c r="E973"/>
  <c r="BD973"/>
  <c r="BC973"/>
  <c r="AF973"/>
  <c r="AT973" s="1"/>
  <c r="AD973"/>
  <c r="AS973" s="1"/>
  <c r="AE973"/>
  <c r="AC973"/>
  <c r="G973"/>
  <c r="D973"/>
  <c r="C973"/>
  <c r="B973"/>
  <c r="A973"/>
  <c r="AA972"/>
  <c r="P972"/>
  <c r="AB972"/>
  <c r="AY972"/>
  <c r="AO972"/>
  <c r="BA972"/>
  <c r="BB972"/>
  <c r="G971"/>
  <c r="E971"/>
  <c r="G970"/>
  <c r="E970"/>
  <c r="G967"/>
  <c r="E967"/>
  <c r="G966"/>
  <c r="E966"/>
  <c r="L965"/>
  <c r="W972" s="1"/>
  <c r="K965"/>
  <c r="J965"/>
  <c r="V972" s="1"/>
  <c r="H965"/>
  <c r="J964"/>
  <c r="Y972" s="1"/>
  <c r="H964"/>
  <c r="L963"/>
  <c r="AJ972" s="1"/>
  <c r="L969" s="1"/>
  <c r="K963"/>
  <c r="J963"/>
  <c r="AI972" s="1"/>
  <c r="J969" s="1"/>
  <c r="H963"/>
  <c r="H968" s="1"/>
  <c r="E961"/>
  <c r="BD961"/>
  <c r="BC961"/>
  <c r="AF961"/>
  <c r="L971" s="1"/>
  <c r="AD961"/>
  <c r="L970" s="1"/>
  <c r="AE961"/>
  <c r="J971" s="1"/>
  <c r="AC961"/>
  <c r="J970" s="1"/>
  <c r="G961"/>
  <c r="D961"/>
  <c r="C961"/>
  <c r="B961"/>
  <c r="A961"/>
  <c r="Z960"/>
  <c r="W960"/>
  <c r="P960"/>
  <c r="AY960"/>
  <c r="AZ960"/>
  <c r="AP960"/>
  <c r="X960"/>
  <c r="V960"/>
  <c r="BA960"/>
  <c r="AX960"/>
  <c r="G959"/>
  <c r="E959"/>
  <c r="G958"/>
  <c r="E958"/>
  <c r="G955"/>
  <c r="F955"/>
  <c r="E955"/>
  <c r="J954"/>
  <c r="AB960" s="1"/>
  <c r="H954"/>
  <c r="L953"/>
  <c r="U960" s="1"/>
  <c r="L957" s="1"/>
  <c r="K953"/>
  <c r="J953"/>
  <c r="R960" s="1"/>
  <c r="I953"/>
  <c r="H953"/>
  <c r="H956" s="1"/>
  <c r="E951"/>
  <c r="BD951"/>
  <c r="BC951"/>
  <c r="AF951"/>
  <c r="L959" s="1"/>
  <c r="AD951"/>
  <c r="AS951" s="1"/>
  <c r="AE951"/>
  <c r="J959" s="1"/>
  <c r="AC951"/>
  <c r="J958" s="1"/>
  <c r="G951"/>
  <c r="D951"/>
  <c r="B951"/>
  <c r="A951"/>
  <c r="C950"/>
  <c r="Z949"/>
  <c r="W949"/>
  <c r="U949"/>
  <c r="P949"/>
  <c r="AY949"/>
  <c r="AZ949"/>
  <c r="AP949"/>
  <c r="X949"/>
  <c r="V949"/>
  <c r="R949"/>
  <c r="Q949"/>
  <c r="BA949"/>
  <c r="AQ949"/>
  <c r="AX949"/>
  <c r="J947"/>
  <c r="AN949" s="1"/>
  <c r="H947"/>
  <c r="E947"/>
  <c r="BD947"/>
  <c r="BC947"/>
  <c r="AF947"/>
  <c r="AT947" s="1"/>
  <c r="AD947"/>
  <c r="AS947" s="1"/>
  <c r="AE947"/>
  <c r="AC947"/>
  <c r="G947"/>
  <c r="D947"/>
  <c r="C947"/>
  <c r="B947"/>
  <c r="A947"/>
  <c r="Z946"/>
  <c r="W946"/>
  <c r="U946"/>
  <c r="AY946"/>
  <c r="AZ946"/>
  <c r="AP946"/>
  <c r="X946"/>
  <c r="V946"/>
  <c r="R946"/>
  <c r="Q946"/>
  <c r="BA946"/>
  <c r="AQ946"/>
  <c r="AX946"/>
  <c r="L944"/>
  <c r="K946" s="1"/>
  <c r="J944"/>
  <c r="AN946" s="1"/>
  <c r="K944"/>
  <c r="H944"/>
  <c r="E944"/>
  <c r="BD944"/>
  <c r="BC944"/>
  <c r="AF944"/>
  <c r="AT944" s="1"/>
  <c r="AD944"/>
  <c r="AS944" s="1"/>
  <c r="AE944"/>
  <c r="AC944"/>
  <c r="G944"/>
  <c r="D944"/>
  <c r="C944"/>
  <c r="B944"/>
  <c r="A944"/>
  <c r="Z943"/>
  <c r="W943"/>
  <c r="U943"/>
  <c r="P943"/>
  <c r="AY943"/>
  <c r="AZ943"/>
  <c r="AP943"/>
  <c r="X943"/>
  <c r="V943"/>
  <c r="R943"/>
  <c r="Q943"/>
  <c r="BA943"/>
  <c r="AQ943"/>
  <c r="AX943"/>
  <c r="C942"/>
  <c r="J940"/>
  <c r="AN943" s="1"/>
  <c r="H940"/>
  <c r="E940"/>
  <c r="BD940"/>
  <c r="BC940"/>
  <c r="AF940"/>
  <c r="AT940" s="1"/>
  <c r="AD940"/>
  <c r="AS940" s="1"/>
  <c r="AE940"/>
  <c r="AC940"/>
  <c r="G940"/>
  <c r="D940"/>
  <c r="C940"/>
  <c r="B940"/>
  <c r="A940"/>
  <c r="Z939"/>
  <c r="P939"/>
  <c r="AY939"/>
  <c r="AZ939"/>
  <c r="BA939"/>
  <c r="AX939"/>
  <c r="G938"/>
  <c r="F938"/>
  <c r="E938"/>
  <c r="G937"/>
  <c r="F937"/>
  <c r="E937"/>
  <c r="G934"/>
  <c r="F934"/>
  <c r="E934"/>
  <c r="G933"/>
  <c r="F933"/>
  <c r="E933"/>
  <c r="J932"/>
  <c r="AB939" s="1"/>
  <c r="H932"/>
  <c r="L931"/>
  <c r="W939" s="1"/>
  <c r="K931"/>
  <c r="J931"/>
  <c r="V939" s="1"/>
  <c r="I931"/>
  <c r="H931"/>
  <c r="J930"/>
  <c r="X939" s="1"/>
  <c r="I930"/>
  <c r="H930"/>
  <c r="L929"/>
  <c r="U939" s="1"/>
  <c r="L936" s="1"/>
  <c r="K929"/>
  <c r="J929"/>
  <c r="R939" s="1"/>
  <c r="I929"/>
  <c r="H929"/>
  <c r="H935" s="1"/>
  <c r="C928"/>
  <c r="E926"/>
  <c r="BD926"/>
  <c r="BC926"/>
  <c r="AF926"/>
  <c r="L938" s="1"/>
  <c r="AD926"/>
  <c r="AS926" s="1"/>
  <c r="AE926"/>
  <c r="J938" s="1"/>
  <c r="AC926"/>
  <c r="J937" s="1"/>
  <c r="G926"/>
  <c r="D926"/>
  <c r="B926"/>
  <c r="A926"/>
  <c r="Z925"/>
  <c r="P925"/>
  <c r="AY925"/>
  <c r="AZ925"/>
  <c r="BA925"/>
  <c r="AX925"/>
  <c r="G924"/>
  <c r="F924"/>
  <c r="E924"/>
  <c r="G923"/>
  <c r="F923"/>
  <c r="E923"/>
  <c r="G920"/>
  <c r="F920"/>
  <c r="E920"/>
  <c r="G919"/>
  <c r="F919"/>
  <c r="E919"/>
  <c r="J918"/>
  <c r="AB925" s="1"/>
  <c r="H918"/>
  <c r="L917"/>
  <c r="W925" s="1"/>
  <c r="K917"/>
  <c r="J917"/>
  <c r="V925" s="1"/>
  <c r="I917"/>
  <c r="H917"/>
  <c r="J916"/>
  <c r="X925" s="1"/>
  <c r="I916"/>
  <c r="H916"/>
  <c r="L915"/>
  <c r="U925" s="1"/>
  <c r="L922" s="1"/>
  <c r="K915"/>
  <c r="J915"/>
  <c r="R925" s="1"/>
  <c r="I915"/>
  <c r="H915"/>
  <c r="H921" s="1"/>
  <c r="C914"/>
  <c r="E912"/>
  <c r="BD912"/>
  <c r="BC912"/>
  <c r="AF912"/>
  <c r="L924" s="1"/>
  <c r="AD912"/>
  <c r="AS912" s="1"/>
  <c r="AE912"/>
  <c r="J924" s="1"/>
  <c r="AC912"/>
  <c r="J923" s="1"/>
  <c r="G912"/>
  <c r="D912"/>
  <c r="B912"/>
  <c r="A912"/>
  <c r="Z911"/>
  <c r="P911"/>
  <c r="AY911"/>
  <c r="AZ911"/>
  <c r="BA911"/>
  <c r="AX911"/>
  <c r="G910"/>
  <c r="F910"/>
  <c r="E910"/>
  <c r="G909"/>
  <c r="F909"/>
  <c r="E909"/>
  <c r="G906"/>
  <c r="F906"/>
  <c r="E906"/>
  <c r="G905"/>
  <c r="F905"/>
  <c r="E905"/>
  <c r="J904"/>
  <c r="AB911" s="1"/>
  <c r="H904"/>
  <c r="L903"/>
  <c r="W911" s="1"/>
  <c r="K903"/>
  <c r="J903"/>
  <c r="V911" s="1"/>
  <c r="I903"/>
  <c r="H903"/>
  <c r="J902"/>
  <c r="X911" s="1"/>
  <c r="I902"/>
  <c r="H902"/>
  <c r="L901"/>
  <c r="U911" s="1"/>
  <c r="L908" s="1"/>
  <c r="K901"/>
  <c r="J901"/>
  <c r="R911" s="1"/>
  <c r="I901"/>
  <c r="H901"/>
  <c r="H907" s="1"/>
  <c r="C900"/>
  <c r="E898"/>
  <c r="BD898"/>
  <c r="BC898"/>
  <c r="AF898"/>
  <c r="L910" s="1"/>
  <c r="AD898"/>
  <c r="AS898" s="1"/>
  <c r="AE898"/>
  <c r="J910" s="1"/>
  <c r="AC898"/>
  <c r="J909" s="1"/>
  <c r="G898"/>
  <c r="D898"/>
  <c r="B898"/>
  <c r="A898"/>
  <c r="Z897"/>
  <c r="P897"/>
  <c r="AY897"/>
  <c r="AZ897"/>
  <c r="BA897"/>
  <c r="AX897"/>
  <c r="G896"/>
  <c r="F896"/>
  <c r="E896"/>
  <c r="G895"/>
  <c r="F895"/>
  <c r="E895"/>
  <c r="G892"/>
  <c r="F892"/>
  <c r="E892"/>
  <c r="G891"/>
  <c r="F891"/>
  <c r="E891"/>
  <c r="J890"/>
  <c r="AB897" s="1"/>
  <c r="H890"/>
  <c r="L889"/>
  <c r="W897" s="1"/>
  <c r="K889"/>
  <c r="J889"/>
  <c r="V897" s="1"/>
  <c r="I889"/>
  <c r="H889"/>
  <c r="J888"/>
  <c r="X897" s="1"/>
  <c r="I888"/>
  <c r="H888"/>
  <c r="L887"/>
  <c r="U897" s="1"/>
  <c r="L894" s="1"/>
  <c r="K887"/>
  <c r="J887"/>
  <c r="R897" s="1"/>
  <c r="I887"/>
  <c r="H887"/>
  <c r="H893" s="1"/>
  <c r="C886"/>
  <c r="E884"/>
  <c r="BD884"/>
  <c r="BC884"/>
  <c r="AF884"/>
  <c r="L896" s="1"/>
  <c r="AD884"/>
  <c r="AS884" s="1"/>
  <c r="AE884"/>
  <c r="J896" s="1"/>
  <c r="AC884"/>
  <c r="J895" s="1"/>
  <c r="G884"/>
  <c r="D884"/>
  <c r="B884"/>
  <c r="A884"/>
  <c r="Z883"/>
  <c r="P883"/>
  <c r="AY883"/>
  <c r="AZ883"/>
  <c r="BA883"/>
  <c r="AX883"/>
  <c r="G882"/>
  <c r="F882"/>
  <c r="E882"/>
  <c r="G881"/>
  <c r="F881"/>
  <c r="E881"/>
  <c r="G878"/>
  <c r="F878"/>
  <c r="E878"/>
  <c r="G877"/>
  <c r="F877"/>
  <c r="E877"/>
  <c r="J876"/>
  <c r="AB883" s="1"/>
  <c r="H876"/>
  <c r="L875"/>
  <c r="W883" s="1"/>
  <c r="K875"/>
  <c r="J875"/>
  <c r="V883" s="1"/>
  <c r="I875"/>
  <c r="H875"/>
  <c r="J874"/>
  <c r="X883" s="1"/>
  <c r="I874"/>
  <c r="H874"/>
  <c r="L873"/>
  <c r="U883" s="1"/>
  <c r="L880" s="1"/>
  <c r="K873"/>
  <c r="J873"/>
  <c r="R883" s="1"/>
  <c r="I873"/>
  <c r="H873"/>
  <c r="H879" s="1"/>
  <c r="C872"/>
  <c r="E870"/>
  <c r="BD870"/>
  <c r="BC870"/>
  <c r="AF870"/>
  <c r="L882" s="1"/>
  <c r="AD870"/>
  <c r="AS870" s="1"/>
  <c r="AE870"/>
  <c r="J882" s="1"/>
  <c r="AC870"/>
  <c r="J881" s="1"/>
  <c r="G870"/>
  <c r="D870"/>
  <c r="B870"/>
  <c r="A870"/>
  <c r="C869"/>
  <c r="Z868"/>
  <c r="P868"/>
  <c r="AY868"/>
  <c r="AZ868"/>
  <c r="BA868"/>
  <c r="AX868"/>
  <c r="G867"/>
  <c r="F867"/>
  <c r="E867"/>
  <c r="G866"/>
  <c r="F866"/>
  <c r="E866"/>
  <c r="G863"/>
  <c r="F863"/>
  <c r="E863"/>
  <c r="G862"/>
  <c r="F862"/>
  <c r="E862"/>
  <c r="J861"/>
  <c r="AB868" s="1"/>
  <c r="H861"/>
  <c r="L860"/>
  <c r="W868" s="1"/>
  <c r="K860"/>
  <c r="J860"/>
  <c r="V868" s="1"/>
  <c r="I860"/>
  <c r="H860"/>
  <c r="J859"/>
  <c r="AP868" s="1"/>
  <c r="I859"/>
  <c r="H859"/>
  <c r="L858"/>
  <c r="U868" s="1"/>
  <c r="L865" s="1"/>
  <c r="K858"/>
  <c r="J858"/>
  <c r="Q868" s="1"/>
  <c r="J865" s="1"/>
  <c r="I858"/>
  <c r="H858"/>
  <c r="H864" s="1"/>
  <c r="C857"/>
  <c r="E855"/>
  <c r="BD855"/>
  <c r="BC855"/>
  <c r="AF855"/>
  <c r="L867" s="1"/>
  <c r="AD855"/>
  <c r="L866" s="1"/>
  <c r="AE855"/>
  <c r="J867" s="1"/>
  <c r="AC855"/>
  <c r="J866" s="1"/>
  <c r="G855"/>
  <c r="D855"/>
  <c r="B855"/>
  <c r="A855"/>
  <c r="Z854"/>
  <c r="P854"/>
  <c r="AY854"/>
  <c r="AZ854"/>
  <c r="BA854"/>
  <c r="AX854"/>
  <c r="G853"/>
  <c r="F853"/>
  <c r="E853"/>
  <c r="G852"/>
  <c r="F852"/>
  <c r="E852"/>
  <c r="G849"/>
  <c r="F849"/>
  <c r="E849"/>
  <c r="G848"/>
  <c r="F848"/>
  <c r="E848"/>
  <c r="J847"/>
  <c r="AB854" s="1"/>
  <c r="H847"/>
  <c r="L846"/>
  <c r="W854" s="1"/>
  <c r="K846"/>
  <c r="J846"/>
  <c r="V854" s="1"/>
  <c r="I846"/>
  <c r="H846"/>
  <c r="J845"/>
  <c r="AP854" s="1"/>
  <c r="I845"/>
  <c r="H845"/>
  <c r="L844"/>
  <c r="U854" s="1"/>
  <c r="L851" s="1"/>
  <c r="K844"/>
  <c r="J844"/>
  <c r="Q854" s="1"/>
  <c r="J851" s="1"/>
  <c r="I844"/>
  <c r="H844"/>
  <c r="H850" s="1"/>
  <c r="C843"/>
  <c r="E841"/>
  <c r="BD841"/>
  <c r="BC841"/>
  <c r="AF841"/>
  <c r="L853" s="1"/>
  <c r="AD841"/>
  <c r="L852" s="1"/>
  <c r="AE841"/>
  <c r="J853" s="1"/>
  <c r="AC841"/>
  <c r="J852" s="1"/>
  <c r="G841"/>
  <c r="D841"/>
  <c r="B841"/>
  <c r="A841"/>
  <c r="Z840"/>
  <c r="P840"/>
  <c r="AY840"/>
  <c r="AZ840"/>
  <c r="BA840"/>
  <c r="AX840"/>
  <c r="G839"/>
  <c r="F839"/>
  <c r="E839"/>
  <c r="G838"/>
  <c r="F838"/>
  <c r="E838"/>
  <c r="G835"/>
  <c r="F835"/>
  <c r="E835"/>
  <c r="G834"/>
  <c r="F834"/>
  <c r="E834"/>
  <c r="J833"/>
  <c r="AB840" s="1"/>
  <c r="H833"/>
  <c r="L832"/>
  <c r="W840" s="1"/>
  <c r="K832"/>
  <c r="J832"/>
  <c r="V840" s="1"/>
  <c r="I832"/>
  <c r="H832"/>
  <c r="J831"/>
  <c r="AP840" s="1"/>
  <c r="I831"/>
  <c r="H831"/>
  <c r="L830"/>
  <c r="U840" s="1"/>
  <c r="L837" s="1"/>
  <c r="K830"/>
  <c r="J830"/>
  <c r="Q840" s="1"/>
  <c r="J837" s="1"/>
  <c r="I830"/>
  <c r="H830"/>
  <c r="H836" s="1"/>
  <c r="C829"/>
  <c r="E827"/>
  <c r="BD827"/>
  <c r="BC827"/>
  <c r="AF827"/>
  <c r="L839" s="1"/>
  <c r="AD827"/>
  <c r="L838" s="1"/>
  <c r="AE827"/>
  <c r="J839" s="1"/>
  <c r="AC827"/>
  <c r="J838" s="1"/>
  <c r="G827"/>
  <c r="D827"/>
  <c r="B827"/>
  <c r="A827"/>
  <c r="Z826"/>
  <c r="P826"/>
  <c r="AY826"/>
  <c r="AZ826"/>
  <c r="BA826"/>
  <c r="AX826"/>
  <c r="G825"/>
  <c r="F825"/>
  <c r="E825"/>
  <c r="G824"/>
  <c r="F824"/>
  <c r="E824"/>
  <c r="G821"/>
  <c r="F821"/>
  <c r="E821"/>
  <c r="G820"/>
  <c r="F820"/>
  <c r="E820"/>
  <c r="J819"/>
  <c r="AB826" s="1"/>
  <c r="H819"/>
  <c r="L818"/>
  <c r="W826" s="1"/>
  <c r="K818"/>
  <c r="J818"/>
  <c r="V826" s="1"/>
  <c r="I818"/>
  <c r="H818"/>
  <c r="J817"/>
  <c r="AP826" s="1"/>
  <c r="I817"/>
  <c r="H817"/>
  <c r="L816"/>
  <c r="U826" s="1"/>
  <c r="L823" s="1"/>
  <c r="K816"/>
  <c r="J816"/>
  <c r="Q826" s="1"/>
  <c r="J823" s="1"/>
  <c r="I816"/>
  <c r="H816"/>
  <c r="H822" s="1"/>
  <c r="C815"/>
  <c r="E813"/>
  <c r="BD813"/>
  <c r="BC813"/>
  <c r="AF813"/>
  <c r="L825" s="1"/>
  <c r="AD813"/>
  <c r="L824" s="1"/>
  <c r="AE813"/>
  <c r="J825" s="1"/>
  <c r="AC813"/>
  <c r="J824" s="1"/>
  <c r="G813"/>
  <c r="D813"/>
  <c r="B813"/>
  <c r="A813"/>
  <c r="C812"/>
  <c r="Z811"/>
  <c r="P811"/>
  <c r="AY811"/>
  <c r="AZ811"/>
  <c r="BA811"/>
  <c r="AX811"/>
  <c r="G810"/>
  <c r="F810"/>
  <c r="E810"/>
  <c r="G809"/>
  <c r="F809"/>
  <c r="E809"/>
  <c r="G806"/>
  <c r="F806"/>
  <c r="E806"/>
  <c r="G805"/>
  <c r="F805"/>
  <c r="E805"/>
  <c r="J804"/>
  <c r="AB811" s="1"/>
  <c r="H804"/>
  <c r="L803"/>
  <c r="W811" s="1"/>
  <c r="K803"/>
  <c r="J803"/>
  <c r="V811" s="1"/>
  <c r="I803"/>
  <c r="H803"/>
  <c r="J802"/>
  <c r="X811" s="1"/>
  <c r="I802"/>
  <c r="H802"/>
  <c r="L801"/>
  <c r="U811" s="1"/>
  <c r="L808" s="1"/>
  <c r="K801"/>
  <c r="J801"/>
  <c r="R811" s="1"/>
  <c r="I801"/>
  <c r="H801"/>
  <c r="H807" s="1"/>
  <c r="C800"/>
  <c r="E798"/>
  <c r="BD798"/>
  <c r="BC798"/>
  <c r="AF798"/>
  <c r="L810" s="1"/>
  <c r="AD798"/>
  <c r="AS798" s="1"/>
  <c r="AE798"/>
  <c r="J810" s="1"/>
  <c r="AC798"/>
  <c r="J809" s="1"/>
  <c r="G798"/>
  <c r="D798"/>
  <c r="B798"/>
  <c r="A798"/>
  <c r="Z797"/>
  <c r="P797"/>
  <c r="AY797"/>
  <c r="AZ797"/>
  <c r="BA797"/>
  <c r="AX797"/>
  <c r="G796"/>
  <c r="F796"/>
  <c r="E796"/>
  <c r="G795"/>
  <c r="F795"/>
  <c r="E795"/>
  <c r="G792"/>
  <c r="F792"/>
  <c r="E792"/>
  <c r="G791"/>
  <c r="F791"/>
  <c r="E791"/>
  <c r="J790"/>
  <c r="AB797" s="1"/>
  <c r="H790"/>
  <c r="L789"/>
  <c r="W797" s="1"/>
  <c r="K789"/>
  <c r="J789"/>
  <c r="V797" s="1"/>
  <c r="I789"/>
  <c r="H789"/>
  <c r="J788"/>
  <c r="X797" s="1"/>
  <c r="I788"/>
  <c r="H788"/>
  <c r="L787"/>
  <c r="U797" s="1"/>
  <c r="L794" s="1"/>
  <c r="K787"/>
  <c r="J787"/>
  <c r="R797" s="1"/>
  <c r="I787"/>
  <c r="H787"/>
  <c r="H793" s="1"/>
  <c r="C786"/>
  <c r="E784"/>
  <c r="BD784"/>
  <c r="BC784"/>
  <c r="AF784"/>
  <c r="L796" s="1"/>
  <c r="AD784"/>
  <c r="AS784" s="1"/>
  <c r="AE784"/>
  <c r="J796" s="1"/>
  <c r="AC784"/>
  <c r="J795" s="1"/>
  <c r="G784"/>
  <c r="D784"/>
  <c r="B784"/>
  <c r="A784"/>
  <c r="Z783"/>
  <c r="P783"/>
  <c r="AY783"/>
  <c r="AZ783"/>
  <c r="BA783"/>
  <c r="AX783"/>
  <c r="G782"/>
  <c r="F782"/>
  <c r="E782"/>
  <c r="G781"/>
  <c r="F781"/>
  <c r="E781"/>
  <c r="G778"/>
  <c r="F778"/>
  <c r="E778"/>
  <c r="G777"/>
  <c r="F777"/>
  <c r="E777"/>
  <c r="J776"/>
  <c r="AB783" s="1"/>
  <c r="H776"/>
  <c r="L775"/>
  <c r="W783" s="1"/>
  <c r="K775"/>
  <c r="J775"/>
  <c r="V783" s="1"/>
  <c r="I775"/>
  <c r="H775"/>
  <c r="J774"/>
  <c r="X783" s="1"/>
  <c r="I774"/>
  <c r="H774"/>
  <c r="L773"/>
  <c r="U783" s="1"/>
  <c r="L780" s="1"/>
  <c r="K773"/>
  <c r="J773"/>
  <c r="R783" s="1"/>
  <c r="I773"/>
  <c r="H773"/>
  <c r="H779" s="1"/>
  <c r="C772"/>
  <c r="E770"/>
  <c r="BD770"/>
  <c r="BC770"/>
  <c r="AF770"/>
  <c r="L782" s="1"/>
  <c r="AD770"/>
  <c r="AS770" s="1"/>
  <c r="AE770"/>
  <c r="J782" s="1"/>
  <c r="AC770"/>
  <c r="J781" s="1"/>
  <c r="G770"/>
  <c r="D770"/>
  <c r="B770"/>
  <c r="A770"/>
  <c r="Z769"/>
  <c r="P769"/>
  <c r="AY769"/>
  <c r="AZ769"/>
  <c r="BA769"/>
  <c r="AX769"/>
  <c r="G768"/>
  <c r="F768"/>
  <c r="E768"/>
  <c r="G767"/>
  <c r="F767"/>
  <c r="E767"/>
  <c r="G764"/>
  <c r="F764"/>
  <c r="E764"/>
  <c r="G763"/>
  <c r="F763"/>
  <c r="E763"/>
  <c r="J762"/>
  <c r="AB769" s="1"/>
  <c r="H762"/>
  <c r="L761"/>
  <c r="W769" s="1"/>
  <c r="K761"/>
  <c r="J761"/>
  <c r="V769" s="1"/>
  <c r="I761"/>
  <c r="H761"/>
  <c r="J760"/>
  <c r="X769" s="1"/>
  <c r="I760"/>
  <c r="H760"/>
  <c r="L759"/>
  <c r="U769" s="1"/>
  <c r="L766" s="1"/>
  <c r="K759"/>
  <c r="J759"/>
  <c r="R769" s="1"/>
  <c r="I759"/>
  <c r="H759"/>
  <c r="H765" s="1"/>
  <c r="C758"/>
  <c r="E756"/>
  <c r="BD756"/>
  <c r="BC756"/>
  <c r="AF756"/>
  <c r="L768" s="1"/>
  <c r="AD756"/>
  <c r="AS756" s="1"/>
  <c r="AE756"/>
  <c r="J768" s="1"/>
  <c r="AC756"/>
  <c r="J767" s="1"/>
  <c r="G756"/>
  <c r="D756"/>
  <c r="B756"/>
  <c r="A756"/>
  <c r="C755"/>
  <c r="Z754"/>
  <c r="P754"/>
  <c r="AY754"/>
  <c r="AZ754"/>
  <c r="BA754"/>
  <c r="AX754"/>
  <c r="G753"/>
  <c r="F753"/>
  <c r="E753"/>
  <c r="G752"/>
  <c r="F752"/>
  <c r="E752"/>
  <c r="G749"/>
  <c r="F749"/>
  <c r="E749"/>
  <c r="G748"/>
  <c r="F748"/>
  <c r="E748"/>
  <c r="J747"/>
  <c r="AB754" s="1"/>
  <c r="H747"/>
  <c r="L746"/>
  <c r="W754" s="1"/>
  <c r="K746"/>
  <c r="J746"/>
  <c r="V754" s="1"/>
  <c r="I746"/>
  <c r="H746"/>
  <c r="J745"/>
  <c r="AP754" s="1"/>
  <c r="I745"/>
  <c r="H745"/>
  <c r="L744"/>
  <c r="U754" s="1"/>
  <c r="L751" s="1"/>
  <c r="K744"/>
  <c r="J744"/>
  <c r="Q754" s="1"/>
  <c r="J751" s="1"/>
  <c r="I744"/>
  <c r="H744"/>
  <c r="H750" s="1"/>
  <c r="C743"/>
  <c r="E741"/>
  <c r="BD741"/>
  <c r="BC741"/>
  <c r="AF741"/>
  <c r="L753" s="1"/>
  <c r="AD741"/>
  <c r="L752" s="1"/>
  <c r="AE741"/>
  <c r="J753" s="1"/>
  <c r="AC741"/>
  <c r="J752" s="1"/>
  <c r="G741"/>
  <c r="D741"/>
  <c r="B741"/>
  <c r="A741"/>
  <c r="Z740"/>
  <c r="P740"/>
  <c r="AY740"/>
  <c r="AZ740"/>
  <c r="BA740"/>
  <c r="AX740"/>
  <c r="G739"/>
  <c r="F739"/>
  <c r="E739"/>
  <c r="G738"/>
  <c r="F738"/>
  <c r="E738"/>
  <c r="G735"/>
  <c r="F735"/>
  <c r="E735"/>
  <c r="G734"/>
  <c r="F734"/>
  <c r="E734"/>
  <c r="J733"/>
  <c r="AB740" s="1"/>
  <c r="H733"/>
  <c r="L732"/>
  <c r="W740" s="1"/>
  <c r="K732"/>
  <c r="J732"/>
  <c r="V740" s="1"/>
  <c r="I732"/>
  <c r="H732"/>
  <c r="J731"/>
  <c r="AP740" s="1"/>
  <c r="I731"/>
  <c r="H731"/>
  <c r="L730"/>
  <c r="U740" s="1"/>
  <c r="L737" s="1"/>
  <c r="K730"/>
  <c r="J730"/>
  <c r="Q740" s="1"/>
  <c r="J737" s="1"/>
  <c r="I730"/>
  <c r="H730"/>
  <c r="H736" s="1"/>
  <c r="C729"/>
  <c r="E727"/>
  <c r="BD727"/>
  <c r="BC727"/>
  <c r="AF727"/>
  <c r="L739" s="1"/>
  <c r="AD727"/>
  <c r="L738" s="1"/>
  <c r="AE727"/>
  <c r="J739" s="1"/>
  <c r="AC727"/>
  <c r="J738" s="1"/>
  <c r="G727"/>
  <c r="D727"/>
  <c r="B727"/>
  <c r="A727"/>
  <c r="Z726"/>
  <c r="P726"/>
  <c r="AY726"/>
  <c r="AZ726"/>
  <c r="BA726"/>
  <c r="AX726"/>
  <c r="G725"/>
  <c r="F725"/>
  <c r="E725"/>
  <c r="G724"/>
  <c r="F724"/>
  <c r="E724"/>
  <c r="G721"/>
  <c r="F721"/>
  <c r="E721"/>
  <c r="G720"/>
  <c r="F720"/>
  <c r="E720"/>
  <c r="J719"/>
  <c r="AB726" s="1"/>
  <c r="H719"/>
  <c r="L718"/>
  <c r="W726" s="1"/>
  <c r="K718"/>
  <c r="J718"/>
  <c r="V726" s="1"/>
  <c r="I718"/>
  <c r="H718"/>
  <c r="J717"/>
  <c r="AP726" s="1"/>
  <c r="I717"/>
  <c r="H717"/>
  <c r="L716"/>
  <c r="U726" s="1"/>
  <c r="L723" s="1"/>
  <c r="K716"/>
  <c r="J716"/>
  <c r="Q726" s="1"/>
  <c r="J723" s="1"/>
  <c r="I716"/>
  <c r="H716"/>
  <c r="H722" s="1"/>
  <c r="C715"/>
  <c r="E713"/>
  <c r="BD713"/>
  <c r="BC713"/>
  <c r="AF713"/>
  <c r="L725" s="1"/>
  <c r="AD713"/>
  <c r="L724" s="1"/>
  <c r="AE713"/>
  <c r="J725" s="1"/>
  <c r="AC713"/>
  <c r="J724" s="1"/>
  <c r="G713"/>
  <c r="D713"/>
  <c r="B713"/>
  <c r="A713"/>
  <c r="C712"/>
  <c r="Z711"/>
  <c r="P711"/>
  <c r="AY711"/>
  <c r="AZ711"/>
  <c r="BA711"/>
  <c r="AX711"/>
  <c r="G710"/>
  <c r="F710"/>
  <c r="E710"/>
  <c r="G709"/>
  <c r="F709"/>
  <c r="E709"/>
  <c r="G706"/>
  <c r="F706"/>
  <c r="E706"/>
  <c r="G705"/>
  <c r="F705"/>
  <c r="E705"/>
  <c r="J704"/>
  <c r="AB711" s="1"/>
  <c r="H704"/>
  <c r="L703"/>
  <c r="W711" s="1"/>
  <c r="K703"/>
  <c r="J703"/>
  <c r="V711" s="1"/>
  <c r="I703"/>
  <c r="H703"/>
  <c r="J702"/>
  <c r="X711" s="1"/>
  <c r="I702"/>
  <c r="H702"/>
  <c r="L701"/>
  <c r="U711" s="1"/>
  <c r="L708" s="1"/>
  <c r="K701"/>
  <c r="J701"/>
  <c r="R711" s="1"/>
  <c r="I701"/>
  <c r="H701"/>
  <c r="H707" s="1"/>
  <c r="C700"/>
  <c r="E698"/>
  <c r="BD698"/>
  <c r="BC698"/>
  <c r="AF698"/>
  <c r="L710" s="1"/>
  <c r="AD698"/>
  <c r="AS698" s="1"/>
  <c r="AE698"/>
  <c r="J710" s="1"/>
  <c r="AC698"/>
  <c r="J709" s="1"/>
  <c r="G698"/>
  <c r="D698"/>
  <c r="B698"/>
  <c r="A698"/>
  <c r="Z697"/>
  <c r="P697"/>
  <c r="AY697"/>
  <c r="AZ697"/>
  <c r="BA697"/>
  <c r="AX697"/>
  <c r="G696"/>
  <c r="F696"/>
  <c r="E696"/>
  <c r="G695"/>
  <c r="F695"/>
  <c r="E695"/>
  <c r="G692"/>
  <c r="F692"/>
  <c r="E692"/>
  <c r="G691"/>
  <c r="F691"/>
  <c r="E691"/>
  <c r="J690"/>
  <c r="AB697" s="1"/>
  <c r="H690"/>
  <c r="L689"/>
  <c r="W697" s="1"/>
  <c r="K689"/>
  <c r="J689"/>
  <c r="V697" s="1"/>
  <c r="I689"/>
  <c r="H689"/>
  <c r="J688"/>
  <c r="X697" s="1"/>
  <c r="I688"/>
  <c r="H688"/>
  <c r="L687"/>
  <c r="U697" s="1"/>
  <c r="L694" s="1"/>
  <c r="K687"/>
  <c r="J687"/>
  <c r="R697" s="1"/>
  <c r="I687"/>
  <c r="H687"/>
  <c r="H693" s="1"/>
  <c r="C686"/>
  <c r="E684"/>
  <c r="BD684"/>
  <c r="BC684"/>
  <c r="AF684"/>
  <c r="L696" s="1"/>
  <c r="AD684"/>
  <c r="AS684" s="1"/>
  <c r="AE684"/>
  <c r="J696" s="1"/>
  <c r="AC684"/>
  <c r="J695" s="1"/>
  <c r="G684"/>
  <c r="D684"/>
  <c r="B684"/>
  <c r="A684"/>
  <c r="Z683"/>
  <c r="P683"/>
  <c r="AY683"/>
  <c r="AZ683"/>
  <c r="BA683"/>
  <c r="AX683"/>
  <c r="G682"/>
  <c r="F682"/>
  <c r="E682"/>
  <c r="G681"/>
  <c r="F681"/>
  <c r="E681"/>
  <c r="G678"/>
  <c r="F678"/>
  <c r="E678"/>
  <c r="G677"/>
  <c r="F677"/>
  <c r="E677"/>
  <c r="J676"/>
  <c r="AB683" s="1"/>
  <c r="H676"/>
  <c r="L675"/>
  <c r="W683" s="1"/>
  <c r="K675"/>
  <c r="J675"/>
  <c r="V683" s="1"/>
  <c r="I675"/>
  <c r="H675"/>
  <c r="J674"/>
  <c r="X683" s="1"/>
  <c r="I674"/>
  <c r="H674"/>
  <c r="L673"/>
  <c r="U683" s="1"/>
  <c r="L680" s="1"/>
  <c r="K673"/>
  <c r="J673"/>
  <c r="R683" s="1"/>
  <c r="I673"/>
  <c r="H673"/>
  <c r="H679" s="1"/>
  <c r="C672"/>
  <c r="E670"/>
  <c r="BD670"/>
  <c r="BC670"/>
  <c r="AF670"/>
  <c r="L682" s="1"/>
  <c r="AD670"/>
  <c r="L681" s="1"/>
  <c r="AE670"/>
  <c r="J682" s="1"/>
  <c r="AC670"/>
  <c r="J681" s="1"/>
  <c r="G670"/>
  <c r="D670"/>
  <c r="B670"/>
  <c r="A670"/>
  <c r="C669"/>
  <c r="Z668"/>
  <c r="P668"/>
  <c r="AY668"/>
  <c r="AZ668"/>
  <c r="BA668"/>
  <c r="AX668"/>
  <c r="G667"/>
  <c r="F667"/>
  <c r="E667"/>
  <c r="G666"/>
  <c r="F666"/>
  <c r="E666"/>
  <c r="G663"/>
  <c r="F663"/>
  <c r="E663"/>
  <c r="G662"/>
  <c r="F662"/>
  <c r="E662"/>
  <c r="J661"/>
  <c r="AB668" s="1"/>
  <c r="H661"/>
  <c r="L660"/>
  <c r="W668" s="1"/>
  <c r="K660"/>
  <c r="J660"/>
  <c r="V668" s="1"/>
  <c r="I660"/>
  <c r="H660"/>
  <c r="J659"/>
  <c r="AP668" s="1"/>
  <c r="I659"/>
  <c r="H659"/>
  <c r="L658"/>
  <c r="U668" s="1"/>
  <c r="L665" s="1"/>
  <c r="K658"/>
  <c r="J658"/>
  <c r="Q668" s="1"/>
  <c r="J665" s="1"/>
  <c r="I658"/>
  <c r="H658"/>
  <c r="H664" s="1"/>
  <c r="C657"/>
  <c r="E655"/>
  <c r="BD655"/>
  <c r="BC655"/>
  <c r="AF655"/>
  <c r="L667" s="1"/>
  <c r="AD655"/>
  <c r="L666" s="1"/>
  <c r="AE655"/>
  <c r="J667" s="1"/>
  <c r="AC655"/>
  <c r="J666" s="1"/>
  <c r="G655"/>
  <c r="D655"/>
  <c r="B655"/>
  <c r="A655"/>
  <c r="Z654"/>
  <c r="P654"/>
  <c r="AY654"/>
  <c r="AZ654"/>
  <c r="BA654"/>
  <c r="AX654"/>
  <c r="G653"/>
  <c r="F653"/>
  <c r="E653"/>
  <c r="G652"/>
  <c r="F652"/>
  <c r="E652"/>
  <c r="G649"/>
  <c r="F649"/>
  <c r="E649"/>
  <c r="G648"/>
  <c r="F648"/>
  <c r="E648"/>
  <c r="J647"/>
  <c r="AB654" s="1"/>
  <c r="H647"/>
  <c r="L646"/>
  <c r="W654" s="1"/>
  <c r="K646"/>
  <c r="J646"/>
  <c r="V654" s="1"/>
  <c r="I646"/>
  <c r="H646"/>
  <c r="J645"/>
  <c r="AP654" s="1"/>
  <c r="I645"/>
  <c r="H645"/>
  <c r="L644"/>
  <c r="U654" s="1"/>
  <c r="L651" s="1"/>
  <c r="K644"/>
  <c r="J644"/>
  <c r="Q654" s="1"/>
  <c r="J651" s="1"/>
  <c r="I644"/>
  <c r="H644"/>
  <c r="H650" s="1"/>
  <c r="C643"/>
  <c r="E641"/>
  <c r="BD641"/>
  <c r="BC641"/>
  <c r="AF641"/>
  <c r="L653" s="1"/>
  <c r="AD641"/>
  <c r="L652" s="1"/>
  <c r="AE641"/>
  <c r="J653" s="1"/>
  <c r="AC641"/>
  <c r="J652" s="1"/>
  <c r="G641"/>
  <c r="D641"/>
  <c r="B641"/>
  <c r="A641"/>
  <c r="Z640"/>
  <c r="P640"/>
  <c r="AY640"/>
  <c r="AZ640"/>
  <c r="BA640"/>
  <c r="AX640"/>
  <c r="G639"/>
  <c r="F639"/>
  <c r="E639"/>
  <c r="G638"/>
  <c r="F638"/>
  <c r="E638"/>
  <c r="G635"/>
  <c r="F635"/>
  <c r="E635"/>
  <c r="G634"/>
  <c r="F634"/>
  <c r="E634"/>
  <c r="J633"/>
  <c r="AB640" s="1"/>
  <c r="H633"/>
  <c r="L632"/>
  <c r="W640" s="1"/>
  <c r="K632"/>
  <c r="J632"/>
  <c r="V640" s="1"/>
  <c r="I632"/>
  <c r="H632"/>
  <c r="J631"/>
  <c r="AP640" s="1"/>
  <c r="I631"/>
  <c r="H631"/>
  <c r="L630"/>
  <c r="U640" s="1"/>
  <c r="L637" s="1"/>
  <c r="K630"/>
  <c r="J630"/>
  <c r="Q640" s="1"/>
  <c r="J637" s="1"/>
  <c r="I630"/>
  <c r="H630"/>
  <c r="H636" s="1"/>
  <c r="C629"/>
  <c r="E627"/>
  <c r="BD627"/>
  <c r="BC627"/>
  <c r="AF627"/>
  <c r="L639" s="1"/>
  <c r="AD627"/>
  <c r="L638" s="1"/>
  <c r="AE627"/>
  <c r="J639" s="1"/>
  <c r="AC627"/>
  <c r="J638" s="1"/>
  <c r="G627"/>
  <c r="D627"/>
  <c r="B627"/>
  <c r="A627"/>
  <c r="C626"/>
  <c r="Z625"/>
  <c r="P625"/>
  <c r="AY625"/>
  <c r="AZ625"/>
  <c r="BA625"/>
  <c r="AX625"/>
  <c r="G624"/>
  <c r="F624"/>
  <c r="E624"/>
  <c r="G623"/>
  <c r="F623"/>
  <c r="E623"/>
  <c r="G620"/>
  <c r="F620"/>
  <c r="E620"/>
  <c r="G619"/>
  <c r="F619"/>
  <c r="E619"/>
  <c r="J618"/>
  <c r="AB625" s="1"/>
  <c r="H618"/>
  <c r="L617"/>
  <c r="W625" s="1"/>
  <c r="K617"/>
  <c r="J617"/>
  <c r="V625" s="1"/>
  <c r="I617"/>
  <c r="H617"/>
  <c r="J616"/>
  <c r="X625" s="1"/>
  <c r="I616"/>
  <c r="H616"/>
  <c r="L615"/>
  <c r="U625" s="1"/>
  <c r="L622" s="1"/>
  <c r="K615"/>
  <c r="J615"/>
  <c r="R625" s="1"/>
  <c r="I615"/>
  <c r="H615"/>
  <c r="H621" s="1"/>
  <c r="C614"/>
  <c r="E612"/>
  <c r="BD612"/>
  <c r="BC612"/>
  <c r="AF612"/>
  <c r="L624" s="1"/>
  <c r="AD612"/>
  <c r="AS612" s="1"/>
  <c r="AE612"/>
  <c r="J624" s="1"/>
  <c r="AC612"/>
  <c r="J623" s="1"/>
  <c r="G612"/>
  <c r="D612"/>
  <c r="B612"/>
  <c r="A612"/>
  <c r="Z611"/>
  <c r="P611"/>
  <c r="AY611"/>
  <c r="AZ611"/>
  <c r="BA611"/>
  <c r="AX611"/>
  <c r="G610"/>
  <c r="F610"/>
  <c r="E610"/>
  <c r="G609"/>
  <c r="F609"/>
  <c r="E609"/>
  <c r="G606"/>
  <c r="F606"/>
  <c r="E606"/>
  <c r="G605"/>
  <c r="F605"/>
  <c r="E605"/>
  <c r="J604"/>
  <c r="AB611" s="1"/>
  <c r="H604"/>
  <c r="L603"/>
  <c r="W611" s="1"/>
  <c r="K603"/>
  <c r="J603"/>
  <c r="V611" s="1"/>
  <c r="I603"/>
  <c r="H603"/>
  <c r="J602"/>
  <c r="X611" s="1"/>
  <c r="I602"/>
  <c r="H602"/>
  <c r="L601"/>
  <c r="U611" s="1"/>
  <c r="L608" s="1"/>
  <c r="K601"/>
  <c r="J601"/>
  <c r="R611" s="1"/>
  <c r="I601"/>
  <c r="H601"/>
  <c r="H607" s="1"/>
  <c r="C600"/>
  <c r="E598"/>
  <c r="BD598"/>
  <c r="BC598"/>
  <c r="AF598"/>
  <c r="L610" s="1"/>
  <c r="AD598"/>
  <c r="AS598" s="1"/>
  <c r="AE598"/>
  <c r="J610" s="1"/>
  <c r="AC598"/>
  <c r="J609" s="1"/>
  <c r="G598"/>
  <c r="D598"/>
  <c r="B598"/>
  <c r="A598"/>
  <c r="Z597"/>
  <c r="P597"/>
  <c r="AY597"/>
  <c r="AZ597"/>
  <c r="BA597"/>
  <c r="AX597"/>
  <c r="G596"/>
  <c r="F596"/>
  <c r="E596"/>
  <c r="G595"/>
  <c r="F595"/>
  <c r="E595"/>
  <c r="G592"/>
  <c r="F592"/>
  <c r="E592"/>
  <c r="G591"/>
  <c r="F591"/>
  <c r="E591"/>
  <c r="J590"/>
  <c r="AB597" s="1"/>
  <c r="H590"/>
  <c r="L589"/>
  <c r="W597" s="1"/>
  <c r="K589"/>
  <c r="J589"/>
  <c r="V597" s="1"/>
  <c r="I589"/>
  <c r="H589"/>
  <c r="J588"/>
  <c r="X597" s="1"/>
  <c r="I588"/>
  <c r="H588"/>
  <c r="L587"/>
  <c r="U597" s="1"/>
  <c r="L594" s="1"/>
  <c r="K587"/>
  <c r="J587"/>
  <c r="R597" s="1"/>
  <c r="I587"/>
  <c r="H587"/>
  <c r="H593" s="1"/>
  <c r="C586"/>
  <c r="E584"/>
  <c r="BD584"/>
  <c r="BC584"/>
  <c r="AF584"/>
  <c r="L596" s="1"/>
  <c r="AD584"/>
  <c r="AS584" s="1"/>
  <c r="AE584"/>
  <c r="J596" s="1"/>
  <c r="AC584"/>
  <c r="J595" s="1"/>
  <c r="G584"/>
  <c r="D584"/>
  <c r="B584"/>
  <c r="A584"/>
  <c r="C583"/>
  <c r="Z582"/>
  <c r="P582"/>
  <c r="AB582"/>
  <c r="AY582"/>
  <c r="AO582"/>
  <c r="AZ582"/>
  <c r="BA582"/>
  <c r="AX582"/>
  <c r="G581"/>
  <c r="E581"/>
  <c r="G580"/>
  <c r="E580"/>
  <c r="G577"/>
  <c r="F577"/>
  <c r="E577"/>
  <c r="G576"/>
  <c r="F576"/>
  <c r="E576"/>
  <c r="L575"/>
  <c r="W582" s="1"/>
  <c r="K575"/>
  <c r="J575"/>
  <c r="V582" s="1"/>
  <c r="I575"/>
  <c r="H575"/>
  <c r="J574"/>
  <c r="AP582" s="1"/>
  <c r="I574"/>
  <c r="H574"/>
  <c r="L573"/>
  <c r="U582" s="1"/>
  <c r="L579" s="1"/>
  <c r="K573"/>
  <c r="J573"/>
  <c r="Q582" s="1"/>
  <c r="J579" s="1"/>
  <c r="I573"/>
  <c r="H573"/>
  <c r="H578" s="1"/>
  <c r="C572"/>
  <c r="E570"/>
  <c r="BD570"/>
  <c r="BC570"/>
  <c r="AF570"/>
  <c r="L581" s="1"/>
  <c r="AD570"/>
  <c r="L580" s="1"/>
  <c r="AE570"/>
  <c r="J581" s="1"/>
  <c r="AC570"/>
  <c r="J580" s="1"/>
  <c r="G570"/>
  <c r="D570"/>
  <c r="B570"/>
  <c r="A570"/>
  <c r="Z569"/>
  <c r="W569"/>
  <c r="P569"/>
  <c r="AB569"/>
  <c r="AY569"/>
  <c r="AO569"/>
  <c r="AZ569"/>
  <c r="AP569"/>
  <c r="X569"/>
  <c r="V569"/>
  <c r="BA569"/>
  <c r="AX569"/>
  <c r="G568"/>
  <c r="E568"/>
  <c r="G567"/>
  <c r="E567"/>
  <c r="G564"/>
  <c r="F564"/>
  <c r="E564"/>
  <c r="L563"/>
  <c r="U569" s="1"/>
  <c r="L566" s="1"/>
  <c r="K563"/>
  <c r="J563"/>
  <c r="Q569" s="1"/>
  <c r="J566" s="1"/>
  <c r="I563"/>
  <c r="H563"/>
  <c r="H565" s="1"/>
  <c r="C562"/>
  <c r="E560"/>
  <c r="BD560"/>
  <c r="BC560"/>
  <c r="AF560"/>
  <c r="L568" s="1"/>
  <c r="AD560"/>
  <c r="L567" s="1"/>
  <c r="AE560"/>
  <c r="J568" s="1"/>
  <c r="AC560"/>
  <c r="J567" s="1"/>
  <c r="G560"/>
  <c r="D560"/>
  <c r="B560"/>
  <c r="A560"/>
  <c r="C559"/>
  <c r="Z558"/>
  <c r="P558"/>
  <c r="AY558"/>
  <c r="AZ558"/>
  <c r="BA558"/>
  <c r="AX558"/>
  <c r="G557"/>
  <c r="F557"/>
  <c r="E557"/>
  <c r="G556"/>
  <c r="F556"/>
  <c r="E556"/>
  <c r="G553"/>
  <c r="F553"/>
  <c r="E553"/>
  <c r="G552"/>
  <c r="F552"/>
  <c r="E552"/>
  <c r="J551"/>
  <c r="AB558" s="1"/>
  <c r="H551"/>
  <c r="L550"/>
  <c r="W558" s="1"/>
  <c r="K550"/>
  <c r="J550"/>
  <c r="V558" s="1"/>
  <c r="I550"/>
  <c r="H550"/>
  <c r="J549"/>
  <c r="AP558" s="1"/>
  <c r="I549"/>
  <c r="H549"/>
  <c r="L548"/>
  <c r="U558" s="1"/>
  <c r="L555" s="1"/>
  <c r="K548"/>
  <c r="J548"/>
  <c r="Q558" s="1"/>
  <c r="J555" s="1"/>
  <c r="I548"/>
  <c r="H548"/>
  <c r="H554" s="1"/>
  <c r="C547"/>
  <c r="E545"/>
  <c r="BD545"/>
  <c r="BC545"/>
  <c r="AF545"/>
  <c r="L557" s="1"/>
  <c r="AD545"/>
  <c r="L556" s="1"/>
  <c r="AE545"/>
  <c r="J557" s="1"/>
  <c r="AC545"/>
  <c r="J556" s="1"/>
  <c r="G545"/>
  <c r="D545"/>
  <c r="B545"/>
  <c r="A545"/>
  <c r="Z544"/>
  <c r="P544"/>
  <c r="AY544"/>
  <c r="AZ544"/>
  <c r="BA544"/>
  <c r="AX544"/>
  <c r="G543"/>
  <c r="F543"/>
  <c r="E543"/>
  <c r="G542"/>
  <c r="F542"/>
  <c r="E542"/>
  <c r="G539"/>
  <c r="F539"/>
  <c r="E539"/>
  <c r="G538"/>
  <c r="F538"/>
  <c r="E538"/>
  <c r="J537"/>
  <c r="AB544" s="1"/>
  <c r="H537"/>
  <c r="L536"/>
  <c r="W544" s="1"/>
  <c r="K536"/>
  <c r="J536"/>
  <c r="V544" s="1"/>
  <c r="I536"/>
  <c r="H536"/>
  <c r="J535"/>
  <c r="AP544" s="1"/>
  <c r="I535"/>
  <c r="H535"/>
  <c r="L534"/>
  <c r="U544" s="1"/>
  <c r="L541" s="1"/>
  <c r="K534"/>
  <c r="J534"/>
  <c r="Q544" s="1"/>
  <c r="J541" s="1"/>
  <c r="I534"/>
  <c r="H534"/>
  <c r="H540" s="1"/>
  <c r="C533"/>
  <c r="E531"/>
  <c r="BD531"/>
  <c r="BC531"/>
  <c r="AF531"/>
  <c r="L543" s="1"/>
  <c r="AD531"/>
  <c r="L542" s="1"/>
  <c r="AE531"/>
  <c r="J543" s="1"/>
  <c r="AC531"/>
  <c r="J542" s="1"/>
  <c r="G531"/>
  <c r="D531"/>
  <c r="B531"/>
  <c r="A531"/>
  <c r="Z530"/>
  <c r="W530"/>
  <c r="U530"/>
  <c r="AY530"/>
  <c r="AZ530"/>
  <c r="AP530"/>
  <c r="X530"/>
  <c r="V530"/>
  <c r="R530"/>
  <c r="Q530"/>
  <c r="BA530"/>
  <c r="AQ530"/>
  <c r="AX530"/>
  <c r="L528"/>
  <c r="K530" s="1"/>
  <c r="J528"/>
  <c r="AN530" s="1"/>
  <c r="K528"/>
  <c r="H528"/>
  <c r="E528"/>
  <c r="BD528"/>
  <c r="BC528"/>
  <c r="AF528"/>
  <c r="AT528" s="1"/>
  <c r="AD528"/>
  <c r="AS528" s="1"/>
  <c r="AE528"/>
  <c r="AC528"/>
  <c r="G528"/>
  <c r="D528"/>
  <c r="C528"/>
  <c r="B528"/>
  <c r="A528"/>
  <c r="Z527"/>
  <c r="W527"/>
  <c r="U527"/>
  <c r="P527"/>
  <c r="AY527"/>
  <c r="AZ527"/>
  <c r="AP527"/>
  <c r="X527"/>
  <c r="V527"/>
  <c r="R527"/>
  <c r="Q527"/>
  <c r="BA527"/>
  <c r="AQ527"/>
  <c r="AX527"/>
  <c r="C526"/>
  <c r="J524"/>
  <c r="AN527" s="1"/>
  <c r="H524"/>
  <c r="E524"/>
  <c r="BD524"/>
  <c r="BC524"/>
  <c r="AF524"/>
  <c r="AT524" s="1"/>
  <c r="AD524"/>
  <c r="AS524" s="1"/>
  <c r="AE524"/>
  <c r="AC524"/>
  <c r="G524"/>
  <c r="D524"/>
  <c r="C524"/>
  <c r="B524"/>
  <c r="A524"/>
  <c r="Z523"/>
  <c r="P523"/>
  <c r="AY523"/>
  <c r="AZ523"/>
  <c r="BA523"/>
  <c r="AX523"/>
  <c r="G522"/>
  <c r="F522"/>
  <c r="E522"/>
  <c r="G521"/>
  <c r="F521"/>
  <c r="E521"/>
  <c r="G518"/>
  <c r="F518"/>
  <c r="E518"/>
  <c r="G517"/>
  <c r="F517"/>
  <c r="E517"/>
  <c r="J516"/>
  <c r="AB523" s="1"/>
  <c r="H516"/>
  <c r="L515"/>
  <c r="W523" s="1"/>
  <c r="K515"/>
  <c r="J515"/>
  <c r="V523" s="1"/>
  <c r="I515"/>
  <c r="H515"/>
  <c r="J514"/>
  <c r="AP523" s="1"/>
  <c r="I514"/>
  <c r="H514"/>
  <c r="L513"/>
  <c r="U523" s="1"/>
  <c r="L520" s="1"/>
  <c r="K513"/>
  <c r="J513"/>
  <c r="Q523" s="1"/>
  <c r="J520" s="1"/>
  <c r="I513"/>
  <c r="H513"/>
  <c r="H519" s="1"/>
  <c r="C512"/>
  <c r="E510"/>
  <c r="BD510"/>
  <c r="BC510"/>
  <c r="AF510"/>
  <c r="L522" s="1"/>
  <c r="AD510"/>
  <c r="L521" s="1"/>
  <c r="AE510"/>
  <c r="J522" s="1"/>
  <c r="AC510"/>
  <c r="J521" s="1"/>
  <c r="G510"/>
  <c r="D510"/>
  <c r="B510"/>
  <c r="A510"/>
  <c r="Z509"/>
  <c r="W509"/>
  <c r="U509"/>
  <c r="P509"/>
  <c r="AY509"/>
  <c r="AZ509"/>
  <c r="AP509"/>
  <c r="X509"/>
  <c r="V509"/>
  <c r="R509"/>
  <c r="Q509"/>
  <c r="BA509"/>
  <c r="AQ509"/>
  <c r="AX509"/>
  <c r="J507"/>
  <c r="AN509" s="1"/>
  <c r="H507"/>
  <c r="E507"/>
  <c r="BD507"/>
  <c r="BC507"/>
  <c r="AF507"/>
  <c r="AT507" s="1"/>
  <c r="AD507"/>
  <c r="AS507" s="1"/>
  <c r="AE507"/>
  <c r="AC507"/>
  <c r="G507"/>
  <c r="D507"/>
  <c r="C507"/>
  <c r="B507"/>
  <c r="A507"/>
  <c r="Z506"/>
  <c r="W506"/>
  <c r="U506"/>
  <c r="AY506"/>
  <c r="AZ506"/>
  <c r="AP506"/>
  <c r="X506"/>
  <c r="V506"/>
  <c r="R506"/>
  <c r="Q506"/>
  <c r="BA506"/>
  <c r="AQ506"/>
  <c r="AX506"/>
  <c r="L504"/>
  <c r="K506" s="1"/>
  <c r="J504"/>
  <c r="AN506" s="1"/>
  <c r="K504"/>
  <c r="H504"/>
  <c r="E504"/>
  <c r="BD504"/>
  <c r="BC504"/>
  <c r="AF504"/>
  <c r="AT504" s="1"/>
  <c r="AD504"/>
  <c r="AS504" s="1"/>
  <c r="AE504"/>
  <c r="AC504"/>
  <c r="G504"/>
  <c r="D504"/>
  <c r="C504"/>
  <c r="B504"/>
  <c r="A504"/>
  <c r="Z503"/>
  <c r="W503"/>
  <c r="U503"/>
  <c r="AY503"/>
  <c r="AZ503"/>
  <c r="AP503"/>
  <c r="X503"/>
  <c r="V503"/>
  <c r="R503"/>
  <c r="Q503"/>
  <c r="BA503"/>
  <c r="AQ503"/>
  <c r="AX503"/>
  <c r="L501"/>
  <c r="K503" s="1"/>
  <c r="J501"/>
  <c r="AN503" s="1"/>
  <c r="K501"/>
  <c r="H501"/>
  <c r="E501"/>
  <c r="BD501"/>
  <c r="BC501"/>
  <c r="AF501"/>
  <c r="AT501" s="1"/>
  <c r="AD501"/>
  <c r="AS501" s="1"/>
  <c r="AE501"/>
  <c r="AC501"/>
  <c r="G501"/>
  <c r="D501"/>
  <c r="C501"/>
  <c r="B501"/>
  <c r="A501"/>
  <c r="Z500"/>
  <c r="W500"/>
  <c r="U500"/>
  <c r="P500"/>
  <c r="AY500"/>
  <c r="AZ500"/>
  <c r="AP500"/>
  <c r="X500"/>
  <c r="V500"/>
  <c r="R500"/>
  <c r="Q500"/>
  <c r="BA500"/>
  <c r="AQ500"/>
  <c r="AX500"/>
  <c r="C499"/>
  <c r="J497"/>
  <c r="AN500" s="1"/>
  <c r="H497"/>
  <c r="E497"/>
  <c r="BD497"/>
  <c r="BC497"/>
  <c r="AF497"/>
  <c r="AT497" s="1"/>
  <c r="AD497"/>
  <c r="AS497" s="1"/>
  <c r="AE497"/>
  <c r="AC497"/>
  <c r="G497"/>
  <c r="D497"/>
  <c r="C497"/>
  <c r="B497"/>
  <c r="A497"/>
  <c r="Z496"/>
  <c r="P496"/>
  <c r="AY496"/>
  <c r="AZ496"/>
  <c r="BA496"/>
  <c r="AX496"/>
  <c r="G495"/>
  <c r="F495"/>
  <c r="E495"/>
  <c r="G494"/>
  <c r="F494"/>
  <c r="E494"/>
  <c r="G491"/>
  <c r="F491"/>
  <c r="E491"/>
  <c r="G490"/>
  <c r="F490"/>
  <c r="E490"/>
  <c r="J489"/>
  <c r="AB496" s="1"/>
  <c r="H489"/>
  <c r="L488"/>
  <c r="W496" s="1"/>
  <c r="K488"/>
  <c r="J488"/>
  <c r="V496" s="1"/>
  <c r="I488"/>
  <c r="H488"/>
  <c r="J487"/>
  <c r="X496" s="1"/>
  <c r="I487"/>
  <c r="H487"/>
  <c r="L486"/>
  <c r="U496" s="1"/>
  <c r="L493" s="1"/>
  <c r="K486"/>
  <c r="J486"/>
  <c r="R496" s="1"/>
  <c r="I486"/>
  <c r="H486"/>
  <c r="H492" s="1"/>
  <c r="C485"/>
  <c r="E483"/>
  <c r="BD483"/>
  <c r="BC483"/>
  <c r="AF483"/>
  <c r="L495" s="1"/>
  <c r="AD483"/>
  <c r="AS483" s="1"/>
  <c r="AE483"/>
  <c r="J495" s="1"/>
  <c r="AC483"/>
  <c r="J494" s="1"/>
  <c r="G483"/>
  <c r="D483"/>
  <c r="B483"/>
  <c r="A483"/>
  <c r="Z482"/>
  <c r="W482"/>
  <c r="U482"/>
  <c r="P482"/>
  <c r="AY482"/>
  <c r="AZ482"/>
  <c r="AP482"/>
  <c r="X482"/>
  <c r="V482"/>
  <c r="R482"/>
  <c r="Q482"/>
  <c r="BA482"/>
  <c r="AQ482"/>
  <c r="AX482"/>
  <c r="J480"/>
  <c r="AN482" s="1"/>
  <c r="H480"/>
  <c r="E480"/>
  <c r="BD480"/>
  <c r="BC480"/>
  <c r="AF480"/>
  <c r="AT480" s="1"/>
  <c r="AD480"/>
  <c r="AS480" s="1"/>
  <c r="AE480"/>
  <c r="AC480"/>
  <c r="G480"/>
  <c r="D480"/>
  <c r="C480"/>
  <c r="B480"/>
  <c r="A480"/>
  <c r="Z479"/>
  <c r="W479"/>
  <c r="U479"/>
  <c r="AY479"/>
  <c r="AZ479"/>
  <c r="AP479"/>
  <c r="X479"/>
  <c r="V479"/>
  <c r="R479"/>
  <c r="Q479"/>
  <c r="BA479"/>
  <c r="AQ479"/>
  <c r="AX479"/>
  <c r="L477"/>
  <c r="K479" s="1"/>
  <c r="J477"/>
  <c r="AN479" s="1"/>
  <c r="K477"/>
  <c r="H477"/>
  <c r="E477"/>
  <c r="BD477"/>
  <c r="BC477"/>
  <c r="AF477"/>
  <c r="AT477" s="1"/>
  <c r="AD477"/>
  <c r="AS477" s="1"/>
  <c r="AE477"/>
  <c r="AC477"/>
  <c r="G477"/>
  <c r="D477"/>
  <c r="C477"/>
  <c r="B477"/>
  <c r="A477"/>
  <c r="Z476"/>
  <c r="W476"/>
  <c r="U476"/>
  <c r="P476"/>
  <c r="AY476"/>
  <c r="AZ476"/>
  <c r="AP476"/>
  <c r="X476"/>
  <c r="V476"/>
  <c r="R476"/>
  <c r="Q476"/>
  <c r="BA476"/>
  <c r="AQ476"/>
  <c r="AX476"/>
  <c r="C475"/>
  <c r="J473"/>
  <c r="AN476" s="1"/>
  <c r="H473"/>
  <c r="E473"/>
  <c r="BD473"/>
  <c r="BC473"/>
  <c r="AF473"/>
  <c r="AT473" s="1"/>
  <c r="AD473"/>
  <c r="AS473" s="1"/>
  <c r="AE473"/>
  <c r="AC473"/>
  <c r="G473"/>
  <c r="D473"/>
  <c r="C473"/>
  <c r="B473"/>
  <c r="A473"/>
  <c r="Z472"/>
  <c r="P472"/>
  <c r="AY472"/>
  <c r="AZ472"/>
  <c r="BA472"/>
  <c r="AX472"/>
  <c r="G471"/>
  <c r="F471"/>
  <c r="E471"/>
  <c r="G470"/>
  <c r="F470"/>
  <c r="E470"/>
  <c r="G467"/>
  <c r="F467"/>
  <c r="E467"/>
  <c r="G466"/>
  <c r="F466"/>
  <c r="E466"/>
  <c r="J465"/>
  <c r="AB472" s="1"/>
  <c r="H465"/>
  <c r="L464"/>
  <c r="W472" s="1"/>
  <c r="K464"/>
  <c r="J464"/>
  <c r="V472" s="1"/>
  <c r="I464"/>
  <c r="H464"/>
  <c r="J463"/>
  <c r="AP472" s="1"/>
  <c r="I463"/>
  <c r="H463"/>
  <c r="L462"/>
  <c r="U472" s="1"/>
  <c r="L469" s="1"/>
  <c r="K462"/>
  <c r="J462"/>
  <c r="Q472" s="1"/>
  <c r="J469" s="1"/>
  <c r="I462"/>
  <c r="H462"/>
  <c r="H468" s="1"/>
  <c r="C461"/>
  <c r="E459"/>
  <c r="BD459"/>
  <c r="BC459"/>
  <c r="AF459"/>
  <c r="L471" s="1"/>
  <c r="AD459"/>
  <c r="L470" s="1"/>
  <c r="AE459"/>
  <c r="J471" s="1"/>
  <c r="AC459"/>
  <c r="J470" s="1"/>
  <c r="G459"/>
  <c r="D459"/>
  <c r="B459"/>
  <c r="A459"/>
  <c r="Z458"/>
  <c r="W458"/>
  <c r="U458"/>
  <c r="P458"/>
  <c r="AY458"/>
  <c r="AZ458"/>
  <c r="AP458"/>
  <c r="X458"/>
  <c r="V458"/>
  <c r="R458"/>
  <c r="Q458"/>
  <c r="BA458"/>
  <c r="AQ458"/>
  <c r="AX458"/>
  <c r="C457"/>
  <c r="J455"/>
  <c r="AN458" s="1"/>
  <c r="H455"/>
  <c r="E455"/>
  <c r="BD455"/>
  <c r="BC455"/>
  <c r="AF455"/>
  <c r="AT455" s="1"/>
  <c r="AD455"/>
  <c r="AS455" s="1"/>
  <c r="AE455"/>
  <c r="AC455"/>
  <c r="G455"/>
  <c r="D455"/>
  <c r="C455"/>
  <c r="B455"/>
  <c r="A455"/>
  <c r="Z454"/>
  <c r="W454"/>
  <c r="U454"/>
  <c r="P454"/>
  <c r="AY454"/>
  <c r="AZ454"/>
  <c r="AP454"/>
  <c r="X454"/>
  <c r="V454"/>
  <c r="R454"/>
  <c r="Q454"/>
  <c r="BA454"/>
  <c r="AQ454"/>
  <c r="AX454"/>
  <c r="C453"/>
  <c r="J451"/>
  <c r="AN454" s="1"/>
  <c r="H451"/>
  <c r="E451"/>
  <c r="BD451"/>
  <c r="BC451"/>
  <c r="AF451"/>
  <c r="AT451" s="1"/>
  <c r="AD451"/>
  <c r="AS451" s="1"/>
  <c r="AE451"/>
  <c r="AC451"/>
  <c r="G451"/>
  <c r="D451"/>
  <c r="C451"/>
  <c r="B451"/>
  <c r="A451"/>
  <c r="Z450"/>
  <c r="P450"/>
  <c r="AY450"/>
  <c r="AZ450"/>
  <c r="BA450"/>
  <c r="AX450"/>
  <c r="G449"/>
  <c r="E449"/>
  <c r="G448"/>
  <c r="E448"/>
  <c r="G445"/>
  <c r="F445"/>
  <c r="E445"/>
  <c r="G444"/>
  <c r="F444"/>
  <c r="E444"/>
  <c r="J443"/>
  <c r="AB450" s="1"/>
  <c r="H443"/>
  <c r="L442"/>
  <c r="W450" s="1"/>
  <c r="K442"/>
  <c r="J442"/>
  <c r="V450" s="1"/>
  <c r="I442"/>
  <c r="H442"/>
  <c r="J441"/>
  <c r="AP450" s="1"/>
  <c r="I441"/>
  <c r="H441"/>
  <c r="L440"/>
  <c r="U450" s="1"/>
  <c r="L447" s="1"/>
  <c r="K440"/>
  <c r="J440"/>
  <c r="Q450" s="1"/>
  <c r="J447" s="1"/>
  <c r="I440"/>
  <c r="H440"/>
  <c r="H446" s="1"/>
  <c r="E438"/>
  <c r="BD438"/>
  <c r="BC438"/>
  <c r="AF438"/>
  <c r="L449" s="1"/>
  <c r="AD438"/>
  <c r="L448" s="1"/>
  <c r="AE438"/>
  <c r="J449" s="1"/>
  <c r="AC438"/>
  <c r="J448" s="1"/>
  <c r="G438"/>
  <c r="D438"/>
  <c r="B438"/>
  <c r="A438"/>
  <c r="Z437"/>
  <c r="W437"/>
  <c r="U437"/>
  <c r="P437"/>
  <c r="AY437"/>
  <c r="AZ437"/>
  <c r="AP437"/>
  <c r="X437"/>
  <c r="V437"/>
  <c r="R437"/>
  <c r="Q437"/>
  <c r="BA437"/>
  <c r="AQ437"/>
  <c r="AX437"/>
  <c r="J435"/>
  <c r="AN437" s="1"/>
  <c r="H435"/>
  <c r="E435"/>
  <c r="BD435"/>
  <c r="BC435"/>
  <c r="AF435"/>
  <c r="AT435" s="1"/>
  <c r="AD435"/>
  <c r="AS435" s="1"/>
  <c r="AE435"/>
  <c r="AC435"/>
  <c r="G435"/>
  <c r="D435"/>
  <c r="C435"/>
  <c r="B435"/>
  <c r="A435"/>
  <c r="Z434"/>
  <c r="W434"/>
  <c r="U434"/>
  <c r="P434"/>
  <c r="AY434"/>
  <c r="AZ434"/>
  <c r="AP434"/>
  <c r="X434"/>
  <c r="V434"/>
  <c r="R434"/>
  <c r="Q434"/>
  <c r="BA434"/>
  <c r="AQ434"/>
  <c r="AX434"/>
  <c r="C433"/>
  <c r="J431"/>
  <c r="AN434" s="1"/>
  <c r="H431"/>
  <c r="E431"/>
  <c r="BD431"/>
  <c r="BC431"/>
  <c r="AF431"/>
  <c r="AT431" s="1"/>
  <c r="AD431"/>
  <c r="AS431" s="1"/>
  <c r="AE431"/>
  <c r="AC431"/>
  <c r="G431"/>
  <c r="D431"/>
  <c r="C431"/>
  <c r="B431"/>
  <c r="A431"/>
  <c r="Z430"/>
  <c r="P430"/>
  <c r="AY430"/>
  <c r="AZ430"/>
  <c r="BA430"/>
  <c r="AX430"/>
  <c r="G429"/>
  <c r="F429"/>
  <c r="E429"/>
  <c r="G428"/>
  <c r="F428"/>
  <c r="E428"/>
  <c r="G425"/>
  <c r="E425"/>
  <c r="G424"/>
  <c r="F424"/>
  <c r="E424"/>
  <c r="J423"/>
  <c r="AB430" s="1"/>
  <c r="H423"/>
  <c r="L422"/>
  <c r="W430" s="1"/>
  <c r="K422"/>
  <c r="J422"/>
  <c r="V430" s="1"/>
  <c r="H422"/>
  <c r="J421"/>
  <c r="AP430" s="1"/>
  <c r="H421"/>
  <c r="L420"/>
  <c r="U430" s="1"/>
  <c r="L427" s="1"/>
  <c r="K420"/>
  <c r="J420"/>
  <c r="Q430" s="1"/>
  <c r="J427" s="1"/>
  <c r="I420"/>
  <c r="H420"/>
  <c r="H426" s="1"/>
  <c r="E418"/>
  <c r="BD418"/>
  <c r="BC418"/>
  <c r="AF418"/>
  <c r="L429" s="1"/>
  <c r="AD418"/>
  <c r="L428" s="1"/>
  <c r="AE418"/>
  <c r="J429" s="1"/>
  <c r="AC418"/>
  <c r="J428" s="1"/>
  <c r="G418"/>
  <c r="D418"/>
  <c r="B418"/>
  <c r="A418"/>
  <c r="Z417"/>
  <c r="W417"/>
  <c r="U417"/>
  <c r="P417"/>
  <c r="AY417"/>
  <c r="AZ417"/>
  <c r="AP417"/>
  <c r="X417"/>
  <c r="V417"/>
  <c r="R417"/>
  <c r="Q417"/>
  <c r="BA417"/>
  <c r="AQ417"/>
  <c r="AX417"/>
  <c r="C416"/>
  <c r="J414"/>
  <c r="AN417" s="1"/>
  <c r="H414"/>
  <c r="E414"/>
  <c r="BD414"/>
  <c r="BC414"/>
  <c r="AF414"/>
  <c r="AT414" s="1"/>
  <c r="AD414"/>
  <c r="AS414" s="1"/>
  <c r="AE414"/>
  <c r="AC414"/>
  <c r="G414"/>
  <c r="D414"/>
  <c r="C414"/>
  <c r="B414"/>
  <c r="A414"/>
  <c r="Z413"/>
  <c r="W413"/>
  <c r="U413"/>
  <c r="P413"/>
  <c r="AY413"/>
  <c r="AZ413"/>
  <c r="AP413"/>
  <c r="X413"/>
  <c r="V413"/>
  <c r="R413"/>
  <c r="Q413"/>
  <c r="BA413"/>
  <c r="AQ413"/>
  <c r="AX413"/>
  <c r="J411"/>
  <c r="H411"/>
  <c r="E411"/>
  <c r="BD411"/>
  <c r="BC411"/>
  <c r="AF411"/>
  <c r="AT411" s="1"/>
  <c r="AD411"/>
  <c r="AS411" s="1"/>
  <c r="AE411"/>
  <c r="AC411"/>
  <c r="G411"/>
  <c r="D411"/>
  <c r="C411"/>
  <c r="B411"/>
  <c r="A411"/>
  <c r="Z410"/>
  <c r="W410"/>
  <c r="U410"/>
  <c r="P410"/>
  <c r="AY410"/>
  <c r="AZ410"/>
  <c r="AP410"/>
  <c r="X410"/>
  <c r="V410"/>
  <c r="R410"/>
  <c r="Q410"/>
  <c r="BA410"/>
  <c r="AQ410"/>
  <c r="AX410"/>
  <c r="C409"/>
  <c r="J407"/>
  <c r="AN410" s="1"/>
  <c r="H407"/>
  <c r="E407"/>
  <c r="BD407"/>
  <c r="BC407"/>
  <c r="AF407"/>
  <c r="AT407" s="1"/>
  <c r="AD407"/>
  <c r="AS407" s="1"/>
  <c r="AE407"/>
  <c r="AC407"/>
  <c r="G407"/>
  <c r="D407"/>
  <c r="C407"/>
  <c r="B407"/>
  <c r="A407"/>
  <c r="Z406"/>
  <c r="W406"/>
  <c r="U406"/>
  <c r="P406"/>
  <c r="AY406"/>
  <c r="AZ406"/>
  <c r="AP406"/>
  <c r="X406"/>
  <c r="V406"/>
  <c r="R406"/>
  <c r="Q406"/>
  <c r="BA406"/>
  <c r="AQ406"/>
  <c r="AX406"/>
  <c r="C405"/>
  <c r="J403"/>
  <c r="AN406" s="1"/>
  <c r="H403"/>
  <c r="E403"/>
  <c r="BD403"/>
  <c r="BC403"/>
  <c r="AF403"/>
  <c r="AT403" s="1"/>
  <c r="AD403"/>
  <c r="AS403" s="1"/>
  <c r="AE403"/>
  <c r="AC403"/>
  <c r="G403"/>
  <c r="D403"/>
  <c r="C403"/>
  <c r="B403"/>
  <c r="A403"/>
  <c r="Z402"/>
  <c r="P402"/>
  <c r="AY402"/>
  <c r="AZ402"/>
  <c r="BA402"/>
  <c r="AX402"/>
  <c r="G401"/>
  <c r="E401"/>
  <c r="G400"/>
  <c r="E400"/>
  <c r="G397"/>
  <c r="F397"/>
  <c r="E397"/>
  <c r="G396"/>
  <c r="F396"/>
  <c r="E396"/>
  <c r="J395"/>
  <c r="AB402" s="1"/>
  <c r="H395"/>
  <c r="L394"/>
  <c r="W402" s="1"/>
  <c r="K394"/>
  <c r="J394"/>
  <c r="V402" s="1"/>
  <c r="I394"/>
  <c r="H394"/>
  <c r="J393"/>
  <c r="X402" s="1"/>
  <c r="I393"/>
  <c r="H393"/>
  <c r="L392"/>
  <c r="U402" s="1"/>
  <c r="L399" s="1"/>
  <c r="K392"/>
  <c r="J392"/>
  <c r="R402" s="1"/>
  <c r="I392"/>
  <c r="H392"/>
  <c r="H398" s="1"/>
  <c r="C391"/>
  <c r="E389"/>
  <c r="BD389"/>
  <c r="BC389"/>
  <c r="AF389"/>
  <c r="L401" s="1"/>
  <c r="AD389"/>
  <c r="AS389" s="1"/>
  <c r="AE389"/>
  <c r="J401" s="1"/>
  <c r="AC389"/>
  <c r="J400" s="1"/>
  <c r="G389"/>
  <c r="D389"/>
  <c r="B389"/>
  <c r="A389"/>
  <c r="C388"/>
  <c r="Z387"/>
  <c r="P387"/>
  <c r="AY387"/>
  <c r="AZ387"/>
  <c r="BA387"/>
  <c r="AX387"/>
  <c r="G386"/>
  <c r="F386"/>
  <c r="E386"/>
  <c r="G385"/>
  <c r="F385"/>
  <c r="E385"/>
  <c r="G382"/>
  <c r="F382"/>
  <c r="E382"/>
  <c r="G381"/>
  <c r="F381"/>
  <c r="E381"/>
  <c r="J380"/>
  <c r="AB387" s="1"/>
  <c r="H380"/>
  <c r="L379"/>
  <c r="W387" s="1"/>
  <c r="K379"/>
  <c r="J379"/>
  <c r="V387" s="1"/>
  <c r="I379"/>
  <c r="H379"/>
  <c r="J378"/>
  <c r="AP387" s="1"/>
  <c r="I378"/>
  <c r="H378"/>
  <c r="L377"/>
  <c r="U387" s="1"/>
  <c r="L384" s="1"/>
  <c r="K377"/>
  <c r="J377"/>
  <c r="Q387" s="1"/>
  <c r="J384" s="1"/>
  <c r="I377"/>
  <c r="H377"/>
  <c r="H383" s="1"/>
  <c r="C376"/>
  <c r="E374"/>
  <c r="BD374"/>
  <c r="BC374"/>
  <c r="AF374"/>
  <c r="L386" s="1"/>
  <c r="AD374"/>
  <c r="L385" s="1"/>
  <c r="AE374"/>
  <c r="J386" s="1"/>
  <c r="AC374"/>
  <c r="J385" s="1"/>
  <c r="G374"/>
  <c r="D374"/>
  <c r="B374"/>
  <c r="A374"/>
  <c r="Z373"/>
  <c r="W373"/>
  <c r="U373"/>
  <c r="P373"/>
  <c r="AY373"/>
  <c r="AZ373"/>
  <c r="AP373"/>
  <c r="X373"/>
  <c r="V373"/>
  <c r="R373"/>
  <c r="Q373"/>
  <c r="BA373"/>
  <c r="AQ373"/>
  <c r="AX373"/>
  <c r="C372"/>
  <c r="J370"/>
  <c r="AN373" s="1"/>
  <c r="H370"/>
  <c r="E370"/>
  <c r="BD370"/>
  <c r="BC370"/>
  <c r="AF370"/>
  <c r="AT370" s="1"/>
  <c r="AD370"/>
  <c r="AS370" s="1"/>
  <c r="AE370"/>
  <c r="AC370"/>
  <c r="G370"/>
  <c r="D370"/>
  <c r="C370"/>
  <c r="B370"/>
  <c r="A370"/>
  <c r="Z369"/>
  <c r="W369"/>
  <c r="U369"/>
  <c r="P369"/>
  <c r="AY369"/>
  <c r="AZ369"/>
  <c r="AP369"/>
  <c r="X369"/>
  <c r="V369"/>
  <c r="R369"/>
  <c r="Q369"/>
  <c r="BA369"/>
  <c r="AQ369"/>
  <c r="AX369"/>
  <c r="J367"/>
  <c r="AN369" s="1"/>
  <c r="H367"/>
  <c r="E367"/>
  <c r="BD367"/>
  <c r="BC367"/>
  <c r="AF367"/>
  <c r="AT367" s="1"/>
  <c r="AD367"/>
  <c r="AS367" s="1"/>
  <c r="AE367"/>
  <c r="AC367"/>
  <c r="G367"/>
  <c r="D367"/>
  <c r="C367"/>
  <c r="B367"/>
  <c r="A367"/>
  <c r="Z366"/>
  <c r="W366"/>
  <c r="U366"/>
  <c r="P366"/>
  <c r="AY366"/>
  <c r="AZ366"/>
  <c r="AP366"/>
  <c r="X366"/>
  <c r="V366"/>
  <c r="R366"/>
  <c r="Q366"/>
  <c r="BA366"/>
  <c r="AQ366"/>
  <c r="AX366"/>
  <c r="C365"/>
  <c r="J363"/>
  <c r="AN366" s="1"/>
  <c r="H363"/>
  <c r="E363"/>
  <c r="BD363"/>
  <c r="BC363"/>
  <c r="AF363"/>
  <c r="AT363" s="1"/>
  <c r="AD363"/>
  <c r="AS363" s="1"/>
  <c r="AE363"/>
  <c r="AC363"/>
  <c r="G363"/>
  <c r="D363"/>
  <c r="C363"/>
  <c r="B363"/>
  <c r="A363"/>
  <c r="Z362"/>
  <c r="W362"/>
  <c r="U362"/>
  <c r="P362"/>
  <c r="AY362"/>
  <c r="AZ362"/>
  <c r="AP362"/>
  <c r="X362"/>
  <c r="V362"/>
  <c r="R362"/>
  <c r="Q362"/>
  <c r="BA362"/>
  <c r="AQ362"/>
  <c r="AX362"/>
  <c r="C361"/>
  <c r="J359"/>
  <c r="AN362" s="1"/>
  <c r="H359"/>
  <c r="E359"/>
  <c r="BD359"/>
  <c r="BC359"/>
  <c r="AF359"/>
  <c r="AT359" s="1"/>
  <c r="AD359"/>
  <c r="AS359" s="1"/>
  <c r="AE359"/>
  <c r="AC359"/>
  <c r="G359"/>
  <c r="D359"/>
  <c r="C359"/>
  <c r="B359"/>
  <c r="A359"/>
  <c r="Z358"/>
  <c r="P358"/>
  <c r="AY358"/>
  <c r="AZ358"/>
  <c r="BA358"/>
  <c r="AX358"/>
  <c r="G357"/>
  <c r="E357"/>
  <c r="G356"/>
  <c r="E356"/>
  <c r="G353"/>
  <c r="F353"/>
  <c r="E353"/>
  <c r="G352"/>
  <c r="F352"/>
  <c r="E352"/>
  <c r="J351"/>
  <c r="AB358" s="1"/>
  <c r="H351"/>
  <c r="L350"/>
  <c r="W358" s="1"/>
  <c r="K350"/>
  <c r="J350"/>
  <c r="V358" s="1"/>
  <c r="I350"/>
  <c r="H350"/>
  <c r="J349"/>
  <c r="X358" s="1"/>
  <c r="I349"/>
  <c r="H349"/>
  <c r="L348"/>
  <c r="U358" s="1"/>
  <c r="L355" s="1"/>
  <c r="K348"/>
  <c r="J348"/>
  <c r="R358" s="1"/>
  <c r="I348"/>
  <c r="H348"/>
  <c r="H354" s="1"/>
  <c r="C347"/>
  <c r="E345"/>
  <c r="BD345"/>
  <c r="BC345"/>
  <c r="AF345"/>
  <c r="L357" s="1"/>
  <c r="AD345"/>
  <c r="AS345" s="1"/>
  <c r="AE345"/>
  <c r="J357" s="1"/>
  <c r="AC345"/>
  <c r="J356" s="1"/>
  <c r="G345"/>
  <c r="D345"/>
  <c r="B345"/>
  <c r="A345"/>
  <c r="Z344"/>
  <c r="W344"/>
  <c r="U344"/>
  <c r="P344"/>
  <c r="AY344"/>
  <c r="AZ344"/>
  <c r="AP344"/>
  <c r="X344"/>
  <c r="V344"/>
  <c r="R344"/>
  <c r="Q344"/>
  <c r="BA344"/>
  <c r="AQ344"/>
  <c r="AX344"/>
  <c r="C343"/>
  <c r="J341"/>
  <c r="AN344" s="1"/>
  <c r="H341"/>
  <c r="E341"/>
  <c r="BD341"/>
  <c r="BC341"/>
  <c r="AF341"/>
  <c r="AT341" s="1"/>
  <c r="AD341"/>
  <c r="AS341" s="1"/>
  <c r="AE341"/>
  <c r="AC341"/>
  <c r="G341"/>
  <c r="D341"/>
  <c r="C341"/>
  <c r="B341"/>
  <c r="A341"/>
  <c r="Z340"/>
  <c r="W340"/>
  <c r="U340"/>
  <c r="P340"/>
  <c r="AY340"/>
  <c r="AZ340"/>
  <c r="AP340"/>
  <c r="X340"/>
  <c r="V340"/>
  <c r="R340"/>
  <c r="Q340"/>
  <c r="BA340"/>
  <c r="AQ340"/>
  <c r="AX340"/>
  <c r="J338"/>
  <c r="AN340" s="1"/>
  <c r="H338"/>
  <c r="E338"/>
  <c r="BD338"/>
  <c r="BC338"/>
  <c r="AF338"/>
  <c r="AT338" s="1"/>
  <c r="AD338"/>
  <c r="AS338" s="1"/>
  <c r="AE338"/>
  <c r="AC338"/>
  <c r="G338"/>
  <c r="D338"/>
  <c r="C338"/>
  <c r="B338"/>
  <c r="A338"/>
  <c r="Z337"/>
  <c r="W337"/>
  <c r="U337"/>
  <c r="P337"/>
  <c r="AY337"/>
  <c r="AZ337"/>
  <c r="AP337"/>
  <c r="X337"/>
  <c r="V337"/>
  <c r="R337"/>
  <c r="Q337"/>
  <c r="BA337"/>
  <c r="AQ337"/>
  <c r="AX337"/>
  <c r="C336"/>
  <c r="J334"/>
  <c r="AN337" s="1"/>
  <c r="H334"/>
  <c r="E334"/>
  <c r="BD334"/>
  <c r="BC334"/>
  <c r="AF334"/>
  <c r="AT334" s="1"/>
  <c r="AD334"/>
  <c r="AS334" s="1"/>
  <c r="AE334"/>
  <c r="AC334"/>
  <c r="G334"/>
  <c r="D334"/>
  <c r="C334"/>
  <c r="B334"/>
  <c r="A334"/>
  <c r="Z333"/>
  <c r="W333"/>
  <c r="U333"/>
  <c r="P333"/>
  <c r="AY333"/>
  <c r="AZ333"/>
  <c r="AP333"/>
  <c r="X333"/>
  <c r="V333"/>
  <c r="R333"/>
  <c r="Q333"/>
  <c r="BA333"/>
  <c r="AQ333"/>
  <c r="AX333"/>
  <c r="C332"/>
  <c r="J330"/>
  <c r="AN333" s="1"/>
  <c r="H330"/>
  <c r="E330"/>
  <c r="BD330"/>
  <c r="BC330"/>
  <c r="AF330"/>
  <c r="AT330" s="1"/>
  <c r="AD330"/>
  <c r="AS330" s="1"/>
  <c r="AE330"/>
  <c r="AC330"/>
  <c r="G330"/>
  <c r="D330"/>
  <c r="C330"/>
  <c r="B330"/>
  <c r="A330"/>
  <c r="Z329"/>
  <c r="P329"/>
  <c r="AY329"/>
  <c r="AZ329"/>
  <c r="BA329"/>
  <c r="AX329"/>
  <c r="G328"/>
  <c r="E328"/>
  <c r="G327"/>
  <c r="E327"/>
  <c r="G324"/>
  <c r="F324"/>
  <c r="E324"/>
  <c r="G323"/>
  <c r="F323"/>
  <c r="E323"/>
  <c r="J322"/>
  <c r="AB329" s="1"/>
  <c r="H322"/>
  <c r="L321"/>
  <c r="W329" s="1"/>
  <c r="K321"/>
  <c r="J321"/>
  <c r="V329" s="1"/>
  <c r="I321"/>
  <c r="H321"/>
  <c r="J320"/>
  <c r="AP329" s="1"/>
  <c r="I320"/>
  <c r="H320"/>
  <c r="L319"/>
  <c r="U329" s="1"/>
  <c r="L326" s="1"/>
  <c r="K319"/>
  <c r="J319"/>
  <c r="Q329" s="1"/>
  <c r="J326" s="1"/>
  <c r="I319"/>
  <c r="H319"/>
  <c r="H325" s="1"/>
  <c r="C318"/>
  <c r="E316"/>
  <c r="BD316"/>
  <c r="BC316"/>
  <c r="AF316"/>
  <c r="L328" s="1"/>
  <c r="AD316"/>
  <c r="L327" s="1"/>
  <c r="AE316"/>
  <c r="J328" s="1"/>
  <c r="AC316"/>
  <c r="J327" s="1"/>
  <c r="G316"/>
  <c r="D316"/>
  <c r="B316"/>
  <c r="A316"/>
  <c r="Z315"/>
  <c r="W315"/>
  <c r="U315"/>
  <c r="P315"/>
  <c r="AY315"/>
  <c r="AZ315"/>
  <c r="AP315"/>
  <c r="X315"/>
  <c r="V315"/>
  <c r="R315"/>
  <c r="Q315"/>
  <c r="BA315"/>
  <c r="AQ315"/>
  <c r="AX315"/>
  <c r="C314"/>
  <c r="J312"/>
  <c r="AN315" s="1"/>
  <c r="H312"/>
  <c r="E312"/>
  <c r="BD312"/>
  <c r="BC312"/>
  <c r="AF312"/>
  <c r="AT312" s="1"/>
  <c r="AD312"/>
  <c r="AS312" s="1"/>
  <c r="AE312"/>
  <c r="AC312"/>
  <c r="G312"/>
  <c r="D312"/>
  <c r="C312"/>
  <c r="B312"/>
  <c r="A312"/>
  <c r="Z311"/>
  <c r="W311"/>
  <c r="U311"/>
  <c r="P311"/>
  <c r="AY311"/>
  <c r="AZ311"/>
  <c r="AP311"/>
  <c r="X311"/>
  <c r="V311"/>
  <c r="R311"/>
  <c r="Q311"/>
  <c r="BA311"/>
  <c r="AQ311"/>
  <c r="AX311"/>
  <c r="J309"/>
  <c r="AN311" s="1"/>
  <c r="H309"/>
  <c r="E309"/>
  <c r="BD309"/>
  <c r="BC309"/>
  <c r="AF309"/>
  <c r="AT309" s="1"/>
  <c r="AD309"/>
  <c r="AS309" s="1"/>
  <c r="AE309"/>
  <c r="AC309"/>
  <c r="G309"/>
  <c r="D309"/>
  <c r="C309"/>
  <c r="B309"/>
  <c r="A309"/>
  <c r="Z308"/>
  <c r="W308"/>
  <c r="U308"/>
  <c r="P308"/>
  <c r="AY308"/>
  <c r="AZ308"/>
  <c r="AP308"/>
  <c r="X308"/>
  <c r="V308"/>
  <c r="R308"/>
  <c r="Q308"/>
  <c r="BA308"/>
  <c r="AQ308"/>
  <c r="AX308"/>
  <c r="C307"/>
  <c r="J305"/>
  <c r="AN308" s="1"/>
  <c r="H305"/>
  <c r="E305"/>
  <c r="BD305"/>
  <c r="BC305"/>
  <c r="AF305"/>
  <c r="AT305" s="1"/>
  <c r="AD305"/>
  <c r="AS305" s="1"/>
  <c r="AE305"/>
  <c r="AC305"/>
  <c r="G305"/>
  <c r="D305"/>
  <c r="C305"/>
  <c r="B305"/>
  <c r="A305"/>
  <c r="Z304"/>
  <c r="W304"/>
  <c r="U304"/>
  <c r="P304"/>
  <c r="AY304"/>
  <c r="AZ304"/>
  <c r="AP304"/>
  <c r="X304"/>
  <c r="V304"/>
  <c r="R304"/>
  <c r="Q304"/>
  <c r="BA304"/>
  <c r="AQ304"/>
  <c r="AX304"/>
  <c r="C303"/>
  <c r="J301"/>
  <c r="AN304" s="1"/>
  <c r="H301"/>
  <c r="E301"/>
  <c r="BD301"/>
  <c r="BC301"/>
  <c r="AF301"/>
  <c r="AT301" s="1"/>
  <c r="AD301"/>
  <c r="AS301" s="1"/>
  <c r="AE301"/>
  <c r="AC301"/>
  <c r="G301"/>
  <c r="D301"/>
  <c r="C301"/>
  <c r="B301"/>
  <c r="A301"/>
  <c r="Z300"/>
  <c r="P300"/>
  <c r="AY300"/>
  <c r="AZ300"/>
  <c r="BA300"/>
  <c r="AX300"/>
  <c r="G299"/>
  <c r="E299"/>
  <c r="G298"/>
  <c r="E298"/>
  <c r="G295"/>
  <c r="F295"/>
  <c r="E295"/>
  <c r="G294"/>
  <c r="F294"/>
  <c r="E294"/>
  <c r="J293"/>
  <c r="AB300" s="1"/>
  <c r="H293"/>
  <c r="L292"/>
  <c r="W300" s="1"/>
  <c r="K292"/>
  <c r="J292"/>
  <c r="V300" s="1"/>
  <c r="I292"/>
  <c r="H292"/>
  <c r="J291"/>
  <c r="X300" s="1"/>
  <c r="I291"/>
  <c r="H291"/>
  <c r="L290"/>
  <c r="U300" s="1"/>
  <c r="L297" s="1"/>
  <c r="K290"/>
  <c r="J290"/>
  <c r="R300" s="1"/>
  <c r="I290"/>
  <c r="H290"/>
  <c r="H296" s="1"/>
  <c r="E288"/>
  <c r="BD288"/>
  <c r="BC288"/>
  <c r="AF288"/>
  <c r="AT288" s="1"/>
  <c r="AD288"/>
  <c r="L298" s="1"/>
  <c r="AE288"/>
  <c r="J299" s="1"/>
  <c r="AC288"/>
  <c r="J298" s="1"/>
  <c r="G288"/>
  <c r="D288"/>
  <c r="B288"/>
  <c r="A288"/>
  <c r="Z287"/>
  <c r="W287"/>
  <c r="U287"/>
  <c r="P287"/>
  <c r="AY287"/>
  <c r="AZ287"/>
  <c r="AP287"/>
  <c r="X287"/>
  <c r="V287"/>
  <c r="R287"/>
  <c r="Q287"/>
  <c r="BA287"/>
  <c r="AQ287"/>
  <c r="AX287"/>
  <c r="C286"/>
  <c r="J284"/>
  <c r="AN287" s="1"/>
  <c r="H284"/>
  <c r="E284"/>
  <c r="BD284"/>
  <c r="BC284"/>
  <c r="AF284"/>
  <c r="AT284" s="1"/>
  <c r="AD284"/>
  <c r="AS284" s="1"/>
  <c r="AE284"/>
  <c r="AC284"/>
  <c r="G284"/>
  <c r="D284"/>
  <c r="C284"/>
  <c r="B284"/>
  <c r="A284"/>
  <c r="Z283"/>
  <c r="W283"/>
  <c r="U283"/>
  <c r="P283"/>
  <c r="AY283"/>
  <c r="AZ283"/>
  <c r="AP283"/>
  <c r="X283"/>
  <c r="V283"/>
  <c r="R283"/>
  <c r="Q283"/>
  <c r="BA283"/>
  <c r="AQ283"/>
  <c r="AX283"/>
  <c r="J281"/>
  <c r="AN283" s="1"/>
  <c r="H281"/>
  <c r="E281"/>
  <c r="BD281"/>
  <c r="BC281"/>
  <c r="AF281"/>
  <c r="AT281" s="1"/>
  <c r="AD281"/>
  <c r="AS281" s="1"/>
  <c r="AE281"/>
  <c r="AC281"/>
  <c r="G281"/>
  <c r="D281"/>
  <c r="C281"/>
  <c r="B281"/>
  <c r="A281"/>
  <c r="Z280"/>
  <c r="W280"/>
  <c r="U280"/>
  <c r="P280"/>
  <c r="AY280"/>
  <c r="AZ280"/>
  <c r="AP280"/>
  <c r="X280"/>
  <c r="V280"/>
  <c r="R280"/>
  <c r="Q280"/>
  <c r="BA280"/>
  <c r="AQ280"/>
  <c r="AX280"/>
  <c r="C279"/>
  <c r="J277"/>
  <c r="AN280" s="1"/>
  <c r="H277"/>
  <c r="E277"/>
  <c r="BD277"/>
  <c r="BC277"/>
  <c r="AF277"/>
  <c r="AT277" s="1"/>
  <c r="AD277"/>
  <c r="AS277" s="1"/>
  <c r="AE277"/>
  <c r="AC277"/>
  <c r="G277"/>
  <c r="D277"/>
  <c r="C277"/>
  <c r="B277"/>
  <c r="A277"/>
  <c r="Z276"/>
  <c r="W276"/>
  <c r="U276"/>
  <c r="P276"/>
  <c r="AY276"/>
  <c r="AZ276"/>
  <c r="AP276"/>
  <c r="X276"/>
  <c r="V276"/>
  <c r="R276"/>
  <c r="Q276"/>
  <c r="BA276"/>
  <c r="AQ276"/>
  <c r="AX276"/>
  <c r="C275"/>
  <c r="J273"/>
  <c r="AN276" s="1"/>
  <c r="H273"/>
  <c r="E273"/>
  <c r="BD273"/>
  <c r="BC273"/>
  <c r="AF273"/>
  <c r="AT273" s="1"/>
  <c r="AD273"/>
  <c r="AS273" s="1"/>
  <c r="AE273"/>
  <c r="AC273"/>
  <c r="G273"/>
  <c r="D273"/>
  <c r="C273"/>
  <c r="B273"/>
  <c r="A273"/>
  <c r="Z272"/>
  <c r="P272"/>
  <c r="AY272"/>
  <c r="AZ272"/>
  <c r="BA272"/>
  <c r="AX272"/>
  <c r="G271"/>
  <c r="F271"/>
  <c r="E271"/>
  <c r="G270"/>
  <c r="F270"/>
  <c r="E270"/>
  <c r="G267"/>
  <c r="F267"/>
  <c r="E267"/>
  <c r="G266"/>
  <c r="F266"/>
  <c r="E266"/>
  <c r="J265"/>
  <c r="AB272" s="1"/>
  <c r="H265"/>
  <c r="L264"/>
  <c r="W272" s="1"/>
  <c r="K264"/>
  <c r="J264"/>
  <c r="V272" s="1"/>
  <c r="I264"/>
  <c r="H264"/>
  <c r="J263"/>
  <c r="X272" s="1"/>
  <c r="I263"/>
  <c r="H263"/>
  <c r="L262"/>
  <c r="U272" s="1"/>
  <c r="L269" s="1"/>
  <c r="K262"/>
  <c r="J262"/>
  <c r="R272" s="1"/>
  <c r="I262"/>
  <c r="H262"/>
  <c r="H268" s="1"/>
  <c r="E260"/>
  <c r="BD260"/>
  <c r="BC260"/>
  <c r="AF260"/>
  <c r="AT260" s="1"/>
  <c r="AD260"/>
  <c r="L270" s="1"/>
  <c r="AE260"/>
  <c r="J271" s="1"/>
  <c r="AC260"/>
  <c r="J270" s="1"/>
  <c r="G260"/>
  <c r="D260"/>
  <c r="B260"/>
  <c r="A260"/>
  <c r="Z259"/>
  <c r="P259"/>
  <c r="AB259"/>
  <c r="AY259"/>
  <c r="AO259"/>
  <c r="AZ259"/>
  <c r="BA259"/>
  <c r="AX259"/>
  <c r="G258"/>
  <c r="E258"/>
  <c r="G257"/>
  <c r="E257"/>
  <c r="G254"/>
  <c r="F254"/>
  <c r="E254"/>
  <c r="G253"/>
  <c r="F253"/>
  <c r="E253"/>
  <c r="L252"/>
  <c r="W259" s="1"/>
  <c r="K252"/>
  <c r="J252"/>
  <c r="V259" s="1"/>
  <c r="I252"/>
  <c r="H252"/>
  <c r="J251"/>
  <c r="AP259" s="1"/>
  <c r="I251"/>
  <c r="H251"/>
  <c r="L250"/>
  <c r="U259" s="1"/>
  <c r="L256" s="1"/>
  <c r="K250"/>
  <c r="J250"/>
  <c r="Q259" s="1"/>
  <c r="J256" s="1"/>
  <c r="I250"/>
  <c r="H250"/>
  <c r="H255" s="1"/>
  <c r="E248"/>
  <c r="BD248"/>
  <c r="BC248"/>
  <c r="AF248"/>
  <c r="L258" s="1"/>
  <c r="AD248"/>
  <c r="L257" s="1"/>
  <c r="AE248"/>
  <c r="J258" s="1"/>
  <c r="AC248"/>
  <c r="J257" s="1"/>
  <c r="G248"/>
  <c r="D248"/>
  <c r="B248"/>
  <c r="A248"/>
  <c r="C247"/>
  <c r="Z246"/>
  <c r="W246"/>
  <c r="U246"/>
  <c r="AY246"/>
  <c r="AZ246"/>
  <c r="AP246"/>
  <c r="X246"/>
  <c r="V246"/>
  <c r="R246"/>
  <c r="Q246"/>
  <c r="BA246"/>
  <c r="AQ246"/>
  <c r="AX246"/>
  <c r="L244"/>
  <c r="K246" s="1"/>
  <c r="J244"/>
  <c r="AN246" s="1"/>
  <c r="K244"/>
  <c r="H244"/>
  <c r="E244"/>
  <c r="BD244"/>
  <c r="BC244"/>
  <c r="AF244"/>
  <c r="AT244" s="1"/>
  <c r="AD244"/>
  <c r="AS244" s="1"/>
  <c r="AE244"/>
  <c r="AC244"/>
  <c r="G244"/>
  <c r="D244"/>
  <c r="C244"/>
  <c r="B244"/>
  <c r="A244"/>
  <c r="Z243"/>
  <c r="W243"/>
  <c r="U243"/>
  <c r="P243"/>
  <c r="AY243"/>
  <c r="AZ243"/>
  <c r="AP243"/>
  <c r="X243"/>
  <c r="V243"/>
  <c r="R243"/>
  <c r="Q243"/>
  <c r="BA243"/>
  <c r="AQ243"/>
  <c r="AX243"/>
  <c r="C242"/>
  <c r="J240"/>
  <c r="AN243" s="1"/>
  <c r="H240"/>
  <c r="E240"/>
  <c r="BD240"/>
  <c r="BC240"/>
  <c r="AF240"/>
  <c r="AT240" s="1"/>
  <c r="AD240"/>
  <c r="AS240" s="1"/>
  <c r="AE240"/>
  <c r="AC240"/>
  <c r="G240"/>
  <c r="D240"/>
  <c r="C240"/>
  <c r="B240"/>
  <c r="A240"/>
  <c r="Z239"/>
  <c r="W239"/>
  <c r="P239"/>
  <c r="AY239"/>
  <c r="AZ239"/>
  <c r="V239"/>
  <c r="BA239"/>
  <c r="AX239"/>
  <c r="G238"/>
  <c r="F238"/>
  <c r="E238"/>
  <c r="G237"/>
  <c r="F237"/>
  <c r="E237"/>
  <c r="G234"/>
  <c r="F234"/>
  <c r="E234"/>
  <c r="J233"/>
  <c r="AB239" s="1"/>
  <c r="H233"/>
  <c r="J232"/>
  <c r="AP239" s="1"/>
  <c r="I232"/>
  <c r="H232"/>
  <c r="L231"/>
  <c r="U239" s="1"/>
  <c r="L236" s="1"/>
  <c r="K231"/>
  <c r="J231"/>
  <c r="Q239" s="1"/>
  <c r="J236" s="1"/>
  <c r="I231"/>
  <c r="H231"/>
  <c r="H235" s="1"/>
  <c r="C230"/>
  <c r="E228"/>
  <c r="BD228"/>
  <c r="BC228"/>
  <c r="AF228"/>
  <c r="L238" s="1"/>
  <c r="AD228"/>
  <c r="L237" s="1"/>
  <c r="AE228"/>
  <c r="J238" s="1"/>
  <c r="AC228"/>
  <c r="J237" s="1"/>
  <c r="G228"/>
  <c r="D228"/>
  <c r="B228"/>
  <c r="A228"/>
  <c r="Z227"/>
  <c r="P227"/>
  <c r="AY227"/>
  <c r="AZ227"/>
  <c r="BA227"/>
  <c r="AX227"/>
  <c r="G226"/>
  <c r="F226"/>
  <c r="E226"/>
  <c r="G225"/>
  <c r="F225"/>
  <c r="E225"/>
  <c r="G222"/>
  <c r="F222"/>
  <c r="E222"/>
  <c r="G221"/>
  <c r="F221"/>
  <c r="E221"/>
  <c r="J220"/>
  <c r="AB227" s="1"/>
  <c r="H220"/>
  <c r="L219"/>
  <c r="W227" s="1"/>
  <c r="K219"/>
  <c r="J219"/>
  <c r="V227" s="1"/>
  <c r="I219"/>
  <c r="H219"/>
  <c r="J218"/>
  <c r="AP227" s="1"/>
  <c r="I218"/>
  <c r="H218"/>
  <c r="L217"/>
  <c r="U227" s="1"/>
  <c r="L224" s="1"/>
  <c r="K217"/>
  <c r="J217"/>
  <c r="Q227" s="1"/>
  <c r="J224" s="1"/>
  <c r="I217"/>
  <c r="H217"/>
  <c r="H223" s="1"/>
  <c r="C216"/>
  <c r="E214"/>
  <c r="BD214"/>
  <c r="BC214"/>
  <c r="AF214"/>
  <c r="L226" s="1"/>
  <c r="AD214"/>
  <c r="L225" s="1"/>
  <c r="AE214"/>
  <c r="J226" s="1"/>
  <c r="AC214"/>
  <c r="J225" s="1"/>
  <c r="G214"/>
  <c r="D214"/>
  <c r="B214"/>
  <c r="A214"/>
  <c r="Z213"/>
  <c r="W213"/>
  <c r="U213"/>
  <c r="AY213"/>
  <c r="AZ213"/>
  <c r="AP213"/>
  <c r="X213"/>
  <c r="V213"/>
  <c r="R213"/>
  <c r="Q213"/>
  <c r="BA213"/>
  <c r="AQ213"/>
  <c r="AX213"/>
  <c r="L211"/>
  <c r="K213" s="1"/>
  <c r="J211"/>
  <c r="AN213" s="1"/>
  <c r="K211"/>
  <c r="H211"/>
  <c r="E211"/>
  <c r="BD211"/>
  <c r="BC211"/>
  <c r="AF211"/>
  <c r="AT211" s="1"/>
  <c r="AD211"/>
  <c r="AS211" s="1"/>
  <c r="AE211"/>
  <c r="AC211"/>
  <c r="G211"/>
  <c r="D211"/>
  <c r="C211"/>
  <c r="B211"/>
  <c r="A211"/>
  <c r="Z210"/>
  <c r="W210"/>
  <c r="U210"/>
  <c r="AY210"/>
  <c r="AZ210"/>
  <c r="AP210"/>
  <c r="X210"/>
  <c r="V210"/>
  <c r="R210"/>
  <c r="Q210"/>
  <c r="BA210"/>
  <c r="AQ210"/>
  <c r="AX210"/>
  <c r="L208"/>
  <c r="K210" s="1"/>
  <c r="J208"/>
  <c r="AN210" s="1"/>
  <c r="K208"/>
  <c r="H208"/>
  <c r="E208"/>
  <c r="BD208"/>
  <c r="BC208"/>
  <c r="AF208"/>
  <c r="AT208" s="1"/>
  <c r="AD208"/>
  <c r="AS208" s="1"/>
  <c r="AE208"/>
  <c r="AC208"/>
  <c r="G208"/>
  <c r="D208"/>
  <c r="C208"/>
  <c r="B208"/>
  <c r="A208"/>
  <c r="Z207"/>
  <c r="W207"/>
  <c r="U207"/>
  <c r="P207"/>
  <c r="AY207"/>
  <c r="AZ207"/>
  <c r="AP207"/>
  <c r="X207"/>
  <c r="V207"/>
  <c r="R207"/>
  <c r="Q207"/>
  <c r="BA207"/>
  <c r="AQ207"/>
  <c r="AX207"/>
  <c r="C206"/>
  <c r="J204"/>
  <c r="AN207" s="1"/>
  <c r="H204"/>
  <c r="E204"/>
  <c r="BD204"/>
  <c r="BC204"/>
  <c r="AF204"/>
  <c r="AT204" s="1"/>
  <c r="AD204"/>
  <c r="AS204" s="1"/>
  <c r="AE204"/>
  <c r="AC204"/>
  <c r="G204"/>
  <c r="D204"/>
  <c r="C204"/>
  <c r="B204"/>
  <c r="A204"/>
  <c r="Z203"/>
  <c r="W203"/>
  <c r="U203"/>
  <c r="P203"/>
  <c r="AY203"/>
  <c r="AZ203"/>
  <c r="AP203"/>
  <c r="X203"/>
  <c r="V203"/>
  <c r="R203"/>
  <c r="Q203"/>
  <c r="BA203"/>
  <c r="AQ203"/>
  <c r="AX203"/>
  <c r="C202"/>
  <c r="J200"/>
  <c r="AN203" s="1"/>
  <c r="H200"/>
  <c r="E200"/>
  <c r="BD200"/>
  <c r="BC200"/>
  <c r="AF200"/>
  <c r="AT200" s="1"/>
  <c r="AD200"/>
  <c r="AS200" s="1"/>
  <c r="AE200"/>
  <c r="AC200"/>
  <c r="G200"/>
  <c r="D200"/>
  <c r="C200"/>
  <c r="B200"/>
  <c r="A200"/>
  <c r="Z199"/>
  <c r="W199"/>
  <c r="P199"/>
  <c r="AY199"/>
  <c r="AZ199"/>
  <c r="V199"/>
  <c r="BA199"/>
  <c r="AX199"/>
  <c r="G198"/>
  <c r="F198"/>
  <c r="E198"/>
  <c r="G197"/>
  <c r="F197"/>
  <c r="E197"/>
  <c r="G194"/>
  <c r="F194"/>
  <c r="E194"/>
  <c r="J193"/>
  <c r="AB199" s="1"/>
  <c r="H193"/>
  <c r="J192"/>
  <c r="AP199" s="1"/>
  <c r="I192"/>
  <c r="H192"/>
  <c r="L191"/>
  <c r="U199" s="1"/>
  <c r="L196" s="1"/>
  <c r="K191"/>
  <c r="J191"/>
  <c r="Q199" s="1"/>
  <c r="J196" s="1"/>
  <c r="I191"/>
  <c r="H191"/>
  <c r="H195" s="1"/>
  <c r="C190"/>
  <c r="E188"/>
  <c r="BD188"/>
  <c r="BC188"/>
  <c r="AF188"/>
  <c r="L198" s="1"/>
  <c r="AD188"/>
  <c r="L197" s="1"/>
  <c r="AE188"/>
  <c r="J198" s="1"/>
  <c r="AC188"/>
  <c r="J197" s="1"/>
  <c r="G188"/>
  <c r="D188"/>
  <c r="B188"/>
  <c r="A188"/>
  <c r="Z187"/>
  <c r="W187"/>
  <c r="U187"/>
  <c r="AY187"/>
  <c r="AZ187"/>
  <c r="AP187"/>
  <c r="X187"/>
  <c r="V187"/>
  <c r="R187"/>
  <c r="Q187"/>
  <c r="BA187"/>
  <c r="AQ187"/>
  <c r="AX187"/>
  <c r="L185"/>
  <c r="K187" s="1"/>
  <c r="J185"/>
  <c r="AN187" s="1"/>
  <c r="K185"/>
  <c r="H185"/>
  <c r="E185"/>
  <c r="BD185"/>
  <c r="BC185"/>
  <c r="AF185"/>
  <c r="AT185" s="1"/>
  <c r="AD185"/>
  <c r="AS185" s="1"/>
  <c r="AE185"/>
  <c r="AC185"/>
  <c r="G185"/>
  <c r="D185"/>
  <c r="C185"/>
  <c r="B185"/>
  <c r="A185"/>
  <c r="Z184"/>
  <c r="W184"/>
  <c r="U184"/>
  <c r="P184"/>
  <c r="AY184"/>
  <c r="AZ184"/>
  <c r="AP184"/>
  <c r="X184"/>
  <c r="V184"/>
  <c r="R184"/>
  <c r="Q184"/>
  <c r="BA184"/>
  <c r="AQ184"/>
  <c r="AX184"/>
  <c r="C183"/>
  <c r="J181"/>
  <c r="AN184" s="1"/>
  <c r="H181"/>
  <c r="E181"/>
  <c r="BD181"/>
  <c r="BC181"/>
  <c r="AF181"/>
  <c r="AT181" s="1"/>
  <c r="AD181"/>
  <c r="AS181" s="1"/>
  <c r="AE181"/>
  <c r="AC181"/>
  <c r="G181"/>
  <c r="D181"/>
  <c r="C181"/>
  <c r="B181"/>
  <c r="A181"/>
  <c r="Z180"/>
  <c r="P180"/>
  <c r="AY180"/>
  <c r="AZ180"/>
  <c r="BA180"/>
  <c r="AX180"/>
  <c r="G179"/>
  <c r="F179"/>
  <c r="E179"/>
  <c r="G178"/>
  <c r="F178"/>
  <c r="E178"/>
  <c r="G175"/>
  <c r="F175"/>
  <c r="E175"/>
  <c r="G174"/>
  <c r="F174"/>
  <c r="E174"/>
  <c r="J173"/>
  <c r="AB180" s="1"/>
  <c r="H173"/>
  <c r="L172"/>
  <c r="W180" s="1"/>
  <c r="K172"/>
  <c r="J172"/>
  <c r="V180" s="1"/>
  <c r="I172"/>
  <c r="H172"/>
  <c r="J171"/>
  <c r="AP180" s="1"/>
  <c r="I171"/>
  <c r="H171"/>
  <c r="L170"/>
  <c r="U180" s="1"/>
  <c r="L177" s="1"/>
  <c r="K170"/>
  <c r="J170"/>
  <c r="Q180" s="1"/>
  <c r="J177" s="1"/>
  <c r="I170"/>
  <c r="H170"/>
  <c r="H176" s="1"/>
  <c r="C169"/>
  <c r="E167"/>
  <c r="BD167"/>
  <c r="BC167"/>
  <c r="AF167"/>
  <c r="L179" s="1"/>
  <c r="AD167"/>
  <c r="L178" s="1"/>
  <c r="AE167"/>
  <c r="J179" s="1"/>
  <c r="AC167"/>
  <c r="J178" s="1"/>
  <c r="G167"/>
  <c r="D167"/>
  <c r="B167"/>
  <c r="A167"/>
  <c r="Z166"/>
  <c r="W166"/>
  <c r="U166"/>
  <c r="P166"/>
  <c r="AY166"/>
  <c r="AZ166"/>
  <c r="AP166"/>
  <c r="X166"/>
  <c r="V166"/>
  <c r="R166"/>
  <c r="Q166"/>
  <c r="BA166"/>
  <c r="AQ166"/>
  <c r="AX166"/>
  <c r="J164"/>
  <c r="AN166" s="1"/>
  <c r="H164"/>
  <c r="E164"/>
  <c r="BD164"/>
  <c r="BC164"/>
  <c r="AF164"/>
  <c r="AT164" s="1"/>
  <c r="AD164"/>
  <c r="AS164" s="1"/>
  <c r="AE164"/>
  <c r="AC164"/>
  <c r="G164"/>
  <c r="D164"/>
  <c r="C164"/>
  <c r="B164"/>
  <c r="A164"/>
  <c r="Z163"/>
  <c r="W163"/>
  <c r="U163"/>
  <c r="P163"/>
  <c r="AY163"/>
  <c r="AZ163"/>
  <c r="AP163"/>
  <c r="X163"/>
  <c r="V163"/>
  <c r="R163"/>
  <c r="Q163"/>
  <c r="BA163"/>
  <c r="AQ163"/>
  <c r="AX163"/>
  <c r="C162"/>
  <c r="J160"/>
  <c r="AN163" s="1"/>
  <c r="H160"/>
  <c r="E160"/>
  <c r="BD160"/>
  <c r="BC160"/>
  <c r="AF160"/>
  <c r="AT160" s="1"/>
  <c r="AD160"/>
  <c r="AS160" s="1"/>
  <c r="AE160"/>
  <c r="AC160"/>
  <c r="G160"/>
  <c r="D160"/>
  <c r="C160"/>
  <c r="B160"/>
  <c r="A160"/>
  <c r="Z159"/>
  <c r="W159"/>
  <c r="U159"/>
  <c r="P159"/>
  <c r="AY159"/>
  <c r="AZ159"/>
  <c r="AP159"/>
  <c r="X159"/>
  <c r="V159"/>
  <c r="R159"/>
  <c r="Q159"/>
  <c r="BA159"/>
  <c r="AQ159"/>
  <c r="AX159"/>
  <c r="C158"/>
  <c r="J156"/>
  <c r="AN159" s="1"/>
  <c r="H156"/>
  <c r="E156"/>
  <c r="BD156"/>
  <c r="BC156"/>
  <c r="AF156"/>
  <c r="AT156" s="1"/>
  <c r="AD156"/>
  <c r="AS156" s="1"/>
  <c r="AE156"/>
  <c r="AC156"/>
  <c r="G156"/>
  <c r="D156"/>
  <c r="C156"/>
  <c r="B156"/>
  <c r="A156"/>
  <c r="Z155"/>
  <c r="W155"/>
  <c r="U155"/>
  <c r="P155"/>
  <c r="AY155"/>
  <c r="AZ155"/>
  <c r="AP155"/>
  <c r="X155"/>
  <c r="V155"/>
  <c r="R155"/>
  <c r="Q155"/>
  <c r="BA155"/>
  <c r="AQ155"/>
  <c r="AX155"/>
  <c r="C154"/>
  <c r="J152"/>
  <c r="AN155" s="1"/>
  <c r="H152"/>
  <c r="E152"/>
  <c r="BD152"/>
  <c r="BC152"/>
  <c r="AF152"/>
  <c r="AT152" s="1"/>
  <c r="AD152"/>
  <c r="AS152" s="1"/>
  <c r="AE152"/>
  <c r="AC152"/>
  <c r="G152"/>
  <c r="D152"/>
  <c r="C152"/>
  <c r="B152"/>
  <c r="A152"/>
  <c r="Z151"/>
  <c r="P151"/>
  <c r="AY151"/>
  <c r="AZ151"/>
  <c r="BA151"/>
  <c r="AX151"/>
  <c r="G150"/>
  <c r="E150"/>
  <c r="G149"/>
  <c r="E149"/>
  <c r="G146"/>
  <c r="F146"/>
  <c r="E146"/>
  <c r="G145"/>
  <c r="F145"/>
  <c r="E145"/>
  <c r="J144"/>
  <c r="AB151" s="1"/>
  <c r="H144"/>
  <c r="L143"/>
  <c r="W151" s="1"/>
  <c r="K143"/>
  <c r="J143"/>
  <c r="V151" s="1"/>
  <c r="I143"/>
  <c r="H143"/>
  <c r="J142"/>
  <c r="X151" s="1"/>
  <c r="I142"/>
  <c r="H142"/>
  <c r="L141"/>
  <c r="U151" s="1"/>
  <c r="L148" s="1"/>
  <c r="K141"/>
  <c r="J141"/>
  <c r="R151" s="1"/>
  <c r="I141"/>
  <c r="H141"/>
  <c r="H147" s="1"/>
  <c r="C140"/>
  <c r="E138"/>
  <c r="BD138"/>
  <c r="BC138"/>
  <c r="AF138"/>
  <c r="L150" s="1"/>
  <c r="AD138"/>
  <c r="AS138" s="1"/>
  <c r="AE138"/>
  <c r="J150" s="1"/>
  <c r="AC138"/>
  <c r="J149" s="1"/>
  <c r="G138"/>
  <c r="D138"/>
  <c r="B138"/>
  <c r="A138"/>
  <c r="Z137"/>
  <c r="W137"/>
  <c r="U137"/>
  <c r="AY137"/>
  <c r="AZ137"/>
  <c r="AP137"/>
  <c r="X137"/>
  <c r="V137"/>
  <c r="R137"/>
  <c r="Q137"/>
  <c r="BA137"/>
  <c r="AQ137"/>
  <c r="AX137"/>
  <c r="L135"/>
  <c r="K137" s="1"/>
  <c r="J135"/>
  <c r="AN137" s="1"/>
  <c r="K135"/>
  <c r="H135"/>
  <c r="E135"/>
  <c r="BD135"/>
  <c r="BC135"/>
  <c r="AF135"/>
  <c r="AT135" s="1"/>
  <c r="AD135"/>
  <c r="AS135" s="1"/>
  <c r="AE135"/>
  <c r="AC135"/>
  <c r="G135"/>
  <c r="D135"/>
  <c r="C135"/>
  <c r="B135"/>
  <c r="A135"/>
  <c r="Z134"/>
  <c r="W134"/>
  <c r="U134"/>
  <c r="AY134"/>
  <c r="AZ134"/>
  <c r="AP134"/>
  <c r="X134"/>
  <c r="V134"/>
  <c r="R134"/>
  <c r="Q134"/>
  <c r="BA134"/>
  <c r="AQ134"/>
  <c r="AX134"/>
  <c r="L132"/>
  <c r="K134" s="1"/>
  <c r="J132"/>
  <c r="AN134" s="1"/>
  <c r="K132"/>
  <c r="H132"/>
  <c r="E132"/>
  <c r="BD132"/>
  <c r="BC132"/>
  <c r="AF132"/>
  <c r="AT132" s="1"/>
  <c r="AD132"/>
  <c r="AS132" s="1"/>
  <c r="AE132"/>
  <c r="AC132"/>
  <c r="G132"/>
  <c r="D132"/>
  <c r="C132"/>
  <c r="B132"/>
  <c r="A132"/>
  <c r="Z131"/>
  <c r="W131"/>
  <c r="U131"/>
  <c r="P131"/>
  <c r="AY131"/>
  <c r="AZ131"/>
  <c r="AP131"/>
  <c r="X131"/>
  <c r="V131"/>
  <c r="R131"/>
  <c r="Q131"/>
  <c r="BA131"/>
  <c r="AQ131"/>
  <c r="AX131"/>
  <c r="C130"/>
  <c r="J128"/>
  <c r="AN131" s="1"/>
  <c r="H128"/>
  <c r="E128"/>
  <c r="BD128"/>
  <c r="BC128"/>
  <c r="AF128"/>
  <c r="AT128" s="1"/>
  <c r="AD128"/>
  <c r="AS128" s="1"/>
  <c r="AE128"/>
  <c r="AC128"/>
  <c r="G128"/>
  <c r="D128"/>
  <c r="C128"/>
  <c r="B128"/>
  <c r="A128"/>
  <c r="Z127"/>
  <c r="W127"/>
  <c r="U127"/>
  <c r="P127"/>
  <c r="AY127"/>
  <c r="AZ127"/>
  <c r="AP127"/>
  <c r="X127"/>
  <c r="V127"/>
  <c r="R127"/>
  <c r="Q127"/>
  <c r="BA127"/>
  <c r="AQ127"/>
  <c r="AX127"/>
  <c r="C126"/>
  <c r="J124"/>
  <c r="AN127" s="1"/>
  <c r="H124"/>
  <c r="E124"/>
  <c r="BD124"/>
  <c r="BC124"/>
  <c r="AF124"/>
  <c r="AT124" s="1"/>
  <c r="AD124"/>
  <c r="AS124" s="1"/>
  <c r="AE124"/>
  <c r="AC124"/>
  <c r="G124"/>
  <c r="D124"/>
  <c r="C124"/>
  <c r="B124"/>
  <c r="A124"/>
  <c r="Z123"/>
  <c r="W123"/>
  <c r="P123"/>
  <c r="AY123"/>
  <c r="AZ123"/>
  <c r="V123"/>
  <c r="BA123"/>
  <c r="AX123"/>
  <c r="G122"/>
  <c r="F122"/>
  <c r="E122"/>
  <c r="G121"/>
  <c r="F121"/>
  <c r="E121"/>
  <c r="G118"/>
  <c r="F118"/>
  <c r="E118"/>
  <c r="J117"/>
  <c r="AB123" s="1"/>
  <c r="H117"/>
  <c r="J116"/>
  <c r="X123" s="1"/>
  <c r="I116"/>
  <c r="H116"/>
  <c r="L115"/>
  <c r="U123" s="1"/>
  <c r="L120" s="1"/>
  <c r="K115"/>
  <c r="J115"/>
  <c r="R123" s="1"/>
  <c r="I115"/>
  <c r="H115"/>
  <c r="H119" s="1"/>
  <c r="C114"/>
  <c r="E112"/>
  <c r="BD112"/>
  <c r="BC112"/>
  <c r="AF112"/>
  <c r="L122" s="1"/>
  <c r="AD112"/>
  <c r="AS112" s="1"/>
  <c r="AE112"/>
  <c r="J122" s="1"/>
  <c r="AC112"/>
  <c r="J121" s="1"/>
  <c r="G112"/>
  <c r="D112"/>
  <c r="B112"/>
  <c r="A112"/>
  <c r="Z111"/>
  <c r="W111"/>
  <c r="U111"/>
  <c r="AY111"/>
  <c r="AZ111"/>
  <c r="AP111"/>
  <c r="X111"/>
  <c r="V111"/>
  <c r="R111"/>
  <c r="Q111"/>
  <c r="BA111"/>
  <c r="AQ111"/>
  <c r="AX111"/>
  <c r="C110"/>
  <c r="L108"/>
  <c r="K111" s="1"/>
  <c r="J108"/>
  <c r="AN111" s="1"/>
  <c r="K108"/>
  <c r="H108"/>
  <c r="E108"/>
  <c r="BD108"/>
  <c r="BC108"/>
  <c r="AF108"/>
  <c r="AT108" s="1"/>
  <c r="AD108"/>
  <c r="AS108" s="1"/>
  <c r="AE108"/>
  <c r="AC108"/>
  <c r="G108"/>
  <c r="D108"/>
  <c r="C108"/>
  <c r="B108"/>
  <c r="A108"/>
  <c r="Z107"/>
  <c r="W107"/>
  <c r="U107"/>
  <c r="P107"/>
  <c r="AY107"/>
  <c r="AZ107"/>
  <c r="AP107"/>
  <c r="X107"/>
  <c r="V107"/>
  <c r="R107"/>
  <c r="Q107"/>
  <c r="BA107"/>
  <c r="AQ107"/>
  <c r="AX107"/>
  <c r="C106"/>
  <c r="J104"/>
  <c r="AN107" s="1"/>
  <c r="H104"/>
  <c r="E104"/>
  <c r="BD104"/>
  <c r="BC104"/>
  <c r="AF104"/>
  <c r="AT104" s="1"/>
  <c r="AD104"/>
  <c r="AS104" s="1"/>
  <c r="AE104"/>
  <c r="AC104"/>
  <c r="G104"/>
  <c r="D104"/>
  <c r="C104"/>
  <c r="B104"/>
  <c r="A104"/>
  <c r="Z103"/>
  <c r="W103"/>
  <c r="P103"/>
  <c r="AY103"/>
  <c r="AZ103"/>
  <c r="V103"/>
  <c r="BA103"/>
  <c r="AX103"/>
  <c r="G102"/>
  <c r="E102"/>
  <c r="G101"/>
  <c r="E101"/>
  <c r="G98"/>
  <c r="F98"/>
  <c r="E98"/>
  <c r="J97"/>
  <c r="AB103" s="1"/>
  <c r="H97"/>
  <c r="J96"/>
  <c r="AP103" s="1"/>
  <c r="I96"/>
  <c r="H96"/>
  <c r="L95"/>
  <c r="U103" s="1"/>
  <c r="L100" s="1"/>
  <c r="K95"/>
  <c r="J95"/>
  <c r="Q103" s="1"/>
  <c r="J100" s="1"/>
  <c r="I95"/>
  <c r="H95"/>
  <c r="H99" s="1"/>
  <c r="C94"/>
  <c r="E92"/>
  <c r="BD92"/>
  <c r="BC92"/>
  <c r="AF92"/>
  <c r="L102" s="1"/>
  <c r="AD92"/>
  <c r="L101" s="1"/>
  <c r="AE92"/>
  <c r="J102" s="1"/>
  <c r="AC92"/>
  <c r="J101" s="1"/>
  <c r="G92"/>
  <c r="D92"/>
  <c r="B92"/>
  <c r="A92"/>
  <c r="C91"/>
  <c r="L88"/>
  <c r="L87"/>
  <c r="J85"/>
  <c r="J84"/>
  <c r="J83"/>
  <c r="J78" s="1"/>
  <c r="J82"/>
  <c r="J81"/>
  <c r="J80"/>
  <c r="J79"/>
  <c r="J77"/>
  <c r="J76"/>
  <c r="Z72"/>
  <c r="W72"/>
  <c r="P72"/>
  <c r="AB72"/>
  <c r="AY72"/>
  <c r="AO72"/>
  <c r="AZ72"/>
  <c r="V72"/>
  <c r="BA72"/>
  <c r="AQ72"/>
  <c r="AX72"/>
  <c r="G71"/>
  <c r="E71"/>
  <c r="G70"/>
  <c r="E70"/>
  <c r="G67"/>
  <c r="F67"/>
  <c r="E67"/>
  <c r="J66"/>
  <c r="X72" s="1"/>
  <c r="I66"/>
  <c r="H66"/>
  <c r="H68" s="1"/>
  <c r="L65"/>
  <c r="U72" s="1"/>
  <c r="L69" s="1"/>
  <c r="K65"/>
  <c r="J65"/>
  <c r="R72" s="1"/>
  <c r="I65"/>
  <c r="H65"/>
  <c r="C64"/>
  <c r="E62"/>
  <c r="BD62"/>
  <c r="BC62"/>
  <c r="AF62"/>
  <c r="L71" s="1"/>
  <c r="AD62"/>
  <c r="AS62" s="1"/>
  <c r="AE62"/>
  <c r="J71" s="1"/>
  <c r="AC62"/>
  <c r="J70" s="1"/>
  <c r="G62"/>
  <c r="D62"/>
  <c r="B62"/>
  <c r="A62"/>
  <c r="L59"/>
  <c r="Z61"/>
  <c r="U61"/>
  <c r="P61"/>
  <c r="AB61"/>
  <c r="AY61"/>
  <c r="AO61"/>
  <c r="AZ61"/>
  <c r="V61"/>
  <c r="Q61"/>
  <c r="J58" s="1"/>
  <c r="BA61"/>
  <c r="AQ61"/>
  <c r="AX61"/>
  <c r="G60"/>
  <c r="F60"/>
  <c r="E60"/>
  <c r="G59"/>
  <c r="F59"/>
  <c r="E59"/>
  <c r="G56"/>
  <c r="F56"/>
  <c r="E56"/>
  <c r="G55"/>
  <c r="F55"/>
  <c r="E55"/>
  <c r="L54"/>
  <c r="W61" s="1"/>
  <c r="K54"/>
  <c r="J54"/>
  <c r="I54"/>
  <c r="H54"/>
  <c r="J53"/>
  <c r="X61" s="1"/>
  <c r="I53"/>
  <c r="H53"/>
  <c r="H57" s="1"/>
  <c r="L52"/>
  <c r="K52"/>
  <c r="J52"/>
  <c r="R61" s="1"/>
  <c r="I52"/>
  <c r="H52"/>
  <c r="C51"/>
  <c r="E49"/>
  <c r="BD49"/>
  <c r="BC49"/>
  <c r="AF49"/>
  <c r="L60" s="1"/>
  <c r="AD49"/>
  <c r="AS49" s="1"/>
  <c r="AE49"/>
  <c r="J60" s="1"/>
  <c r="AC49"/>
  <c r="J59" s="1"/>
  <c r="G49"/>
  <c r="D49"/>
  <c r="B49"/>
  <c r="A49"/>
  <c r="J40"/>
  <c r="I40"/>
  <c r="B23"/>
  <c r="B21"/>
  <c r="B18"/>
  <c r="H6"/>
  <c r="B6"/>
  <c r="A1"/>
  <c r="A1" i="4"/>
  <c r="A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609"/>
  <c r="A610"/>
  <c r="A611"/>
  <c r="A612"/>
  <c r="A613"/>
  <c r="A614"/>
  <c r="A615"/>
  <c r="A616"/>
  <c r="A617"/>
  <c r="A618"/>
  <c r="A619"/>
  <c r="A620"/>
  <c r="A621"/>
  <c r="A622"/>
  <c r="A623"/>
  <c r="A624"/>
  <c r="A625"/>
  <c r="A626"/>
  <c r="A627"/>
  <c r="A628"/>
  <c r="A629"/>
  <c r="A630"/>
  <c r="A631"/>
  <c r="A632"/>
  <c r="A633"/>
  <c r="A634"/>
  <c r="A635"/>
  <c r="A636"/>
  <c r="A637"/>
  <c r="A638"/>
  <c r="A639"/>
  <c r="A640"/>
  <c r="A641"/>
  <c r="A642"/>
  <c r="A643"/>
  <c r="A644"/>
  <c r="A645"/>
  <c r="A646"/>
  <c r="A647"/>
  <c r="A648"/>
  <c r="A649"/>
  <c r="A650"/>
  <c r="A651"/>
  <c r="A652"/>
  <c r="A653"/>
  <c r="A654"/>
  <c r="A655"/>
  <c r="A656"/>
  <c r="A657"/>
  <c r="A658"/>
  <c r="A659"/>
  <c r="A660"/>
  <c r="A661"/>
  <c r="A662"/>
  <c r="A663"/>
  <c r="A664"/>
  <c r="A665"/>
  <c r="A666"/>
  <c r="A667"/>
  <c r="A668"/>
  <c r="A669"/>
  <c r="A670"/>
  <c r="A671"/>
  <c r="A672"/>
  <c r="A673"/>
  <c r="A674"/>
  <c r="A675"/>
  <c r="A676"/>
  <c r="A677"/>
  <c r="A678"/>
  <c r="A679"/>
  <c r="A680"/>
  <c r="A681"/>
  <c r="A682"/>
  <c r="A683"/>
  <c r="A684"/>
  <c r="A685"/>
  <c r="A686"/>
  <c r="A687"/>
  <c r="A688"/>
  <c r="A689"/>
  <c r="A690"/>
  <c r="A691"/>
  <c r="A692"/>
  <c r="A693"/>
  <c r="A694"/>
  <c r="A695"/>
  <c r="A696"/>
  <c r="A697"/>
  <c r="A698"/>
  <c r="A699"/>
  <c r="A700"/>
  <c r="A701"/>
  <c r="A702"/>
  <c r="A703"/>
  <c r="A704"/>
  <c r="A705"/>
  <c r="A706"/>
  <c r="A707"/>
  <c r="A708"/>
  <c r="A709"/>
  <c r="A710"/>
  <c r="A711"/>
  <c r="A712"/>
  <c r="A713"/>
  <c r="A714"/>
  <c r="A715"/>
  <c r="A716"/>
  <c r="A717"/>
  <c r="A718"/>
  <c r="A719"/>
  <c r="A720"/>
  <c r="A721"/>
  <c r="A722"/>
  <c r="A723"/>
  <c r="A724"/>
  <c r="A725"/>
  <c r="A726"/>
  <c r="A727"/>
  <c r="A728"/>
  <c r="A729"/>
  <c r="A730"/>
  <c r="A731"/>
  <c r="A732"/>
  <c r="A733"/>
  <c r="A734"/>
  <c r="A735"/>
  <c r="A736"/>
  <c r="A737"/>
  <c r="A738"/>
  <c r="A739"/>
  <c r="A740"/>
  <c r="A741"/>
  <c r="A742"/>
  <c r="A743"/>
  <c r="A744"/>
  <c r="A745"/>
  <c r="A746"/>
  <c r="A747"/>
  <c r="A748"/>
  <c r="A749"/>
  <c r="A750"/>
  <c r="A751"/>
  <c r="A752"/>
  <c r="A753"/>
  <c r="A754"/>
  <c r="A755"/>
  <c r="A756"/>
  <c r="A757"/>
  <c r="A758"/>
  <c r="A759"/>
  <c r="A760"/>
  <c r="A761"/>
  <c r="A762"/>
  <c r="A763"/>
  <c r="A764"/>
  <c r="A765"/>
  <c r="A766"/>
  <c r="A767"/>
  <c r="A768"/>
  <c r="A769"/>
  <c r="A770"/>
  <c r="A771"/>
  <c r="A772"/>
  <c r="A773"/>
  <c r="A774"/>
  <c r="A775"/>
  <c r="A776"/>
  <c r="A777"/>
  <c r="A778"/>
  <c r="A779"/>
  <c r="A780"/>
  <c r="A781"/>
  <c r="A782"/>
  <c r="A783"/>
  <c r="A784"/>
  <c r="A785"/>
  <c r="A786"/>
  <c r="A787"/>
  <c r="A788"/>
  <c r="A789"/>
  <c r="A790"/>
  <c r="A791"/>
  <c r="A792"/>
  <c r="A793"/>
  <c r="A794"/>
  <c r="A795"/>
  <c r="A796"/>
  <c r="A797"/>
  <c r="A1" i="3"/>
  <c r="CY1"/>
  <c r="CZ1"/>
  <c r="DA1"/>
  <c r="DB1"/>
  <c r="DC1"/>
  <c r="A2"/>
  <c r="CY2"/>
  <c r="CZ2"/>
  <c r="DA2"/>
  <c r="DB2"/>
  <c r="DC2"/>
  <c r="A3"/>
  <c r="CY3"/>
  <c r="CZ3"/>
  <c r="DA3"/>
  <c r="DB3"/>
  <c r="DC3"/>
  <c r="A4"/>
  <c r="CY4"/>
  <c r="CZ4"/>
  <c r="DA4"/>
  <c r="DB4"/>
  <c r="DC4"/>
  <c r="A5"/>
  <c r="CY5"/>
  <c r="CZ5"/>
  <c r="DA5"/>
  <c r="DB5"/>
  <c r="DC5"/>
  <c r="A6"/>
  <c r="CY6"/>
  <c r="CZ6"/>
  <c r="DA6"/>
  <c r="DB6"/>
  <c r="DC6"/>
  <c r="A7"/>
  <c r="CY7"/>
  <c r="CZ7"/>
  <c r="DA7"/>
  <c r="DB7"/>
  <c r="DC7"/>
  <c r="A8"/>
  <c r="CY8"/>
  <c r="CZ8"/>
  <c r="DA8"/>
  <c r="DB8"/>
  <c r="DC8"/>
  <c r="A9"/>
  <c r="CY9"/>
  <c r="CZ9"/>
  <c r="DA9"/>
  <c r="DB9"/>
  <c r="DC9"/>
  <c r="A10"/>
  <c r="CY10"/>
  <c r="CZ10"/>
  <c r="DA10"/>
  <c r="DB10"/>
  <c r="DC10"/>
  <c r="A11"/>
  <c r="CY11"/>
  <c r="CZ11"/>
  <c r="DA11"/>
  <c r="DB11"/>
  <c r="DC11"/>
  <c r="A12"/>
  <c r="CY12"/>
  <c r="CZ12"/>
  <c r="DA12"/>
  <c r="DB12"/>
  <c r="DC12"/>
  <c r="A13"/>
  <c r="CY13"/>
  <c r="CZ13"/>
  <c r="DA13"/>
  <c r="DB13"/>
  <c r="DC13"/>
  <c r="A14"/>
  <c r="CY14"/>
  <c r="CZ14"/>
  <c r="DA14"/>
  <c r="DB14"/>
  <c r="DC14"/>
  <c r="A15"/>
  <c r="CY15"/>
  <c r="CZ15"/>
  <c r="DA15"/>
  <c r="DB15"/>
  <c r="DC15"/>
  <c r="A16"/>
  <c r="CY16"/>
  <c r="CZ16"/>
  <c r="DA16"/>
  <c r="DB16"/>
  <c r="DC16"/>
  <c r="A17"/>
  <c r="CY17"/>
  <c r="CZ17"/>
  <c r="DA17"/>
  <c r="DB17"/>
  <c r="DC17"/>
  <c r="A18"/>
  <c r="CY18"/>
  <c r="CZ18"/>
  <c r="DA18"/>
  <c r="DB18"/>
  <c r="DC18"/>
  <c r="A19"/>
  <c r="CY19"/>
  <c r="CZ19"/>
  <c r="DA19"/>
  <c r="DB19"/>
  <c r="DC19"/>
  <c r="A20"/>
  <c r="CY20"/>
  <c r="CZ20"/>
  <c r="DA20"/>
  <c r="DB20"/>
  <c r="DC20"/>
  <c r="A21"/>
  <c r="CY21"/>
  <c r="CZ21"/>
  <c r="DA21"/>
  <c r="DB21"/>
  <c r="DC21"/>
  <c r="A22"/>
  <c r="CY22"/>
  <c r="CZ22"/>
  <c r="DA22"/>
  <c r="DB22"/>
  <c r="DC22"/>
  <c r="A23"/>
  <c r="CY23"/>
  <c r="CZ23"/>
  <c r="DA23"/>
  <c r="DB23"/>
  <c r="DC23"/>
  <c r="A24"/>
  <c r="CY24"/>
  <c r="CZ24"/>
  <c r="DA24"/>
  <c r="DB24"/>
  <c r="DC24"/>
  <c r="A25"/>
  <c r="CY25"/>
  <c r="CZ25"/>
  <c r="DA25"/>
  <c r="DB25"/>
  <c r="DC25"/>
  <c r="A26"/>
  <c r="CY26"/>
  <c r="CZ26"/>
  <c r="DA26"/>
  <c r="DB26"/>
  <c r="DC26"/>
  <c r="A27"/>
  <c r="CY27"/>
  <c r="CZ27"/>
  <c r="DA27"/>
  <c r="DB27"/>
  <c r="DC27"/>
  <c r="A28"/>
  <c r="CY28"/>
  <c r="CZ28"/>
  <c r="DA28"/>
  <c r="DB28"/>
  <c r="DC28"/>
  <c r="A29"/>
  <c r="CY29"/>
  <c r="CZ29"/>
  <c r="DA29"/>
  <c r="DB29"/>
  <c r="DC29"/>
  <c r="A30"/>
  <c r="CY30"/>
  <c r="CZ30"/>
  <c r="DA30"/>
  <c r="DB30"/>
  <c r="DC30"/>
  <c r="A31"/>
  <c r="CY31"/>
  <c r="CZ31"/>
  <c r="DA31"/>
  <c r="DB31"/>
  <c r="DC31"/>
  <c r="A32"/>
  <c r="CY32"/>
  <c r="CZ32"/>
  <c r="DA32"/>
  <c r="DB32"/>
  <c r="DC32"/>
  <c r="A33"/>
  <c r="CY33"/>
  <c r="CZ33"/>
  <c r="DA33"/>
  <c r="DB33"/>
  <c r="DC33"/>
  <c r="A34"/>
  <c r="CY34"/>
  <c r="CZ34"/>
  <c r="DA34"/>
  <c r="DB34"/>
  <c r="DC34"/>
  <c r="A35"/>
  <c r="CY35"/>
  <c r="CZ35"/>
  <c r="DA35"/>
  <c r="DB35"/>
  <c r="DC35"/>
  <c r="A36"/>
  <c r="CY36"/>
  <c r="CZ36"/>
  <c r="DA36"/>
  <c r="DB36"/>
  <c r="DC36"/>
  <c r="A37"/>
  <c r="CY37"/>
  <c r="CZ37"/>
  <c r="DA37"/>
  <c r="DB37"/>
  <c r="DC37"/>
  <c r="A38"/>
  <c r="CY38"/>
  <c r="CZ38"/>
  <c r="DA38"/>
  <c r="DB38"/>
  <c r="DC38"/>
  <c r="A39"/>
  <c r="CY39"/>
  <c r="CZ39"/>
  <c r="DA39"/>
  <c r="DB39"/>
  <c r="DC39"/>
  <c r="A40"/>
  <c r="CY40"/>
  <c r="CZ40"/>
  <c r="DA40"/>
  <c r="DB40"/>
  <c r="DC40"/>
  <c r="A41"/>
  <c r="CY41"/>
  <c r="CZ41"/>
  <c r="DA41"/>
  <c r="DB41"/>
  <c r="DC41"/>
  <c r="A42"/>
  <c r="CY42"/>
  <c r="CZ42"/>
  <c r="DA42"/>
  <c r="DB42"/>
  <c r="DC42"/>
  <c r="A43"/>
  <c r="CY43"/>
  <c r="CZ43"/>
  <c r="DA43"/>
  <c r="DB43"/>
  <c r="DC43"/>
  <c r="A44"/>
  <c r="CY44"/>
  <c r="CZ44"/>
  <c r="DA44"/>
  <c r="DB44"/>
  <c r="DC44"/>
  <c r="A45"/>
  <c r="CY45"/>
  <c r="CZ45"/>
  <c r="DA45"/>
  <c r="DB45"/>
  <c r="DC45"/>
  <c r="A46"/>
  <c r="CY46"/>
  <c r="CZ46"/>
  <c r="DA46"/>
  <c r="DB46"/>
  <c r="DC46"/>
  <c r="A47"/>
  <c r="CY47"/>
  <c r="CZ47"/>
  <c r="DA47"/>
  <c r="DB47"/>
  <c r="DC47"/>
  <c r="A48"/>
  <c r="CY48"/>
  <c r="CZ48"/>
  <c r="DA48"/>
  <c r="DB48"/>
  <c r="DC48"/>
  <c r="A49"/>
  <c r="CY49"/>
  <c r="CZ49"/>
  <c r="DA49"/>
  <c r="DB49"/>
  <c r="DC49"/>
  <c r="A50"/>
  <c r="CY50"/>
  <c r="CZ50"/>
  <c r="DA50"/>
  <c r="DB50"/>
  <c r="DC50"/>
  <c r="A51"/>
  <c r="CY51"/>
  <c r="CZ51"/>
  <c r="DA51"/>
  <c r="DB51"/>
  <c r="DC51"/>
  <c r="A52"/>
  <c r="CY52"/>
  <c r="CZ52"/>
  <c r="DA52"/>
  <c r="DB52"/>
  <c r="DC52"/>
  <c r="A53"/>
  <c r="CY53"/>
  <c r="CZ53"/>
  <c r="DA53"/>
  <c r="DB53"/>
  <c r="DC53"/>
  <c r="A54"/>
  <c r="CY54"/>
  <c r="CZ54"/>
  <c r="DA54"/>
  <c r="DB54"/>
  <c r="DC54"/>
  <c r="A55"/>
  <c r="CY55"/>
  <c r="CZ55"/>
  <c r="DA55"/>
  <c r="DB55"/>
  <c r="DC55"/>
  <c r="A56"/>
  <c r="CY56"/>
  <c r="CZ56"/>
  <c r="DA56"/>
  <c r="DB56"/>
  <c r="DC56"/>
  <c r="A57"/>
  <c r="CY57"/>
  <c r="CZ57"/>
  <c r="DA57"/>
  <c r="DB57"/>
  <c r="DC57"/>
  <c r="A58"/>
  <c r="CY58"/>
  <c r="CZ58"/>
  <c r="DA58"/>
  <c r="DB58"/>
  <c r="DC58"/>
  <c r="A59"/>
  <c r="CY59"/>
  <c r="CZ59"/>
  <c r="DA59"/>
  <c r="DB59"/>
  <c r="DC59"/>
  <c r="A60"/>
  <c r="CX60"/>
  <c r="CY60"/>
  <c r="CZ60"/>
  <c r="DA60"/>
  <c r="DB60"/>
  <c r="DC60"/>
  <c r="A61"/>
  <c r="CX61"/>
  <c r="CY61"/>
  <c r="CZ61"/>
  <c r="DA61"/>
  <c r="DB61"/>
  <c r="DC61"/>
  <c r="A62"/>
  <c r="CX62"/>
  <c r="CY62"/>
  <c r="CZ62"/>
  <c r="DA62"/>
  <c r="DB62"/>
  <c r="DC62"/>
  <c r="A63"/>
  <c r="CX63"/>
  <c r="CY63"/>
  <c r="CZ63"/>
  <c r="DA63"/>
  <c r="DB63"/>
  <c r="DC63"/>
  <c r="A64"/>
  <c r="CX64"/>
  <c r="CY64"/>
  <c r="CZ64"/>
  <c r="DA64"/>
  <c r="DB64"/>
  <c r="DC64"/>
  <c r="A65"/>
  <c r="CX65"/>
  <c r="CY65"/>
  <c r="CZ65"/>
  <c r="DA65"/>
  <c r="DB65"/>
  <c r="DC65"/>
  <c r="A66"/>
  <c r="CX66"/>
  <c r="CY66"/>
  <c r="CZ66"/>
  <c r="DA66"/>
  <c r="DB66"/>
  <c r="DC66"/>
  <c r="A67"/>
  <c r="CX67"/>
  <c r="CY67"/>
  <c r="CZ67"/>
  <c r="DA67"/>
  <c r="DB67"/>
  <c r="DC67"/>
  <c r="A68"/>
  <c r="CX68"/>
  <c r="CY68"/>
  <c r="CZ68"/>
  <c r="DA68"/>
  <c r="DB68"/>
  <c r="DC68"/>
  <c r="A69"/>
  <c r="CX69"/>
  <c r="CY69"/>
  <c r="CZ69"/>
  <c r="DA69"/>
  <c r="DB69"/>
  <c r="DC69"/>
  <c r="A70"/>
  <c r="CX70"/>
  <c r="CY70"/>
  <c r="CZ70"/>
  <c r="DA70"/>
  <c r="DB70"/>
  <c r="DC70"/>
  <c r="A71"/>
  <c r="CX71"/>
  <c r="CY71"/>
  <c r="CZ71"/>
  <c r="DA71"/>
  <c r="DB71"/>
  <c r="DC71"/>
  <c r="A72"/>
  <c r="CX72"/>
  <c r="CY72"/>
  <c r="CZ72"/>
  <c r="DA72"/>
  <c r="DB72"/>
  <c r="DC72"/>
  <c r="A73"/>
  <c r="CX73"/>
  <c r="CY73"/>
  <c r="CZ73"/>
  <c r="DA73"/>
  <c r="DB73"/>
  <c r="DC73"/>
  <c r="A74"/>
  <c r="CX74"/>
  <c r="CY74"/>
  <c r="CZ74"/>
  <c r="DA74"/>
  <c r="DB74"/>
  <c r="DC74"/>
  <c r="A75"/>
  <c r="CX75"/>
  <c r="CY75"/>
  <c r="CZ75"/>
  <c r="DA75"/>
  <c r="DB75"/>
  <c r="DC75"/>
  <c r="A76"/>
  <c r="CX76"/>
  <c r="CY76"/>
  <c r="CZ76"/>
  <c r="DA76"/>
  <c r="DB76"/>
  <c r="DC76"/>
  <c r="A77"/>
  <c r="CX77"/>
  <c r="CY77"/>
  <c r="CZ77"/>
  <c r="DA77"/>
  <c r="DB77"/>
  <c r="DC77"/>
  <c r="A78"/>
  <c r="CY78"/>
  <c r="CZ78"/>
  <c r="DA78"/>
  <c r="DB78"/>
  <c r="DC78"/>
  <c r="A79"/>
  <c r="CY79"/>
  <c r="CZ79"/>
  <c r="DA79"/>
  <c r="DB79"/>
  <c r="DC79"/>
  <c r="A80"/>
  <c r="CY80"/>
  <c r="CZ80"/>
  <c r="DA80"/>
  <c r="DB80"/>
  <c r="DC80"/>
  <c r="A81"/>
  <c r="CY81"/>
  <c r="CZ81"/>
  <c r="DA81"/>
  <c r="DB81"/>
  <c r="DC81"/>
  <c r="A82"/>
  <c r="CY82"/>
  <c r="CZ82"/>
  <c r="DA82"/>
  <c r="DB82"/>
  <c r="DC82"/>
  <c r="A83"/>
  <c r="CY83"/>
  <c r="CZ83"/>
  <c r="DA83"/>
  <c r="DB83"/>
  <c r="DC83"/>
  <c r="A84"/>
  <c r="CY84"/>
  <c r="CZ84"/>
  <c r="DA84"/>
  <c r="DB84"/>
  <c r="DC84"/>
  <c r="A85"/>
  <c r="CY85"/>
  <c r="CZ85"/>
  <c r="DA85"/>
  <c r="DB85"/>
  <c r="DC85"/>
  <c r="A86"/>
  <c r="CY86"/>
  <c r="CZ86"/>
  <c r="DA86"/>
  <c r="DB86"/>
  <c r="DC86"/>
  <c r="A87"/>
  <c r="CY87"/>
  <c r="CZ87"/>
  <c r="DA87"/>
  <c r="DB87"/>
  <c r="DC87"/>
  <c r="A88"/>
  <c r="CY88"/>
  <c r="CZ88"/>
  <c r="DA88"/>
  <c r="DB88"/>
  <c r="DC88"/>
  <c r="A89"/>
  <c r="CY89"/>
  <c r="CZ89"/>
  <c r="DA89"/>
  <c r="DB89"/>
  <c r="DC89"/>
  <c r="A90"/>
  <c r="CY90"/>
  <c r="CZ90"/>
  <c r="DA90"/>
  <c r="DB90"/>
  <c r="DC90"/>
  <c r="A91"/>
  <c r="CY91"/>
  <c r="CZ91"/>
  <c r="DA91"/>
  <c r="DB91"/>
  <c r="DC91"/>
  <c r="A92"/>
  <c r="CY92"/>
  <c r="CZ92"/>
  <c r="DA92"/>
  <c r="DB92"/>
  <c r="DC92"/>
  <c r="A93"/>
  <c r="CY93"/>
  <c r="CZ93"/>
  <c r="DA93"/>
  <c r="DB93"/>
  <c r="DC93"/>
  <c r="A94"/>
  <c r="CY94"/>
  <c r="CZ94"/>
  <c r="DA94"/>
  <c r="DB94"/>
  <c r="DC94"/>
  <c r="A95"/>
  <c r="CY95"/>
  <c r="CZ95"/>
  <c r="DA95"/>
  <c r="DB95"/>
  <c r="DC95"/>
  <c r="A96"/>
  <c r="CY96"/>
  <c r="CZ96"/>
  <c r="DA96"/>
  <c r="DB96"/>
  <c r="DC96"/>
  <c r="A97"/>
  <c r="CY97"/>
  <c r="CZ97"/>
  <c r="DA97"/>
  <c r="DB97"/>
  <c r="DC97"/>
  <c r="A98"/>
  <c r="CX98"/>
  <c r="CY98"/>
  <c r="CZ98"/>
  <c r="DA98"/>
  <c r="DB98"/>
  <c r="DC98"/>
  <c r="A99"/>
  <c r="CX99"/>
  <c r="CY99"/>
  <c r="CZ99"/>
  <c r="DA99"/>
  <c r="DB99"/>
  <c r="DC99"/>
  <c r="A100"/>
  <c r="CX100"/>
  <c r="CY100"/>
  <c r="CZ100"/>
  <c r="DA100"/>
  <c r="DB100"/>
  <c r="DC100"/>
  <c r="A101"/>
  <c r="CX101"/>
  <c r="CY101"/>
  <c r="CZ101"/>
  <c r="DA101"/>
  <c r="DB101"/>
  <c r="DC101"/>
  <c r="A102"/>
  <c r="CX102"/>
  <c r="CY102"/>
  <c r="CZ102"/>
  <c r="DA102"/>
  <c r="DB102"/>
  <c r="DC102"/>
  <c r="A103"/>
  <c r="CX103"/>
  <c r="CY103"/>
  <c r="CZ103"/>
  <c r="DA103"/>
  <c r="DB103"/>
  <c r="DC103"/>
  <c r="A104"/>
  <c r="CX104"/>
  <c r="CY104"/>
  <c r="CZ104"/>
  <c r="DA104"/>
  <c r="DB104"/>
  <c r="DC104"/>
  <c r="A105"/>
  <c r="CX105"/>
  <c r="CY105"/>
  <c r="CZ105"/>
  <c r="DA105"/>
  <c r="DB105"/>
  <c r="DC105"/>
  <c r="A106"/>
  <c r="CX106"/>
  <c r="CY106"/>
  <c r="CZ106"/>
  <c r="DA106"/>
  <c r="DB106"/>
  <c r="DC106"/>
  <c r="A107"/>
  <c r="CX107"/>
  <c r="CY107"/>
  <c r="CZ107"/>
  <c r="DA107"/>
  <c r="DB107"/>
  <c r="DC107"/>
  <c r="A108"/>
  <c r="CY108"/>
  <c r="CZ108"/>
  <c r="DA108"/>
  <c r="DB108"/>
  <c r="DC108"/>
  <c r="A109"/>
  <c r="CY109"/>
  <c r="CZ109"/>
  <c r="DA109"/>
  <c r="DB109"/>
  <c r="DC109"/>
  <c r="A110"/>
  <c r="CY110"/>
  <c r="CZ110"/>
  <c r="DA110"/>
  <c r="DB110"/>
  <c r="DC110"/>
  <c r="A111"/>
  <c r="CY111"/>
  <c r="CZ111"/>
  <c r="DA111"/>
  <c r="DB111"/>
  <c r="DC111"/>
  <c r="A112"/>
  <c r="CY112"/>
  <c r="CZ112"/>
  <c r="DA112"/>
  <c r="DB112"/>
  <c r="DC112"/>
  <c r="A113"/>
  <c r="CY113"/>
  <c r="CZ113"/>
  <c r="DA113"/>
  <c r="DB113"/>
  <c r="DC113"/>
  <c r="A114"/>
  <c r="CY114"/>
  <c r="CZ114"/>
  <c r="DA114"/>
  <c r="DB114"/>
  <c r="DC114"/>
  <c r="A115"/>
  <c r="CY115"/>
  <c r="CZ115"/>
  <c r="DA115"/>
  <c r="DB115"/>
  <c r="DC115"/>
  <c r="A116"/>
  <c r="CY116"/>
  <c r="CZ116"/>
  <c r="DA116"/>
  <c r="DB116"/>
  <c r="DC116"/>
  <c r="A117"/>
  <c r="CY117"/>
  <c r="CZ117"/>
  <c r="DA117"/>
  <c r="DB117"/>
  <c r="DC117"/>
  <c r="A118"/>
  <c r="CY118"/>
  <c r="CZ118"/>
  <c r="DA118"/>
  <c r="DB118"/>
  <c r="DC118"/>
  <c r="A119"/>
  <c r="CY119"/>
  <c r="CZ119"/>
  <c r="DA119"/>
  <c r="DB119"/>
  <c r="DC119"/>
  <c r="A120"/>
  <c r="CY120"/>
  <c r="CZ120"/>
  <c r="DA120"/>
  <c r="DB120"/>
  <c r="DC120"/>
  <c r="A121"/>
  <c r="CY121"/>
  <c r="CZ121"/>
  <c r="DA121"/>
  <c r="DB121"/>
  <c r="DC121"/>
  <c r="A122"/>
  <c r="CY122"/>
  <c r="CZ122"/>
  <c r="DA122"/>
  <c r="DB122"/>
  <c r="DC122"/>
  <c r="A123"/>
  <c r="CY123"/>
  <c r="CZ123"/>
  <c r="DA123"/>
  <c r="DB123"/>
  <c r="DC123"/>
  <c r="A124"/>
  <c r="CY124"/>
  <c r="CZ124"/>
  <c r="DA124"/>
  <c r="DB124"/>
  <c r="DC124"/>
  <c r="A125"/>
  <c r="CY125"/>
  <c r="CZ125"/>
  <c r="DA125"/>
  <c r="DB125"/>
  <c r="DC125"/>
  <c r="A126"/>
  <c r="CY126"/>
  <c r="CZ126"/>
  <c r="DA126"/>
  <c r="DB126"/>
  <c r="DC126"/>
  <c r="A127"/>
  <c r="CY127"/>
  <c r="CZ127"/>
  <c r="DA127"/>
  <c r="DB127"/>
  <c r="DC127"/>
  <c r="A128"/>
  <c r="CY128"/>
  <c r="CZ128"/>
  <c r="DA128"/>
  <c r="DB128"/>
  <c r="DC128"/>
  <c r="A129"/>
  <c r="CY129"/>
  <c r="CZ129"/>
  <c r="DA129"/>
  <c r="DB129"/>
  <c r="DC129"/>
  <c r="A130"/>
  <c r="CY130"/>
  <c r="CZ130"/>
  <c r="DA130"/>
  <c r="DB130"/>
  <c r="DC130"/>
  <c r="A131"/>
  <c r="CY131"/>
  <c r="CZ131"/>
  <c r="DA131"/>
  <c r="DB131"/>
  <c r="DC131"/>
  <c r="A132"/>
  <c r="CY132"/>
  <c r="CZ132"/>
  <c r="DA132"/>
  <c r="DB132"/>
  <c r="DC132"/>
  <c r="A133"/>
  <c r="CY133"/>
  <c r="CZ133"/>
  <c r="DA133"/>
  <c r="DB133"/>
  <c r="DC133"/>
  <c r="A134"/>
  <c r="CY134"/>
  <c r="CZ134"/>
  <c r="DA134"/>
  <c r="DB134"/>
  <c r="DC134"/>
  <c r="A135"/>
  <c r="CY135"/>
  <c r="CZ135"/>
  <c r="DA135"/>
  <c r="DB135"/>
  <c r="DC135"/>
  <c r="A136"/>
  <c r="CY136"/>
  <c r="CZ136"/>
  <c r="DA136"/>
  <c r="DB136"/>
  <c r="DC136"/>
  <c r="A137"/>
  <c r="CY137"/>
  <c r="CZ137"/>
  <c r="DA137"/>
  <c r="DB137"/>
  <c r="DC137"/>
  <c r="A138"/>
  <c r="CY138"/>
  <c r="CZ138"/>
  <c r="DA138"/>
  <c r="DB138"/>
  <c r="DC138"/>
  <c r="A139"/>
  <c r="CY139"/>
  <c r="CZ139"/>
  <c r="DA139"/>
  <c r="DB139"/>
  <c r="DC139"/>
  <c r="A140"/>
  <c r="CY140"/>
  <c r="CZ140"/>
  <c r="DA140"/>
  <c r="DB140"/>
  <c r="DC140"/>
  <c r="A141"/>
  <c r="CY141"/>
  <c r="CZ141"/>
  <c r="DA141"/>
  <c r="DB141"/>
  <c r="DC141"/>
  <c r="A142"/>
  <c r="CY142"/>
  <c r="CZ142"/>
  <c r="DA142"/>
  <c r="DB142"/>
  <c r="DC142"/>
  <c r="A143"/>
  <c r="CY143"/>
  <c r="CZ143"/>
  <c r="DA143"/>
  <c r="DB143"/>
  <c r="DC143"/>
  <c r="A144"/>
  <c r="CY144"/>
  <c r="CZ144"/>
  <c r="DA144"/>
  <c r="DB144"/>
  <c r="DC144"/>
  <c r="A145"/>
  <c r="CY145"/>
  <c r="CZ145"/>
  <c r="DA145"/>
  <c r="DB145"/>
  <c r="DC145"/>
  <c r="A146"/>
  <c r="CY146"/>
  <c r="CZ146"/>
  <c r="DA146"/>
  <c r="DB146"/>
  <c r="DC146"/>
  <c r="A147"/>
  <c r="CY147"/>
  <c r="CZ147"/>
  <c r="DA147"/>
  <c r="DB147"/>
  <c r="DC147"/>
  <c r="A148"/>
  <c r="CY148"/>
  <c r="CZ148"/>
  <c r="DA148"/>
  <c r="DB148"/>
  <c r="DC148"/>
  <c r="A149"/>
  <c r="CY149"/>
  <c r="CZ149"/>
  <c r="DA149"/>
  <c r="DB149"/>
  <c r="DC149"/>
  <c r="A150"/>
  <c r="CY150"/>
  <c r="CZ150"/>
  <c r="DA150"/>
  <c r="DB150"/>
  <c r="DC150"/>
  <c r="A151"/>
  <c r="CY151"/>
  <c r="CZ151"/>
  <c r="DA151"/>
  <c r="DB151"/>
  <c r="DC151"/>
  <c r="A152"/>
  <c r="CY152"/>
  <c r="CZ152"/>
  <c r="DA152"/>
  <c r="DB152"/>
  <c r="DC152"/>
  <c r="A153"/>
  <c r="CY153"/>
  <c r="CZ153"/>
  <c r="DA153"/>
  <c r="DB153"/>
  <c r="DC153"/>
  <c r="A154"/>
  <c r="CY154"/>
  <c r="CZ154"/>
  <c r="DA154"/>
  <c r="DB154"/>
  <c r="DC154"/>
  <c r="A155"/>
  <c r="CY155"/>
  <c r="CZ155"/>
  <c r="DA155"/>
  <c r="DB155"/>
  <c r="DC155"/>
  <c r="A156"/>
  <c r="CY156"/>
  <c r="CZ156"/>
  <c r="DA156"/>
  <c r="DB156"/>
  <c r="DC156"/>
  <c r="A157"/>
  <c r="CY157"/>
  <c r="CZ157"/>
  <c r="DA157"/>
  <c r="DB157"/>
  <c r="DC157"/>
  <c r="A158"/>
  <c r="CY158"/>
  <c r="CZ158"/>
  <c r="DA158"/>
  <c r="DB158"/>
  <c r="DC158"/>
  <c r="A159"/>
  <c r="CY159"/>
  <c r="CZ159"/>
  <c r="DA159"/>
  <c r="DB159"/>
  <c r="DC159"/>
  <c r="A160"/>
  <c r="CY160"/>
  <c r="CZ160"/>
  <c r="DA160"/>
  <c r="DB160"/>
  <c r="DC160"/>
  <c r="A161"/>
  <c r="CY161"/>
  <c r="CZ161"/>
  <c r="DA161"/>
  <c r="DB161"/>
  <c r="DC161"/>
  <c r="A162"/>
  <c r="CY162"/>
  <c r="CZ162"/>
  <c r="DA162"/>
  <c r="DB162"/>
  <c r="DC162"/>
  <c r="A163"/>
  <c r="CY163"/>
  <c r="CZ163"/>
  <c r="DA163"/>
  <c r="DB163"/>
  <c r="DC163"/>
  <c r="A164"/>
  <c r="CY164"/>
  <c r="CZ164"/>
  <c r="DA164"/>
  <c r="DB164"/>
  <c r="DC164"/>
  <c r="A165"/>
  <c r="CY165"/>
  <c r="CZ165"/>
  <c r="DA165"/>
  <c r="DB165"/>
  <c r="DC165"/>
  <c r="A166"/>
  <c r="CY166"/>
  <c r="CZ166"/>
  <c r="DA166"/>
  <c r="DB166"/>
  <c r="DC166"/>
  <c r="A167"/>
  <c r="CY167"/>
  <c r="CZ167"/>
  <c r="DA167"/>
  <c r="DB167"/>
  <c r="DC167"/>
  <c r="A168"/>
  <c r="CY168"/>
  <c r="CZ168"/>
  <c r="DA168"/>
  <c r="DB168"/>
  <c r="DC168"/>
  <c r="A169"/>
  <c r="CY169"/>
  <c r="CZ169"/>
  <c r="DA169"/>
  <c r="DB169"/>
  <c r="DC169"/>
  <c r="A170"/>
  <c r="CY170"/>
  <c r="CZ170"/>
  <c r="DA170"/>
  <c r="DB170"/>
  <c r="DC170"/>
  <c r="A171"/>
  <c r="CY171"/>
  <c r="CZ171"/>
  <c r="DA171"/>
  <c r="DB171"/>
  <c r="DC171"/>
  <c r="A172"/>
  <c r="CY172"/>
  <c r="CZ172"/>
  <c r="DA172"/>
  <c r="DB172"/>
  <c r="DC172"/>
  <c r="A173"/>
  <c r="CY173"/>
  <c r="CZ173"/>
  <c r="DA173"/>
  <c r="DB173"/>
  <c r="DC173"/>
  <c r="A174"/>
  <c r="CY174"/>
  <c r="CZ174"/>
  <c r="DA174"/>
  <c r="DB174"/>
  <c r="DC174"/>
  <c r="A175"/>
  <c r="CY175"/>
  <c r="CZ175"/>
  <c r="DA175"/>
  <c r="DB175"/>
  <c r="DC175"/>
  <c r="A176"/>
  <c r="CY176"/>
  <c r="CZ176"/>
  <c r="DA176"/>
  <c r="DB176"/>
  <c r="DC176"/>
  <c r="A177"/>
  <c r="CY177"/>
  <c r="CZ177"/>
  <c r="DA177"/>
  <c r="DB177"/>
  <c r="DC177"/>
  <c r="A178"/>
  <c r="CY178"/>
  <c r="CZ178"/>
  <c r="DA178"/>
  <c r="DB178"/>
  <c r="DC178"/>
  <c r="A179"/>
  <c r="CY179"/>
  <c r="CZ179"/>
  <c r="DA179"/>
  <c r="DB179"/>
  <c r="DC179"/>
  <c r="A180"/>
  <c r="CY180"/>
  <c r="CZ180"/>
  <c r="DA180"/>
  <c r="DB180"/>
  <c r="DC180"/>
  <c r="A181"/>
  <c r="CY181"/>
  <c r="CZ181"/>
  <c r="DA181"/>
  <c r="DB181"/>
  <c r="DC181"/>
  <c r="A182"/>
  <c r="CY182"/>
  <c r="CZ182"/>
  <c r="DA182"/>
  <c r="DB182"/>
  <c r="DC182"/>
  <c r="A183"/>
  <c r="CY183"/>
  <c r="CZ183"/>
  <c r="DA183"/>
  <c r="DB183"/>
  <c r="DC183"/>
  <c r="A184"/>
  <c r="CY184"/>
  <c r="CZ184"/>
  <c r="DA184"/>
  <c r="DB184"/>
  <c r="DC184"/>
  <c r="A185"/>
  <c r="CY185"/>
  <c r="CZ185"/>
  <c r="DA185"/>
  <c r="DB185"/>
  <c r="DC185"/>
  <c r="A186"/>
  <c r="CY186"/>
  <c r="CZ186"/>
  <c r="DA186"/>
  <c r="DB186"/>
  <c r="DC186"/>
  <c r="A187"/>
  <c r="CY187"/>
  <c r="CZ187"/>
  <c r="DA187"/>
  <c r="DB187"/>
  <c r="DC187"/>
  <c r="A188"/>
  <c r="CY188"/>
  <c r="CZ188"/>
  <c r="DA188"/>
  <c r="DB188"/>
  <c r="DC188"/>
  <c r="A189"/>
  <c r="CY189"/>
  <c r="CZ189"/>
  <c r="DA189"/>
  <c r="DB189"/>
  <c r="DC189"/>
  <c r="A190"/>
  <c r="CY190"/>
  <c r="CZ190"/>
  <c r="DA190"/>
  <c r="DB190"/>
  <c r="DC190"/>
  <c r="A191"/>
  <c r="CY191"/>
  <c r="CZ191"/>
  <c r="DA191"/>
  <c r="DB191"/>
  <c r="DC191"/>
  <c r="A192"/>
  <c r="CY192"/>
  <c r="CZ192"/>
  <c r="DA192"/>
  <c r="DB192"/>
  <c r="DC192"/>
  <c r="A193"/>
  <c r="CY193"/>
  <c r="CZ193"/>
  <c r="DA193"/>
  <c r="DB193"/>
  <c r="DC193"/>
  <c r="A194"/>
  <c r="CY194"/>
  <c r="CZ194"/>
  <c r="DA194"/>
  <c r="DB194"/>
  <c r="DC194"/>
  <c r="A195"/>
  <c r="CY195"/>
  <c r="CZ195"/>
  <c r="DA195"/>
  <c r="DB195"/>
  <c r="DC195"/>
  <c r="A196"/>
  <c r="CY196"/>
  <c r="CZ196"/>
  <c r="DA196"/>
  <c r="DB196"/>
  <c r="DC196"/>
  <c r="A197"/>
  <c r="CY197"/>
  <c r="CZ197"/>
  <c r="DA197"/>
  <c r="DB197"/>
  <c r="DC197"/>
  <c r="A198"/>
  <c r="CY198"/>
  <c r="CZ198"/>
  <c r="DA198"/>
  <c r="DB198"/>
  <c r="DC198"/>
  <c r="A199"/>
  <c r="CY199"/>
  <c r="CZ199"/>
  <c r="DA199"/>
  <c r="DB199"/>
  <c r="DC199"/>
  <c r="A200"/>
  <c r="CY200"/>
  <c r="CZ200"/>
  <c r="DA200"/>
  <c r="DB200"/>
  <c r="DC200"/>
  <c r="A201"/>
  <c r="CY201"/>
  <c r="CZ201"/>
  <c r="DA201"/>
  <c r="DB201"/>
  <c r="DC201"/>
  <c r="A202"/>
  <c r="CY202"/>
  <c r="CZ202"/>
  <c r="DA202"/>
  <c r="DB202"/>
  <c r="DC202"/>
  <c r="A203"/>
  <c r="CY203"/>
  <c r="CZ203"/>
  <c r="DA203"/>
  <c r="DB203"/>
  <c r="DC203"/>
  <c r="A204"/>
  <c r="CY204"/>
  <c r="CZ204"/>
  <c r="DA204"/>
  <c r="DB204"/>
  <c r="DC204"/>
  <c r="A205"/>
  <c r="CY205"/>
  <c r="CZ205"/>
  <c r="DA205"/>
  <c r="DB205"/>
  <c r="DC205"/>
  <c r="A206"/>
  <c r="CY206"/>
  <c r="CZ206"/>
  <c r="DA206"/>
  <c r="DB206"/>
  <c r="DC206"/>
  <c r="A207"/>
  <c r="CY207"/>
  <c r="CZ207"/>
  <c r="DA207"/>
  <c r="DB207"/>
  <c r="DC207"/>
  <c r="A208"/>
  <c r="CY208"/>
  <c r="CZ208"/>
  <c r="DA208"/>
  <c r="DB208"/>
  <c r="DC208"/>
  <c r="A209"/>
  <c r="CY209"/>
  <c r="CZ209"/>
  <c r="DA209"/>
  <c r="DB209"/>
  <c r="DC209"/>
  <c r="A210"/>
  <c r="CY210"/>
  <c r="CZ210"/>
  <c r="DA210"/>
  <c r="DB210"/>
  <c r="DC210"/>
  <c r="A211"/>
  <c r="CY211"/>
  <c r="CZ211"/>
  <c r="DA211"/>
  <c r="DB211"/>
  <c r="DC211"/>
  <c r="A212"/>
  <c r="CY212"/>
  <c r="CZ212"/>
  <c r="DA212"/>
  <c r="DB212"/>
  <c r="DC212"/>
  <c r="A213"/>
  <c r="CY213"/>
  <c r="CZ213"/>
  <c r="DA213"/>
  <c r="DB213"/>
  <c r="DC213"/>
  <c r="A214"/>
  <c r="CY214"/>
  <c r="CZ214"/>
  <c r="DA214"/>
  <c r="DB214"/>
  <c r="DC214"/>
  <c r="A215"/>
  <c r="CY215"/>
  <c r="CZ215"/>
  <c r="DA215"/>
  <c r="DB215"/>
  <c r="DC215"/>
  <c r="A216"/>
  <c r="CY216"/>
  <c r="CZ216"/>
  <c r="DA216"/>
  <c r="DB216"/>
  <c r="DC216"/>
  <c r="A217"/>
  <c r="CY217"/>
  <c r="CZ217"/>
  <c r="DA217"/>
  <c r="DB217"/>
  <c r="DC217"/>
  <c r="A218"/>
  <c r="CY218"/>
  <c r="CZ218"/>
  <c r="DA218"/>
  <c r="DB218"/>
  <c r="DC218"/>
  <c r="A219"/>
  <c r="CY219"/>
  <c r="CZ219"/>
  <c r="DA219"/>
  <c r="DB219"/>
  <c r="DC219"/>
  <c r="A220"/>
  <c r="CY220"/>
  <c r="CZ220"/>
  <c r="DA220"/>
  <c r="DB220"/>
  <c r="DC220"/>
  <c r="A221"/>
  <c r="CY221"/>
  <c r="CZ221"/>
  <c r="DA221"/>
  <c r="DB221"/>
  <c r="DC221"/>
  <c r="A222"/>
  <c r="CY222"/>
  <c r="CZ222"/>
  <c r="DA222"/>
  <c r="DB222"/>
  <c r="DC222"/>
  <c r="A223"/>
  <c r="CY223"/>
  <c r="CZ223"/>
  <c r="DA223"/>
  <c r="DB223"/>
  <c r="DC223"/>
  <c r="A224"/>
  <c r="CY224"/>
  <c r="CZ224"/>
  <c r="DA224"/>
  <c r="DB224"/>
  <c r="DC224"/>
  <c r="A225"/>
  <c r="CY225"/>
  <c r="CZ225"/>
  <c r="DA225"/>
  <c r="DB225"/>
  <c r="DC225"/>
  <c r="A226"/>
  <c r="CY226"/>
  <c r="CZ226"/>
  <c r="DA226"/>
  <c r="DB226"/>
  <c r="DC226"/>
  <c r="A227"/>
  <c r="CY227"/>
  <c r="CZ227"/>
  <c r="DA227"/>
  <c r="DB227"/>
  <c r="DC227"/>
  <c r="A228"/>
  <c r="CY228"/>
  <c r="CZ228"/>
  <c r="DA228"/>
  <c r="DB228"/>
  <c r="DC228"/>
  <c r="A229"/>
  <c r="CY229"/>
  <c r="CZ229"/>
  <c r="DA229"/>
  <c r="DB229"/>
  <c r="DC229"/>
  <c r="A230"/>
  <c r="CY230"/>
  <c r="CZ230"/>
  <c r="DA230"/>
  <c r="DB230"/>
  <c r="DC230"/>
  <c r="A231"/>
  <c r="CY231"/>
  <c r="CZ231"/>
  <c r="DA231"/>
  <c r="DB231"/>
  <c r="DC231"/>
  <c r="A232"/>
  <c r="CY232"/>
  <c r="CZ232"/>
  <c r="DA232"/>
  <c r="DB232"/>
  <c r="DC232"/>
  <c r="A233"/>
  <c r="CY233"/>
  <c r="CZ233"/>
  <c r="DA233"/>
  <c r="DB233"/>
  <c r="DC233"/>
  <c r="A234"/>
  <c r="CY234"/>
  <c r="CZ234"/>
  <c r="DA234"/>
  <c r="DB234"/>
  <c r="DC234"/>
  <c r="A235"/>
  <c r="CY235"/>
  <c r="CZ235"/>
  <c r="DA235"/>
  <c r="DB235"/>
  <c r="DC235"/>
  <c r="A236"/>
  <c r="CY236"/>
  <c r="CZ236"/>
  <c r="DA236"/>
  <c r="DB236"/>
  <c r="DC236"/>
  <c r="A237"/>
  <c r="CY237"/>
  <c r="CZ237"/>
  <c r="DA237"/>
  <c r="DB237"/>
  <c r="DC237"/>
  <c r="A238"/>
  <c r="CY238"/>
  <c r="CZ238"/>
  <c r="DA238"/>
  <c r="DB238"/>
  <c r="DC238"/>
  <c r="A239"/>
  <c r="CY239"/>
  <c r="CZ239"/>
  <c r="DA239"/>
  <c r="DB239"/>
  <c r="DC239"/>
  <c r="A240"/>
  <c r="CY240"/>
  <c r="CZ240"/>
  <c r="DA240"/>
  <c r="DB240"/>
  <c r="DC240"/>
  <c r="A241"/>
  <c r="CY241"/>
  <c r="CZ241"/>
  <c r="DA241"/>
  <c r="DB241"/>
  <c r="DC241"/>
  <c r="A242"/>
  <c r="CY242"/>
  <c r="CZ242"/>
  <c r="DA242"/>
  <c r="DB242"/>
  <c r="DC242"/>
  <c r="A243"/>
  <c r="CY243"/>
  <c r="CZ243"/>
  <c r="DA243"/>
  <c r="DB243"/>
  <c r="DC243"/>
  <c r="A244"/>
  <c r="CY244"/>
  <c r="CZ244"/>
  <c r="DA244"/>
  <c r="DB244"/>
  <c r="DC244"/>
  <c r="A245"/>
  <c r="CY245"/>
  <c r="CZ245"/>
  <c r="DA245"/>
  <c r="DB245"/>
  <c r="DC245"/>
  <c r="A246"/>
  <c r="CY246"/>
  <c r="CZ246"/>
  <c r="DA246"/>
  <c r="DB246"/>
  <c r="DC246"/>
  <c r="A247"/>
  <c r="CY247"/>
  <c r="CZ247"/>
  <c r="DA247"/>
  <c r="DB247"/>
  <c r="DC247"/>
  <c r="A248"/>
  <c r="CY248"/>
  <c r="CZ248"/>
  <c r="DA248"/>
  <c r="DB248"/>
  <c r="DC248"/>
  <c r="A249"/>
  <c r="CY249"/>
  <c r="CZ249"/>
  <c r="DA249"/>
  <c r="DB249"/>
  <c r="DC249"/>
  <c r="A250"/>
  <c r="CY250"/>
  <c r="CZ250"/>
  <c r="DA250"/>
  <c r="DB250"/>
  <c r="DC250"/>
  <c r="A251"/>
  <c r="CY251"/>
  <c r="CZ251"/>
  <c r="DA251"/>
  <c r="DB251"/>
  <c r="DC251"/>
  <c r="A252"/>
  <c r="CY252"/>
  <c r="CZ252"/>
  <c r="DA252"/>
  <c r="DB252"/>
  <c r="DC252"/>
  <c r="A253"/>
  <c r="CY253"/>
  <c r="CZ253"/>
  <c r="DA253"/>
  <c r="DB253"/>
  <c r="DC253"/>
  <c r="A254"/>
  <c r="CY254"/>
  <c r="CZ254"/>
  <c r="DA254"/>
  <c r="DB254"/>
  <c r="DC254"/>
  <c r="A255"/>
  <c r="CY255"/>
  <c r="CZ255"/>
  <c r="DA255"/>
  <c r="DB255"/>
  <c r="DC255"/>
  <c r="A256"/>
  <c r="CY256"/>
  <c r="CZ256"/>
  <c r="DA256"/>
  <c r="DB256"/>
  <c r="DC256"/>
  <c r="A257"/>
  <c r="CY257"/>
  <c r="CZ257"/>
  <c r="DA257"/>
  <c r="DB257"/>
  <c r="DC257"/>
  <c r="A258"/>
  <c r="CY258"/>
  <c r="CZ258"/>
  <c r="DA258"/>
  <c r="DB258"/>
  <c r="DC258"/>
  <c r="A259"/>
  <c r="CY259"/>
  <c r="CZ259"/>
  <c r="DA259"/>
  <c r="DB259"/>
  <c r="DC259"/>
  <c r="A260"/>
  <c r="CY260"/>
  <c r="CZ260"/>
  <c r="DA260"/>
  <c r="DB260"/>
  <c r="DC260"/>
  <c r="A261"/>
  <c r="CY261"/>
  <c r="CZ261"/>
  <c r="DA261"/>
  <c r="DB261"/>
  <c r="DC261"/>
  <c r="A262"/>
  <c r="CY262"/>
  <c r="CZ262"/>
  <c r="DA262"/>
  <c r="DB262"/>
  <c r="DC262"/>
  <c r="A263"/>
  <c r="CY263"/>
  <c r="CZ263"/>
  <c r="DA263"/>
  <c r="DB263"/>
  <c r="DC263"/>
  <c r="A264"/>
  <c r="CY264"/>
  <c r="CZ264"/>
  <c r="DA264"/>
  <c r="DB264"/>
  <c r="DC264"/>
  <c r="A265"/>
  <c r="CY265"/>
  <c r="CZ265"/>
  <c r="DA265"/>
  <c r="DB265"/>
  <c r="DC265"/>
  <c r="A266"/>
  <c r="CY266"/>
  <c r="CZ266"/>
  <c r="DA266"/>
  <c r="DB266"/>
  <c r="DC266"/>
  <c r="A267"/>
  <c r="CY267"/>
  <c r="CZ267"/>
  <c r="DA267"/>
  <c r="DB267"/>
  <c r="DC267"/>
  <c r="A268"/>
  <c r="CY268"/>
  <c r="CZ268"/>
  <c r="DA268"/>
  <c r="DB268"/>
  <c r="DC268"/>
  <c r="A269"/>
  <c r="CY269"/>
  <c r="CZ269"/>
  <c r="DA269"/>
  <c r="DB269"/>
  <c r="DC269"/>
  <c r="A270"/>
  <c r="CY270"/>
  <c r="CZ270"/>
  <c r="DA270"/>
  <c r="DB270"/>
  <c r="DC270"/>
  <c r="A271"/>
  <c r="CY271"/>
  <c r="CZ271"/>
  <c r="DA271"/>
  <c r="DB271"/>
  <c r="DC271"/>
  <c r="A272"/>
  <c r="CY272"/>
  <c r="CZ272"/>
  <c r="DA272"/>
  <c r="DB272"/>
  <c r="DC272"/>
  <c r="A273"/>
  <c r="CY273"/>
  <c r="CZ273"/>
  <c r="DA273"/>
  <c r="DB273"/>
  <c r="DC273"/>
  <c r="A274"/>
  <c r="CY274"/>
  <c r="CZ274"/>
  <c r="DA274"/>
  <c r="DB274"/>
  <c r="DC274"/>
  <c r="A275"/>
  <c r="CY275"/>
  <c r="CZ275"/>
  <c r="DA275"/>
  <c r="DB275"/>
  <c r="DC275"/>
  <c r="A276"/>
  <c r="CY276"/>
  <c r="CZ276"/>
  <c r="DA276"/>
  <c r="DB276"/>
  <c r="DC276"/>
  <c r="A277"/>
  <c r="CY277"/>
  <c r="CZ277"/>
  <c r="DA277"/>
  <c r="DB277"/>
  <c r="DC277"/>
  <c r="A278"/>
  <c r="CY278"/>
  <c r="CZ278"/>
  <c r="DA278"/>
  <c r="DB278"/>
  <c r="DC278"/>
  <c r="A279"/>
  <c r="CY279"/>
  <c r="CZ279"/>
  <c r="DA279"/>
  <c r="DB279"/>
  <c r="DC279"/>
  <c r="A280"/>
  <c r="CY280"/>
  <c r="CZ280"/>
  <c r="DA280"/>
  <c r="DB280"/>
  <c r="DC280"/>
  <c r="A281"/>
  <c r="CY281"/>
  <c r="CZ281"/>
  <c r="DA281"/>
  <c r="DB281"/>
  <c r="DC281"/>
  <c r="A282"/>
  <c r="CY282"/>
  <c r="CZ282"/>
  <c r="DA282"/>
  <c r="DB282"/>
  <c r="DC282"/>
  <c r="A283"/>
  <c r="CY283"/>
  <c r="CZ283"/>
  <c r="DA283"/>
  <c r="DB283"/>
  <c r="DC283"/>
  <c r="A284"/>
  <c r="CY284"/>
  <c r="CZ284"/>
  <c r="DA284"/>
  <c r="DB284"/>
  <c r="DC284"/>
  <c r="A285"/>
  <c r="CY285"/>
  <c r="CZ285"/>
  <c r="DA285"/>
  <c r="DB285"/>
  <c r="DC285"/>
  <c r="A286"/>
  <c r="CY286"/>
  <c r="CZ286"/>
  <c r="DA286"/>
  <c r="DB286"/>
  <c r="DC286"/>
  <c r="A287"/>
  <c r="CY287"/>
  <c r="CZ287"/>
  <c r="DA287"/>
  <c r="DB287"/>
  <c r="DC287"/>
  <c r="A288"/>
  <c r="CY288"/>
  <c r="CZ288"/>
  <c r="DA288"/>
  <c r="DB288"/>
  <c r="DC288"/>
  <c r="A289"/>
  <c r="CY289"/>
  <c r="CZ289"/>
  <c r="DA289"/>
  <c r="DB289"/>
  <c r="DC289"/>
  <c r="A290"/>
  <c r="CY290"/>
  <c r="CZ290"/>
  <c r="DA290"/>
  <c r="DB290"/>
  <c r="DC290"/>
  <c r="A291"/>
  <c r="CY291"/>
  <c r="CZ291"/>
  <c r="DA291"/>
  <c r="DB291"/>
  <c r="DC291"/>
  <c r="A292"/>
  <c r="CY292"/>
  <c r="CZ292"/>
  <c r="DA292"/>
  <c r="DB292"/>
  <c r="DC292"/>
  <c r="A293"/>
  <c r="CY293"/>
  <c r="CZ293"/>
  <c r="DA293"/>
  <c r="DB293"/>
  <c r="DC293"/>
  <c r="A294"/>
  <c r="CY294"/>
  <c r="CZ294"/>
  <c r="DA294"/>
  <c r="DB294"/>
  <c r="DC294"/>
  <c r="A295"/>
  <c r="CY295"/>
  <c r="CZ295"/>
  <c r="DA295"/>
  <c r="DB295"/>
  <c r="DC295"/>
  <c r="A296"/>
  <c r="CY296"/>
  <c r="CZ296"/>
  <c r="DA296"/>
  <c r="DB296"/>
  <c r="DC296"/>
  <c r="A297"/>
  <c r="CY297"/>
  <c r="CZ297"/>
  <c r="DA297"/>
  <c r="DB297"/>
  <c r="DC297"/>
  <c r="A298"/>
  <c r="CY298"/>
  <c r="CZ298"/>
  <c r="DA298"/>
  <c r="DB298"/>
  <c r="DC298"/>
  <c r="A299"/>
  <c r="CY299"/>
  <c r="CZ299"/>
  <c r="DA299"/>
  <c r="DB299"/>
  <c r="DC299"/>
  <c r="A300"/>
  <c r="CY300"/>
  <c r="CZ300"/>
  <c r="DA300"/>
  <c r="DB300"/>
  <c r="DC300"/>
  <c r="A301"/>
  <c r="CY301"/>
  <c r="CZ301"/>
  <c r="DA301"/>
  <c r="DB301"/>
  <c r="DC301"/>
  <c r="A302"/>
  <c r="CY302"/>
  <c r="CZ302"/>
  <c r="DA302"/>
  <c r="DB302"/>
  <c r="DC302"/>
  <c r="A303"/>
  <c r="CY303"/>
  <c r="CZ303"/>
  <c r="DA303"/>
  <c r="DB303"/>
  <c r="DC303"/>
  <c r="A304"/>
  <c r="CY304"/>
  <c r="CZ304"/>
  <c r="DA304"/>
  <c r="DB304"/>
  <c r="DC304"/>
  <c r="A305"/>
  <c r="CY305"/>
  <c r="CZ305"/>
  <c r="DA305"/>
  <c r="DB305"/>
  <c r="DC305"/>
  <c r="A306"/>
  <c r="CY306"/>
  <c r="CZ306"/>
  <c r="DA306"/>
  <c r="DB306"/>
  <c r="DC306"/>
  <c r="A307"/>
  <c r="CY307"/>
  <c r="CZ307"/>
  <c r="DA307"/>
  <c r="DB307"/>
  <c r="DC307"/>
  <c r="A308"/>
  <c r="CY308"/>
  <c r="CZ308"/>
  <c r="DA308"/>
  <c r="DB308"/>
  <c r="DC308"/>
  <c r="A309"/>
  <c r="CY309"/>
  <c r="CZ309"/>
  <c r="DA309"/>
  <c r="DB309"/>
  <c r="DC309"/>
  <c r="A310"/>
  <c r="CY310"/>
  <c r="CZ310"/>
  <c r="DA310"/>
  <c r="DB310"/>
  <c r="DC310"/>
  <c r="A311"/>
  <c r="CY311"/>
  <c r="CZ311"/>
  <c r="DA311"/>
  <c r="DB311"/>
  <c r="DC311"/>
  <c r="A312"/>
  <c r="CY312"/>
  <c r="CZ312"/>
  <c r="DA312"/>
  <c r="DB312"/>
  <c r="DC312"/>
  <c r="A313"/>
  <c r="CY313"/>
  <c r="CZ313"/>
  <c r="DA313"/>
  <c r="DB313"/>
  <c r="DC313"/>
  <c r="A314"/>
  <c r="CY314"/>
  <c r="CZ314"/>
  <c r="DA314"/>
  <c r="DB314"/>
  <c r="DC314"/>
  <c r="A315"/>
  <c r="CY315"/>
  <c r="CZ315"/>
  <c r="DA315"/>
  <c r="DB315"/>
  <c r="DC315"/>
  <c r="A316"/>
  <c r="CY316"/>
  <c r="CZ316"/>
  <c r="DA316"/>
  <c r="DB316"/>
  <c r="DC316"/>
  <c r="A317"/>
  <c r="CY317"/>
  <c r="CZ317"/>
  <c r="DA317"/>
  <c r="DB317"/>
  <c r="DC317"/>
  <c r="A318"/>
  <c r="CY318"/>
  <c r="CZ318"/>
  <c r="DA318"/>
  <c r="DB318"/>
  <c r="DC318"/>
  <c r="A319"/>
  <c r="CY319"/>
  <c r="CZ319"/>
  <c r="DA319"/>
  <c r="DB319"/>
  <c r="DC319"/>
  <c r="A320"/>
  <c r="CY320"/>
  <c r="CZ320"/>
  <c r="DA320"/>
  <c r="DB320"/>
  <c r="DC320"/>
  <c r="A321"/>
  <c r="CY321"/>
  <c r="CZ321"/>
  <c r="DA321"/>
  <c r="DB321"/>
  <c r="DC321"/>
  <c r="A322"/>
  <c r="CY322"/>
  <c r="CZ322"/>
  <c r="DA322"/>
  <c r="DB322"/>
  <c r="DC322"/>
  <c r="A323"/>
  <c r="CY323"/>
  <c r="CZ323"/>
  <c r="DA323"/>
  <c r="DB323"/>
  <c r="DC323"/>
  <c r="A324"/>
  <c r="CY324"/>
  <c r="CZ324"/>
  <c r="DA324"/>
  <c r="DB324"/>
  <c r="DC324"/>
  <c r="A325"/>
  <c r="CY325"/>
  <c r="CZ325"/>
  <c r="DA325"/>
  <c r="DB325"/>
  <c r="DC325"/>
  <c r="A326"/>
  <c r="CY326"/>
  <c r="CZ326"/>
  <c r="DA326"/>
  <c r="DB326"/>
  <c r="DC326"/>
  <c r="A327"/>
  <c r="CY327"/>
  <c r="CZ327"/>
  <c r="DA327"/>
  <c r="DB327"/>
  <c r="DC327"/>
  <c r="A328"/>
  <c r="CY328"/>
  <c r="CZ328"/>
  <c r="DA328"/>
  <c r="DB328"/>
  <c r="DC328"/>
  <c r="A329"/>
  <c r="CY329"/>
  <c r="CZ329"/>
  <c r="DA329"/>
  <c r="DB329"/>
  <c r="DC329"/>
  <c r="A330"/>
  <c r="CY330"/>
  <c r="CZ330"/>
  <c r="DA330"/>
  <c r="DB330"/>
  <c r="DC330"/>
  <c r="A331"/>
  <c r="CY331"/>
  <c r="CZ331"/>
  <c r="DA331"/>
  <c r="DB331"/>
  <c r="DC331"/>
  <c r="A332"/>
  <c r="CY332"/>
  <c r="CZ332"/>
  <c r="DA332"/>
  <c r="DB332"/>
  <c r="DC332"/>
  <c r="A333"/>
  <c r="CY333"/>
  <c r="CZ333"/>
  <c r="DA333"/>
  <c r="DB333"/>
  <c r="DC333"/>
  <c r="A334"/>
  <c r="CY334"/>
  <c r="CZ334"/>
  <c r="DA334"/>
  <c r="DB334"/>
  <c r="DC334"/>
  <c r="A335"/>
  <c r="CY335"/>
  <c r="CZ335"/>
  <c r="DA335"/>
  <c r="DB335"/>
  <c r="DC335"/>
  <c r="A336"/>
  <c r="CY336"/>
  <c r="CZ336"/>
  <c r="DA336"/>
  <c r="DB336"/>
  <c r="DC336"/>
  <c r="A337"/>
  <c r="CY337"/>
  <c r="CZ337"/>
  <c r="DA337"/>
  <c r="DB337"/>
  <c r="DC337"/>
  <c r="A338"/>
  <c r="CY338"/>
  <c r="CZ338"/>
  <c r="DA338"/>
  <c r="DB338"/>
  <c r="DC338"/>
  <c r="A339"/>
  <c r="CY339"/>
  <c r="CZ339"/>
  <c r="DA339"/>
  <c r="DB339"/>
  <c r="DC339"/>
  <c r="A340"/>
  <c r="CY340"/>
  <c r="CZ340"/>
  <c r="DA340"/>
  <c r="DB340"/>
  <c r="DC340"/>
  <c r="A341"/>
  <c r="CY341"/>
  <c r="CZ341"/>
  <c r="DA341"/>
  <c r="DB341"/>
  <c r="DC341"/>
  <c r="A342"/>
  <c r="CY342"/>
  <c r="CZ342"/>
  <c r="DA342"/>
  <c r="DB342"/>
  <c r="DC342"/>
  <c r="A343"/>
  <c r="CY343"/>
  <c r="CZ343"/>
  <c r="DA343"/>
  <c r="DB343"/>
  <c r="DC343"/>
  <c r="A344"/>
  <c r="CY344"/>
  <c r="CZ344"/>
  <c r="DA344"/>
  <c r="DB344"/>
  <c r="DC344"/>
  <c r="A345"/>
  <c r="CY345"/>
  <c r="CZ345"/>
  <c r="DA345"/>
  <c r="DB345"/>
  <c r="DC345"/>
  <c r="A346"/>
  <c r="CY346"/>
  <c r="CZ346"/>
  <c r="DA346"/>
  <c r="DB346"/>
  <c r="DC346"/>
  <c r="A347"/>
  <c r="CY347"/>
  <c r="CZ347"/>
  <c r="DA347"/>
  <c r="DB347"/>
  <c r="DC347"/>
  <c r="A348"/>
  <c r="CY348"/>
  <c r="CZ348"/>
  <c r="DA348"/>
  <c r="DB348"/>
  <c r="DC348"/>
  <c r="A349"/>
  <c r="CY349"/>
  <c r="CZ349"/>
  <c r="DA349"/>
  <c r="DB349"/>
  <c r="DC349"/>
  <c r="A350"/>
  <c r="CY350"/>
  <c r="CZ350"/>
  <c r="DA350"/>
  <c r="DB350"/>
  <c r="DC350"/>
  <c r="A351"/>
  <c r="CY351"/>
  <c r="CZ351"/>
  <c r="DA351"/>
  <c r="DB351"/>
  <c r="DC351"/>
  <c r="A352"/>
  <c r="CY352"/>
  <c r="CZ352"/>
  <c r="DA352"/>
  <c r="DB352"/>
  <c r="DC352"/>
  <c r="A353"/>
  <c r="CY353"/>
  <c r="CZ353"/>
  <c r="DA353"/>
  <c r="DB353"/>
  <c r="DC353"/>
  <c r="A354"/>
  <c r="CY354"/>
  <c r="CZ354"/>
  <c r="DA354"/>
  <c r="DB354"/>
  <c r="DC354"/>
  <c r="A355"/>
  <c r="CY355"/>
  <c r="CZ355"/>
  <c r="DA355"/>
  <c r="DB355"/>
  <c r="DC355"/>
  <c r="A356"/>
  <c r="CY356"/>
  <c r="CZ356"/>
  <c r="DA356"/>
  <c r="DB356"/>
  <c r="DC356"/>
  <c r="A357"/>
  <c r="CY357"/>
  <c r="CZ357"/>
  <c r="DA357"/>
  <c r="DB357"/>
  <c r="DC357"/>
  <c r="A358"/>
  <c r="CY358"/>
  <c r="CZ358"/>
  <c r="DA358"/>
  <c r="DB358"/>
  <c r="DC358"/>
  <c r="A359"/>
  <c r="CY359"/>
  <c r="CZ359"/>
  <c r="DA359"/>
  <c r="DB359"/>
  <c r="DC359"/>
  <c r="A360"/>
  <c r="CY360"/>
  <c r="CZ360"/>
  <c r="DA360"/>
  <c r="DB360"/>
  <c r="DC360"/>
  <c r="A361"/>
  <c r="CY361"/>
  <c r="CZ361"/>
  <c r="DA361"/>
  <c r="DB361"/>
  <c r="DC361"/>
  <c r="A362"/>
  <c r="CY362"/>
  <c r="CZ362"/>
  <c r="DA362"/>
  <c r="DB362"/>
  <c r="DC362"/>
  <c r="A363"/>
  <c r="CY363"/>
  <c r="CZ363"/>
  <c r="DA363"/>
  <c r="DB363"/>
  <c r="DC363"/>
  <c r="A364"/>
  <c r="CY364"/>
  <c r="CZ364"/>
  <c r="DA364"/>
  <c r="DB364"/>
  <c r="DC364"/>
  <c r="A365"/>
  <c r="CY365"/>
  <c r="CZ365"/>
  <c r="DA365"/>
  <c r="DB365"/>
  <c r="DC365"/>
  <c r="A366"/>
  <c r="CY366"/>
  <c r="CZ366"/>
  <c r="DA366"/>
  <c r="DB366"/>
  <c r="DC366"/>
  <c r="A367"/>
  <c r="CY367"/>
  <c r="CZ367"/>
  <c r="DA367"/>
  <c r="DB367"/>
  <c r="DC367"/>
  <c r="A368"/>
  <c r="CY368"/>
  <c r="CZ368"/>
  <c r="DA368"/>
  <c r="DB368"/>
  <c r="DC368"/>
  <c r="A369"/>
  <c r="CY369"/>
  <c r="CZ369"/>
  <c r="DA369"/>
  <c r="DB369"/>
  <c r="DC369"/>
  <c r="A370"/>
  <c r="CY370"/>
  <c r="CZ370"/>
  <c r="DA370"/>
  <c r="DB370"/>
  <c r="DC370"/>
  <c r="A371"/>
  <c r="CY371"/>
  <c r="CZ371"/>
  <c r="DA371"/>
  <c r="DB371"/>
  <c r="DC371"/>
  <c r="A372"/>
  <c r="CY372"/>
  <c r="CZ372"/>
  <c r="DA372"/>
  <c r="DB372"/>
  <c r="DC372"/>
  <c r="A373"/>
  <c r="CY373"/>
  <c r="CZ373"/>
  <c r="DA373"/>
  <c r="DB373"/>
  <c r="DC373"/>
  <c r="A374"/>
  <c r="CY374"/>
  <c r="CZ374"/>
  <c r="DA374"/>
  <c r="DB374"/>
  <c r="DC374"/>
  <c r="A375"/>
  <c r="CY375"/>
  <c r="CZ375"/>
  <c r="DA375"/>
  <c r="DB375"/>
  <c r="DC375"/>
  <c r="A376"/>
  <c r="CY376"/>
  <c r="CZ376"/>
  <c r="DA376"/>
  <c r="DB376"/>
  <c r="DC376"/>
  <c r="A377"/>
  <c r="CY377"/>
  <c r="CZ377"/>
  <c r="DA377"/>
  <c r="DB377"/>
  <c r="DC377"/>
  <c r="A378"/>
  <c r="CY378"/>
  <c r="CZ378"/>
  <c r="DA378"/>
  <c r="DB378"/>
  <c r="DC378"/>
  <c r="A379"/>
  <c r="CY379"/>
  <c r="CZ379"/>
  <c r="DA379"/>
  <c r="DB379"/>
  <c r="DC379"/>
  <c r="A380"/>
  <c r="CY380"/>
  <c r="CZ380"/>
  <c r="DA380"/>
  <c r="DB380"/>
  <c r="DC380"/>
  <c r="A381"/>
  <c r="CY381"/>
  <c r="CZ381"/>
  <c r="DA381"/>
  <c r="DB381"/>
  <c r="DC381"/>
  <c r="A382"/>
  <c r="CY382"/>
  <c r="CZ382"/>
  <c r="DA382"/>
  <c r="DB382"/>
  <c r="DC382"/>
  <c r="A383"/>
  <c r="CY383"/>
  <c r="CZ383"/>
  <c r="DA383"/>
  <c r="DB383"/>
  <c r="DC383"/>
  <c r="A384"/>
  <c r="CY384"/>
  <c r="CZ384"/>
  <c r="DA384"/>
  <c r="DB384"/>
  <c r="DC384"/>
  <c r="A385"/>
  <c r="CY385"/>
  <c r="CZ385"/>
  <c r="DA385"/>
  <c r="DB385"/>
  <c r="DC385"/>
  <c r="A386"/>
  <c r="CY386"/>
  <c r="CZ386"/>
  <c r="DA386"/>
  <c r="DB386"/>
  <c r="DC386"/>
  <c r="A387"/>
  <c r="CY387"/>
  <c r="CZ387"/>
  <c r="DA387"/>
  <c r="DB387"/>
  <c r="DC387"/>
  <c r="A388"/>
  <c r="CY388"/>
  <c r="CZ388"/>
  <c r="DA388"/>
  <c r="DB388"/>
  <c r="DC388"/>
  <c r="A389"/>
  <c r="CY389"/>
  <c r="CZ389"/>
  <c r="DA389"/>
  <c r="DB389"/>
  <c r="DC389"/>
  <c r="A390"/>
  <c r="CY390"/>
  <c r="CZ390"/>
  <c r="DA390"/>
  <c r="DB390"/>
  <c r="DC390"/>
  <c r="A391"/>
  <c r="CY391"/>
  <c r="CZ391"/>
  <c r="DA391"/>
  <c r="DB391"/>
  <c r="DC391"/>
  <c r="A392"/>
  <c r="CY392"/>
  <c r="CZ392"/>
  <c r="DA392"/>
  <c r="DB392"/>
  <c r="DC392"/>
  <c r="A393"/>
  <c r="CY393"/>
  <c r="CZ393"/>
  <c r="DA393"/>
  <c r="DB393"/>
  <c r="DC393"/>
  <c r="A394"/>
  <c r="CY394"/>
  <c r="CZ394"/>
  <c r="DA394"/>
  <c r="DB394"/>
  <c r="DC394"/>
  <c r="A395"/>
  <c r="CX395"/>
  <c r="CY395"/>
  <c r="CZ395"/>
  <c r="DA395"/>
  <c r="DB395"/>
  <c r="DC395"/>
  <c r="A396"/>
  <c r="CX396"/>
  <c r="CY396"/>
  <c r="CZ396"/>
  <c r="DA396"/>
  <c r="DB396"/>
  <c r="DC396"/>
  <c r="A397"/>
  <c r="CX397"/>
  <c r="CY397"/>
  <c r="CZ397"/>
  <c r="DA397"/>
  <c r="DB397"/>
  <c r="DC397"/>
  <c r="A398"/>
  <c r="CX398"/>
  <c r="CY398"/>
  <c r="CZ398"/>
  <c r="DA398"/>
  <c r="DB398"/>
  <c r="DC398"/>
  <c r="A399"/>
  <c r="CX399"/>
  <c r="CY399"/>
  <c r="CZ399"/>
  <c r="DA399"/>
  <c r="DB399"/>
  <c r="DC399"/>
  <c r="A400"/>
  <c r="CX400"/>
  <c r="CY400"/>
  <c r="CZ400"/>
  <c r="DA400"/>
  <c r="DB400"/>
  <c r="DC400"/>
  <c r="A401"/>
  <c r="CY401"/>
  <c r="CZ401"/>
  <c r="DA401"/>
  <c r="DB401"/>
  <c r="DC401"/>
  <c r="A402"/>
  <c r="CY402"/>
  <c r="CZ402"/>
  <c r="DA402"/>
  <c r="DB402"/>
  <c r="DC402"/>
  <c r="A403"/>
  <c r="CY403"/>
  <c r="CZ403"/>
  <c r="DA403"/>
  <c r="DB403"/>
  <c r="DC403"/>
  <c r="A404"/>
  <c r="CY404"/>
  <c r="CZ404"/>
  <c r="DA404"/>
  <c r="DB404"/>
  <c r="DC404"/>
  <c r="A405"/>
  <c r="CY405"/>
  <c r="CZ405"/>
  <c r="DA405"/>
  <c r="DB405"/>
  <c r="DC405"/>
  <c r="A406"/>
  <c r="CY406"/>
  <c r="CZ406"/>
  <c r="DA406"/>
  <c r="DB406"/>
  <c r="DC406"/>
  <c r="A407"/>
  <c r="CY407"/>
  <c r="CZ407"/>
  <c r="DA407"/>
  <c r="DB407"/>
  <c r="DC407"/>
  <c r="A408"/>
  <c r="CX408"/>
  <c r="CY408"/>
  <c r="CZ408"/>
  <c r="DA408"/>
  <c r="DB408"/>
  <c r="DC408"/>
  <c r="A409"/>
  <c r="CX409"/>
  <c r="CY409"/>
  <c r="CZ409"/>
  <c r="DA409"/>
  <c r="DB409"/>
  <c r="DC409"/>
  <c r="A410"/>
  <c r="CX410"/>
  <c r="CY410"/>
  <c r="CZ410"/>
  <c r="DA410"/>
  <c r="DB410"/>
  <c r="DC410"/>
  <c r="A411"/>
  <c r="CX411"/>
  <c r="CY411"/>
  <c r="CZ411"/>
  <c r="DA411"/>
  <c r="DB411"/>
  <c r="DC411"/>
  <c r="A412"/>
  <c r="CX412"/>
  <c r="CY412"/>
  <c r="CZ412"/>
  <c r="DA412"/>
  <c r="DB412"/>
  <c r="DC412"/>
  <c r="A413"/>
  <c r="CX413"/>
  <c r="CY413"/>
  <c r="CZ413"/>
  <c r="DA413"/>
  <c r="DB413"/>
  <c r="DC413"/>
  <c r="A414"/>
  <c r="CX414"/>
  <c r="CY414"/>
  <c r="CZ414"/>
  <c r="DA414"/>
  <c r="DB414"/>
  <c r="DC414"/>
  <c r="A415"/>
  <c r="CX415"/>
  <c r="CY415"/>
  <c r="CZ415"/>
  <c r="DA415"/>
  <c r="DB415"/>
  <c r="DC415"/>
  <c r="A416"/>
  <c r="CX416"/>
  <c r="CY416"/>
  <c r="CZ416"/>
  <c r="DA416"/>
  <c r="DB416"/>
  <c r="DC416"/>
  <c r="A417"/>
  <c r="CX417"/>
  <c r="CY417"/>
  <c r="CZ417"/>
  <c r="DA417"/>
  <c r="DB417"/>
  <c r="DC417"/>
  <c r="A418"/>
  <c r="CX418"/>
  <c r="CY418"/>
  <c r="CZ418"/>
  <c r="DA418"/>
  <c r="DB418"/>
  <c r="DC418"/>
  <c r="A419"/>
  <c r="CX419"/>
  <c r="CY419"/>
  <c r="CZ419"/>
  <c r="DA419"/>
  <c r="DB419"/>
  <c r="DC419"/>
  <c r="A420"/>
  <c r="CX420"/>
  <c r="CY420"/>
  <c r="CZ420"/>
  <c r="DA420"/>
  <c r="DB420"/>
  <c r="DC420"/>
  <c r="A421"/>
  <c r="CY421"/>
  <c r="CZ421"/>
  <c r="DA421"/>
  <c r="DB421"/>
  <c r="DC421"/>
  <c r="A422"/>
  <c r="CY422"/>
  <c r="CZ422"/>
  <c r="DA422"/>
  <c r="DB422"/>
  <c r="DC422"/>
  <c r="A423"/>
  <c r="CY423"/>
  <c r="CZ423"/>
  <c r="DA423"/>
  <c r="DB423"/>
  <c r="DC423"/>
  <c r="A424"/>
  <c r="CY424"/>
  <c r="CZ424"/>
  <c r="DA424"/>
  <c r="DB424"/>
  <c r="DC424"/>
  <c r="A425"/>
  <c r="CY425"/>
  <c r="CZ425"/>
  <c r="DA425"/>
  <c r="DB425"/>
  <c r="DC425"/>
  <c r="A426"/>
  <c r="CY426"/>
  <c r="CZ426"/>
  <c r="DA426"/>
  <c r="DB426"/>
  <c r="DC426"/>
  <c r="A427"/>
  <c r="CY427"/>
  <c r="CZ427"/>
  <c r="DA427"/>
  <c r="DB427"/>
  <c r="DC427"/>
  <c r="A428"/>
  <c r="CY428"/>
  <c r="CZ428"/>
  <c r="DA428"/>
  <c r="DB428"/>
  <c r="DC428"/>
  <c r="A429"/>
  <c r="CY429"/>
  <c r="CZ429"/>
  <c r="DA429"/>
  <c r="DB429"/>
  <c r="DC429"/>
  <c r="A430"/>
  <c r="CY430"/>
  <c r="CZ430"/>
  <c r="DA430"/>
  <c r="DB430"/>
  <c r="DC430"/>
  <c r="A431"/>
  <c r="CY431"/>
  <c r="CZ431"/>
  <c r="DA431"/>
  <c r="DB431"/>
  <c r="DC431"/>
  <c r="A432"/>
  <c r="CY432"/>
  <c r="CZ432"/>
  <c r="DA432"/>
  <c r="DB432"/>
  <c r="DC432"/>
  <c r="A433"/>
  <c r="CY433"/>
  <c r="CZ433"/>
  <c r="DA433"/>
  <c r="DB433"/>
  <c r="DC433"/>
  <c r="A434"/>
  <c r="CY434"/>
  <c r="CZ434"/>
  <c r="DA434"/>
  <c r="DB434"/>
  <c r="DC434"/>
  <c r="A435"/>
  <c r="CY435"/>
  <c r="CZ435"/>
  <c r="DA435"/>
  <c r="DB435"/>
  <c r="DC435"/>
  <c r="A436"/>
  <c r="CY436"/>
  <c r="CZ436"/>
  <c r="DA436"/>
  <c r="DB436"/>
  <c r="DC436"/>
  <c r="A437"/>
  <c r="CY437"/>
  <c r="CZ437"/>
  <c r="DA437"/>
  <c r="DB437"/>
  <c r="DC437"/>
  <c r="A438"/>
  <c r="CY438"/>
  <c r="CZ438"/>
  <c r="DA438"/>
  <c r="DB438"/>
  <c r="DC438"/>
  <c r="A439"/>
  <c r="CY439"/>
  <c r="CZ439"/>
  <c r="DA439"/>
  <c r="DB439"/>
  <c r="DC439"/>
  <c r="A440"/>
  <c r="CY440"/>
  <c r="CZ440"/>
  <c r="DA440"/>
  <c r="DB440"/>
  <c r="DC440"/>
  <c r="A441"/>
  <c r="CY441"/>
  <c r="CZ441"/>
  <c r="DA441"/>
  <c r="DB441"/>
  <c r="DC441"/>
  <c r="A442"/>
  <c r="CY442"/>
  <c r="CZ442"/>
  <c r="DA442"/>
  <c r="DB442"/>
  <c r="DC442"/>
  <c r="A443"/>
  <c r="CX443"/>
  <c r="CY443"/>
  <c r="CZ443"/>
  <c r="DA443"/>
  <c r="DB443"/>
  <c r="DC443"/>
  <c r="A444"/>
  <c r="CX444"/>
  <c r="CY444"/>
  <c r="CZ444"/>
  <c r="DA444"/>
  <c r="DB444"/>
  <c r="DC444"/>
  <c r="A445"/>
  <c r="CX445"/>
  <c r="CY445"/>
  <c r="CZ445"/>
  <c r="DA445"/>
  <c r="DB445"/>
  <c r="DC445"/>
  <c r="A446"/>
  <c r="CX446"/>
  <c r="CY446"/>
  <c r="CZ446"/>
  <c r="DA446"/>
  <c r="DB446"/>
  <c r="DC446"/>
  <c r="A447"/>
  <c r="CY447"/>
  <c r="CZ447"/>
  <c r="DA447"/>
  <c r="DB447"/>
  <c r="DC447"/>
  <c r="A448"/>
  <c r="CY448"/>
  <c r="CZ448"/>
  <c r="DA448"/>
  <c r="DB448"/>
  <c r="DC448"/>
  <c r="A449"/>
  <c r="CY449"/>
  <c r="CZ449"/>
  <c r="DA449"/>
  <c r="DB449"/>
  <c r="DC449"/>
  <c r="A450"/>
  <c r="CY450"/>
  <c r="CZ450"/>
  <c r="DA450"/>
  <c r="DB450"/>
  <c r="DC450"/>
  <c r="A451"/>
  <c r="CY451"/>
  <c r="CZ451"/>
  <c r="DA451"/>
  <c r="DB451"/>
  <c r="DC451"/>
  <c r="A452"/>
  <c r="CY452"/>
  <c r="CZ452"/>
  <c r="DA452"/>
  <c r="DB452"/>
  <c r="DC452"/>
  <c r="A453"/>
  <c r="CY453"/>
  <c r="CZ453"/>
  <c r="DA453"/>
  <c r="DB453"/>
  <c r="DC453"/>
  <c r="A454"/>
  <c r="CY454"/>
  <c r="CZ454"/>
  <c r="DA454"/>
  <c r="DB454"/>
  <c r="DC454"/>
  <c r="A455"/>
  <c r="CY455"/>
  <c r="CZ455"/>
  <c r="DA455"/>
  <c r="DB455"/>
  <c r="DC455"/>
  <c r="A456"/>
  <c r="CY456"/>
  <c r="CZ456"/>
  <c r="DA456"/>
  <c r="DB456"/>
  <c r="DC456"/>
  <c r="A457"/>
  <c r="CY457"/>
  <c r="CZ457"/>
  <c r="DA457"/>
  <c r="DB457"/>
  <c r="DC457"/>
  <c r="A458"/>
  <c r="CY458"/>
  <c r="CZ458"/>
  <c r="DA458"/>
  <c r="DB458"/>
  <c r="DC458"/>
  <c r="A459"/>
  <c r="CY459"/>
  <c r="CZ459"/>
  <c r="DA459"/>
  <c r="DB459"/>
  <c r="DC459"/>
  <c r="A460"/>
  <c r="CY460"/>
  <c r="CZ460"/>
  <c r="DA460"/>
  <c r="DB460"/>
  <c r="DC460"/>
  <c r="A461"/>
  <c r="CY461"/>
  <c r="CZ461"/>
  <c r="DA461"/>
  <c r="DB461"/>
  <c r="DC461"/>
  <c r="A462"/>
  <c r="CY462"/>
  <c r="CZ462"/>
  <c r="DA462"/>
  <c r="DB462"/>
  <c r="DC462"/>
  <c r="A463"/>
  <c r="CY463"/>
  <c r="CZ463"/>
  <c r="DA463"/>
  <c r="DB463"/>
  <c r="DC463"/>
  <c r="A464"/>
  <c r="CY464"/>
  <c r="CZ464"/>
  <c r="DA464"/>
  <c r="DB464"/>
  <c r="DC464"/>
  <c r="A465"/>
  <c r="CY465"/>
  <c r="CZ465"/>
  <c r="DA465"/>
  <c r="DB465"/>
  <c r="DC465"/>
  <c r="A466"/>
  <c r="CY466"/>
  <c r="CZ466"/>
  <c r="DA466"/>
  <c r="DB466"/>
  <c r="DC466"/>
  <c r="A467"/>
  <c r="CY467"/>
  <c r="CZ467"/>
  <c r="DA467"/>
  <c r="DB467"/>
  <c r="DC467"/>
  <c r="A468"/>
  <c r="CY468"/>
  <c r="CZ468"/>
  <c r="DA468"/>
  <c r="DB468"/>
  <c r="DC468"/>
  <c r="A469"/>
  <c r="CY469"/>
  <c r="CZ469"/>
  <c r="DA469"/>
  <c r="DB469"/>
  <c r="DC469"/>
  <c r="A470"/>
  <c r="CY470"/>
  <c r="CZ470"/>
  <c r="DA470"/>
  <c r="DB470"/>
  <c r="DC470"/>
  <c r="A471"/>
  <c r="CY471"/>
  <c r="CZ471"/>
  <c r="DA471"/>
  <c r="DB471"/>
  <c r="DC471"/>
  <c r="A472"/>
  <c r="CY472"/>
  <c r="CZ472"/>
  <c r="DA472"/>
  <c r="DB472"/>
  <c r="DC472"/>
  <c r="A473"/>
  <c r="CY473"/>
  <c r="CZ473"/>
  <c r="DA473"/>
  <c r="DB473"/>
  <c r="DC473"/>
  <c r="A474"/>
  <c r="CY474"/>
  <c r="CZ474"/>
  <c r="DA474"/>
  <c r="DB474"/>
  <c r="DC474"/>
  <c r="A475"/>
  <c r="CY475"/>
  <c r="CZ475"/>
  <c r="DA475"/>
  <c r="DB475"/>
  <c r="DC475"/>
  <c r="A476"/>
  <c r="CY476"/>
  <c r="CZ476"/>
  <c r="DA476"/>
  <c r="DB476"/>
  <c r="DC476"/>
  <c r="A477"/>
  <c r="CY477"/>
  <c r="CZ477"/>
  <c r="DA477"/>
  <c r="DB477"/>
  <c r="DC477"/>
  <c r="A478"/>
  <c r="CY478"/>
  <c r="CZ478"/>
  <c r="DA478"/>
  <c r="DB478"/>
  <c r="DC478"/>
  <c r="A479"/>
  <c r="CY479"/>
  <c r="CZ479"/>
  <c r="DA479"/>
  <c r="DB479"/>
  <c r="DC479"/>
  <c r="A480"/>
  <c r="CY480"/>
  <c r="CZ480"/>
  <c r="DA480"/>
  <c r="DB480"/>
  <c r="DC480"/>
  <c r="A481"/>
  <c r="CY481"/>
  <c r="CZ481"/>
  <c r="DA481"/>
  <c r="DB481"/>
  <c r="DC481"/>
  <c r="A482"/>
  <c r="CY482"/>
  <c r="CZ482"/>
  <c r="DA482"/>
  <c r="DB482"/>
  <c r="DC482"/>
  <c r="A483"/>
  <c r="CY483"/>
  <c r="CZ483"/>
  <c r="DA483"/>
  <c r="DB483"/>
  <c r="DC483"/>
  <c r="A484"/>
  <c r="CY484"/>
  <c r="CZ484"/>
  <c r="DA484"/>
  <c r="DB484"/>
  <c r="DC484"/>
  <c r="A485"/>
  <c r="CY485"/>
  <c r="CZ485"/>
  <c r="DA485"/>
  <c r="DB485"/>
  <c r="DC485"/>
  <c r="A486"/>
  <c r="CY486"/>
  <c r="CZ486"/>
  <c r="DA486"/>
  <c r="DB486"/>
  <c r="DC486"/>
  <c r="A487"/>
  <c r="CY487"/>
  <c r="CZ487"/>
  <c r="DA487"/>
  <c r="DB487"/>
  <c r="DC487"/>
  <c r="A488"/>
  <c r="CY488"/>
  <c r="CZ488"/>
  <c r="DA488"/>
  <c r="DB488"/>
  <c r="DC488"/>
  <c r="A489"/>
  <c r="CY489"/>
  <c r="CZ489"/>
  <c r="DA489"/>
  <c r="DB489"/>
  <c r="DC489"/>
  <c r="A490"/>
  <c r="CY490"/>
  <c r="CZ490"/>
  <c r="DA490"/>
  <c r="DB490"/>
  <c r="DC490"/>
  <c r="A491"/>
  <c r="CY491"/>
  <c r="CZ491"/>
  <c r="DA491"/>
  <c r="DB491"/>
  <c r="DC491"/>
  <c r="A492"/>
  <c r="CY492"/>
  <c r="CZ492"/>
  <c r="DA492"/>
  <c r="DB492"/>
  <c r="DC492"/>
  <c r="A493"/>
  <c r="CY493"/>
  <c r="CZ493"/>
  <c r="DA493"/>
  <c r="DB493"/>
  <c r="DC493"/>
  <c r="A494"/>
  <c r="CY494"/>
  <c r="CZ494"/>
  <c r="DA494"/>
  <c r="DB494"/>
  <c r="DC494"/>
  <c r="A495"/>
  <c r="CY495"/>
  <c r="CZ495"/>
  <c r="DA495"/>
  <c r="DB495"/>
  <c r="DC495"/>
  <c r="A496"/>
  <c r="CY496"/>
  <c r="CZ496"/>
  <c r="DA496"/>
  <c r="DB496"/>
  <c r="DC496"/>
  <c r="A497"/>
  <c r="CY497"/>
  <c r="CZ497"/>
  <c r="DA497"/>
  <c r="DB497"/>
  <c r="DC497"/>
  <c r="A498"/>
  <c r="CY498"/>
  <c r="CZ498"/>
  <c r="DA498"/>
  <c r="DB498"/>
  <c r="DC498"/>
  <c r="A499"/>
  <c r="CY499"/>
  <c r="CZ499"/>
  <c r="DA499"/>
  <c r="DB499"/>
  <c r="DC499"/>
  <c r="A500"/>
  <c r="CY500"/>
  <c r="CZ500"/>
  <c r="DA500"/>
  <c r="DB500"/>
  <c r="DC500"/>
  <c r="A501"/>
  <c r="CY501"/>
  <c r="CZ501"/>
  <c r="DA501"/>
  <c r="DB501"/>
  <c r="DC501"/>
  <c r="A502"/>
  <c r="CY502"/>
  <c r="CZ502"/>
  <c r="DA502"/>
  <c r="DB502"/>
  <c r="DC502"/>
  <c r="A503"/>
  <c r="CY503"/>
  <c r="CZ503"/>
  <c r="DA503"/>
  <c r="DB503"/>
  <c r="DC503"/>
  <c r="A504"/>
  <c r="CY504"/>
  <c r="CZ504"/>
  <c r="DA504"/>
  <c r="DB504"/>
  <c r="DC504"/>
  <c r="A505"/>
  <c r="CY505"/>
  <c r="CZ505"/>
  <c r="DA505"/>
  <c r="DB505"/>
  <c r="DC505"/>
  <c r="A506"/>
  <c r="CY506"/>
  <c r="CZ506"/>
  <c r="DA506"/>
  <c r="DB506"/>
  <c r="DC506"/>
  <c r="A507"/>
  <c r="CY507"/>
  <c r="CZ507"/>
  <c r="DA507"/>
  <c r="DB507"/>
  <c r="DC507"/>
  <c r="A508"/>
  <c r="CY508"/>
  <c r="CZ508"/>
  <c r="DA508"/>
  <c r="DB508"/>
  <c r="DC508"/>
  <c r="A509"/>
  <c r="CY509"/>
  <c r="CZ509"/>
  <c r="DA509"/>
  <c r="DB509"/>
  <c r="DC509"/>
  <c r="A510"/>
  <c r="CY510"/>
  <c r="CZ510"/>
  <c r="DA510"/>
  <c r="DB510"/>
  <c r="DC510"/>
  <c r="A511"/>
  <c r="CY511"/>
  <c r="CZ511"/>
  <c r="DA511"/>
  <c r="DB511"/>
  <c r="DC511"/>
  <c r="A512"/>
  <c r="CY512"/>
  <c r="CZ512"/>
  <c r="DA512"/>
  <c r="DB512"/>
  <c r="DC512"/>
  <c r="A513"/>
  <c r="CY513"/>
  <c r="CZ513"/>
  <c r="DA513"/>
  <c r="DB513"/>
  <c r="DC513"/>
  <c r="A514"/>
  <c r="CY514"/>
  <c r="CZ514"/>
  <c r="DA514"/>
  <c r="DB514"/>
  <c r="DC514"/>
  <c r="A515"/>
  <c r="CY515"/>
  <c r="CZ515"/>
  <c r="DA515"/>
  <c r="DB515"/>
  <c r="DC515"/>
  <c r="A516"/>
  <c r="CY516"/>
  <c r="CZ516"/>
  <c r="DA516"/>
  <c r="DB516"/>
  <c r="DC516"/>
  <c r="A517"/>
  <c r="CY517"/>
  <c r="CZ517"/>
  <c r="DA517"/>
  <c r="DB517"/>
  <c r="DC517"/>
  <c r="A518"/>
  <c r="CY518"/>
  <c r="CZ518"/>
  <c r="DA518"/>
  <c r="DB518"/>
  <c r="DC518"/>
  <c r="A519"/>
  <c r="CY519"/>
  <c r="CZ519"/>
  <c r="DA519"/>
  <c r="DB519"/>
  <c r="DC519"/>
  <c r="A520"/>
  <c r="CY520"/>
  <c r="CZ520"/>
  <c r="DA520"/>
  <c r="DB520"/>
  <c r="DC520"/>
  <c r="A521"/>
  <c r="CY521"/>
  <c r="CZ521"/>
  <c r="DA521"/>
  <c r="DB521"/>
  <c r="DC521"/>
  <c r="A522"/>
  <c r="CY522"/>
  <c r="CZ522"/>
  <c r="DA522"/>
  <c r="DB522"/>
  <c r="DC522"/>
  <c r="A523"/>
  <c r="CY523"/>
  <c r="CZ523"/>
  <c r="DA523"/>
  <c r="DB523"/>
  <c r="DC523"/>
  <c r="A524"/>
  <c r="CY524"/>
  <c r="CZ524"/>
  <c r="DA524"/>
  <c r="DB524"/>
  <c r="DC524"/>
  <c r="A525"/>
  <c r="CY525"/>
  <c r="CZ525"/>
  <c r="DA525"/>
  <c r="DB525"/>
  <c r="DC525"/>
  <c r="A526"/>
  <c r="CY526"/>
  <c r="CZ526"/>
  <c r="DA526"/>
  <c r="DB526"/>
  <c r="DC526"/>
  <c r="A527"/>
  <c r="CY527"/>
  <c r="CZ527"/>
  <c r="DA527"/>
  <c r="DB527"/>
  <c r="DC527"/>
  <c r="A528"/>
  <c r="CY528"/>
  <c r="CZ528"/>
  <c r="DA528"/>
  <c r="DB528"/>
  <c r="DC528"/>
  <c r="A529"/>
  <c r="CY529"/>
  <c r="CZ529"/>
  <c r="DA529"/>
  <c r="DB529"/>
  <c r="DC529"/>
  <c r="A530"/>
  <c r="CY530"/>
  <c r="CZ530"/>
  <c r="DA530"/>
  <c r="DB530"/>
  <c r="DC530"/>
  <c r="A531"/>
  <c r="CY531"/>
  <c r="CZ531"/>
  <c r="DA531"/>
  <c r="DB531"/>
  <c r="DC531"/>
  <c r="A532"/>
  <c r="CY532"/>
  <c r="CZ532"/>
  <c r="DA532"/>
  <c r="DB532"/>
  <c r="DC532"/>
  <c r="A533"/>
  <c r="CY533"/>
  <c r="CZ533"/>
  <c r="DA533"/>
  <c r="DB533"/>
  <c r="DC533"/>
  <c r="A534"/>
  <c r="CY534"/>
  <c r="CZ534"/>
  <c r="DA534"/>
  <c r="DB534"/>
  <c r="DC534"/>
  <c r="A535"/>
  <c r="CY535"/>
  <c r="CZ535"/>
  <c r="DA535"/>
  <c r="DB535"/>
  <c r="DC535"/>
  <c r="A536"/>
  <c r="CY536"/>
  <c r="CZ536"/>
  <c r="DA536"/>
  <c r="DB536"/>
  <c r="DC536"/>
  <c r="A537"/>
  <c r="CY537"/>
  <c r="CZ537"/>
  <c r="DA537"/>
  <c r="DB537"/>
  <c r="DC537"/>
  <c r="A538"/>
  <c r="CY538"/>
  <c r="CZ538"/>
  <c r="DA538"/>
  <c r="DB538"/>
  <c r="DC538"/>
  <c r="A539"/>
  <c r="CY539"/>
  <c r="CZ539"/>
  <c r="DA539"/>
  <c r="DB539"/>
  <c r="DC539"/>
  <c r="A540"/>
  <c r="CY540"/>
  <c r="CZ540"/>
  <c r="DA540"/>
  <c r="DB540"/>
  <c r="DC540"/>
  <c r="A541"/>
  <c r="CY541"/>
  <c r="CZ541"/>
  <c r="DA541"/>
  <c r="DB541"/>
  <c r="DC541"/>
  <c r="A542"/>
  <c r="CY542"/>
  <c r="CZ542"/>
  <c r="DA542"/>
  <c r="DB542"/>
  <c r="DC542"/>
  <c r="A543"/>
  <c r="CY543"/>
  <c r="CZ543"/>
  <c r="DA543"/>
  <c r="DB543"/>
  <c r="DC543"/>
  <c r="A544"/>
  <c r="CY544"/>
  <c r="CZ544"/>
  <c r="DA544"/>
  <c r="DB544"/>
  <c r="DC544"/>
  <c r="A545"/>
  <c r="CY545"/>
  <c r="CZ545"/>
  <c r="DA545"/>
  <c r="DB545"/>
  <c r="DC545"/>
  <c r="A546"/>
  <c r="CY546"/>
  <c r="CZ546"/>
  <c r="DA546"/>
  <c r="DB546"/>
  <c r="DC546"/>
  <c r="A547"/>
  <c r="CY547"/>
  <c r="CZ547"/>
  <c r="DA547"/>
  <c r="DB547"/>
  <c r="DC547"/>
  <c r="A548"/>
  <c r="CY548"/>
  <c r="CZ548"/>
  <c r="DA548"/>
  <c r="DB548"/>
  <c r="DC548"/>
  <c r="A549"/>
  <c r="CY549"/>
  <c r="CZ549"/>
  <c r="DA549"/>
  <c r="DB549"/>
  <c r="DC549"/>
  <c r="A550"/>
  <c r="CY550"/>
  <c r="CZ550"/>
  <c r="DA550"/>
  <c r="DB550"/>
  <c r="DC550"/>
  <c r="A551"/>
  <c r="CY551"/>
  <c r="CZ551"/>
  <c r="DA551"/>
  <c r="DB551"/>
  <c r="DC551"/>
  <c r="A552"/>
  <c r="CY552"/>
  <c r="CZ552"/>
  <c r="DA552"/>
  <c r="DB552"/>
  <c r="DC552"/>
  <c r="A553"/>
  <c r="CY553"/>
  <c r="CZ553"/>
  <c r="DA553"/>
  <c r="DB553"/>
  <c r="DC553"/>
  <c r="A554"/>
  <c r="CY554"/>
  <c r="CZ554"/>
  <c r="DA554"/>
  <c r="DB554"/>
  <c r="DC554"/>
  <c r="A555"/>
  <c r="CY555"/>
  <c r="CZ555"/>
  <c r="DA555"/>
  <c r="DB555"/>
  <c r="DC555"/>
  <c r="A556"/>
  <c r="CY556"/>
  <c r="CZ556"/>
  <c r="DA556"/>
  <c r="DB556"/>
  <c r="DC556"/>
  <c r="A557"/>
  <c r="CY557"/>
  <c r="CZ557"/>
  <c r="DA557"/>
  <c r="DB557"/>
  <c r="DC557"/>
  <c r="A558"/>
  <c r="CY558"/>
  <c r="CZ558"/>
  <c r="DA558"/>
  <c r="DB558"/>
  <c r="DC558"/>
  <c r="A559"/>
  <c r="CY559"/>
  <c r="CZ559"/>
  <c r="DA559"/>
  <c r="DB559"/>
  <c r="DC559"/>
  <c r="A560"/>
  <c r="CY560"/>
  <c r="CZ560"/>
  <c r="DA560"/>
  <c r="DB560"/>
  <c r="DC560"/>
  <c r="A561"/>
  <c r="CX561"/>
  <c r="CY561"/>
  <c r="CZ561"/>
  <c r="DA561"/>
  <c r="DB561"/>
  <c r="DC561"/>
  <c r="A562"/>
  <c r="CX562"/>
  <c r="CY562"/>
  <c r="CZ562"/>
  <c r="DA562"/>
  <c r="DB562"/>
  <c r="DC562"/>
  <c r="A563"/>
  <c r="CX563"/>
  <c r="CY563"/>
  <c r="CZ563"/>
  <c r="DA563"/>
  <c r="DB563"/>
  <c r="DC563"/>
  <c r="A564"/>
  <c r="CX564"/>
  <c r="CY564"/>
  <c r="CZ564"/>
  <c r="DA564"/>
  <c r="DB564"/>
  <c r="DC564"/>
  <c r="A565"/>
  <c r="CX565"/>
  <c r="CY565"/>
  <c r="CZ565"/>
  <c r="DA565"/>
  <c r="DB565"/>
  <c r="DC565"/>
  <c r="A566"/>
  <c r="CX566"/>
  <c r="CY566"/>
  <c r="CZ566"/>
  <c r="DA566"/>
  <c r="DB566"/>
  <c r="DC566"/>
  <c r="A567"/>
  <c r="CX567"/>
  <c r="CY567"/>
  <c r="CZ567"/>
  <c r="DA567"/>
  <c r="DB567"/>
  <c r="DC567"/>
  <c r="A568"/>
  <c r="CX568"/>
  <c r="CY568"/>
  <c r="CZ568"/>
  <c r="DA568"/>
  <c r="DB568"/>
  <c r="DC568"/>
  <c r="A569"/>
  <c r="CX569"/>
  <c r="CY569"/>
  <c r="CZ569"/>
  <c r="DA569"/>
  <c r="DB569"/>
  <c r="DC569"/>
  <c r="A570"/>
  <c r="CX570"/>
  <c r="CY570"/>
  <c r="CZ570"/>
  <c r="DA570"/>
  <c r="DB570"/>
  <c r="DC570"/>
  <c r="A571"/>
  <c r="CX571"/>
  <c r="CY571"/>
  <c r="CZ571"/>
  <c r="DA571"/>
  <c r="DB571"/>
  <c r="DC571"/>
  <c r="A572"/>
  <c r="CX572"/>
  <c r="CY572"/>
  <c r="CZ572"/>
  <c r="DA572"/>
  <c r="DB572"/>
  <c r="DC572"/>
  <c r="A573"/>
  <c r="CX573"/>
  <c r="CY573"/>
  <c r="CZ573"/>
  <c r="DA573"/>
  <c r="DB573"/>
  <c r="DC573"/>
  <c r="A574"/>
  <c r="CX574"/>
  <c r="CY574"/>
  <c r="CZ574"/>
  <c r="DA574"/>
  <c r="DB574"/>
  <c r="DC574"/>
  <c r="A575"/>
  <c r="CX575"/>
  <c r="CY575"/>
  <c r="CZ575"/>
  <c r="DA575"/>
  <c r="DB575"/>
  <c r="DC575"/>
  <c r="A576"/>
  <c r="CX576"/>
  <c r="CY576"/>
  <c r="CZ576"/>
  <c r="DA576"/>
  <c r="DB576"/>
  <c r="DC576"/>
  <c r="A577"/>
  <c r="CX577"/>
  <c r="CY577"/>
  <c r="CZ577"/>
  <c r="DA577"/>
  <c r="DB577"/>
  <c r="DC577"/>
  <c r="A578"/>
  <c r="CX578"/>
  <c r="CY578"/>
  <c r="CZ578"/>
  <c r="DA578"/>
  <c r="DB578"/>
  <c r="DC578"/>
  <c r="A579"/>
  <c r="CY579"/>
  <c r="CZ579"/>
  <c r="DA579"/>
  <c r="DB579"/>
  <c r="DC579"/>
  <c r="A580"/>
  <c r="CY580"/>
  <c r="CZ580"/>
  <c r="DA580"/>
  <c r="DB580"/>
  <c r="DC580"/>
  <c r="A581"/>
  <c r="CY581"/>
  <c r="CZ581"/>
  <c r="DA581"/>
  <c r="DB581"/>
  <c r="DC581"/>
  <c r="A582"/>
  <c r="CY582"/>
  <c r="CZ582"/>
  <c r="DA582"/>
  <c r="DB582"/>
  <c r="DC582"/>
  <c r="A583"/>
  <c r="CY583"/>
  <c r="CZ583"/>
  <c r="DA583"/>
  <c r="DB583"/>
  <c r="DC583"/>
  <c r="A584"/>
  <c r="CY584"/>
  <c r="CZ584"/>
  <c r="DA584"/>
  <c r="DB584"/>
  <c r="DC584"/>
  <c r="A585"/>
  <c r="CY585"/>
  <c r="CZ585"/>
  <c r="DA585"/>
  <c r="DB585"/>
  <c r="DC585"/>
  <c r="A586"/>
  <c r="CY586"/>
  <c r="CZ586"/>
  <c r="DA586"/>
  <c r="DB586"/>
  <c r="DC586"/>
  <c r="A587"/>
  <c r="CY587"/>
  <c r="CZ587"/>
  <c r="DA587"/>
  <c r="DB587"/>
  <c r="DC587"/>
  <c r="A588"/>
  <c r="CY588"/>
  <c r="CZ588"/>
  <c r="DA588"/>
  <c r="DB588"/>
  <c r="DC588"/>
  <c r="A589"/>
  <c r="CY589"/>
  <c r="CZ589"/>
  <c r="DA589"/>
  <c r="DB589"/>
  <c r="DC589"/>
  <c r="A590"/>
  <c r="CY590"/>
  <c r="CZ590"/>
  <c r="DA590"/>
  <c r="DB590"/>
  <c r="DC590"/>
  <c r="A591"/>
  <c r="CY591"/>
  <c r="CZ591"/>
  <c r="DA591"/>
  <c r="DB591"/>
  <c r="DC591"/>
  <c r="A592"/>
  <c r="CY592"/>
  <c r="CZ592"/>
  <c r="DA592"/>
  <c r="DB592"/>
  <c r="DC592"/>
  <c r="A593"/>
  <c r="CY593"/>
  <c r="CZ593"/>
  <c r="DA593"/>
  <c r="DB593"/>
  <c r="DC593"/>
  <c r="A594"/>
  <c r="CY594"/>
  <c r="CZ594"/>
  <c r="DA594"/>
  <c r="DB594"/>
  <c r="DC594"/>
  <c r="A595"/>
  <c r="CY595"/>
  <c r="CZ595"/>
  <c r="DA595"/>
  <c r="DB595"/>
  <c r="DC595"/>
  <c r="A596"/>
  <c r="CY596"/>
  <c r="CZ596"/>
  <c r="DA596"/>
  <c r="DB596"/>
  <c r="DC596"/>
  <c r="A597"/>
  <c r="CY597"/>
  <c r="CZ597"/>
  <c r="DA597"/>
  <c r="DB597"/>
  <c r="DC597"/>
  <c r="A598"/>
  <c r="CY598"/>
  <c r="CZ598"/>
  <c r="DA598"/>
  <c r="DB598"/>
  <c r="DC598"/>
  <c r="A599"/>
  <c r="CY599"/>
  <c r="CZ599"/>
  <c r="DA599"/>
  <c r="DB599"/>
  <c r="DC599"/>
  <c r="A600"/>
  <c r="CY600"/>
  <c r="CZ600"/>
  <c r="DA600"/>
  <c r="DB600"/>
  <c r="DC600"/>
  <c r="A601"/>
  <c r="CY601"/>
  <c r="CZ601"/>
  <c r="DA601"/>
  <c r="DB601"/>
  <c r="DC601"/>
  <c r="A602"/>
  <c r="CY602"/>
  <c r="CZ602"/>
  <c r="DA602"/>
  <c r="DB602"/>
  <c r="DC602"/>
  <c r="A603"/>
  <c r="CY603"/>
  <c r="CZ603"/>
  <c r="DA603"/>
  <c r="DB603"/>
  <c r="DC603"/>
  <c r="A604"/>
  <c r="CY604"/>
  <c r="CZ604"/>
  <c r="DA604"/>
  <c r="DB604"/>
  <c r="DC604"/>
  <c r="A605"/>
  <c r="CY605"/>
  <c r="CZ605"/>
  <c r="DA605"/>
  <c r="DB605"/>
  <c r="DC605"/>
  <c r="A606"/>
  <c r="CY606"/>
  <c r="CZ606"/>
  <c r="DA606"/>
  <c r="DB606"/>
  <c r="DC606"/>
  <c r="A607"/>
  <c r="CY607"/>
  <c r="CZ607"/>
  <c r="DA607"/>
  <c r="DB607"/>
  <c r="DC607"/>
  <c r="A608"/>
  <c r="CY608"/>
  <c r="CZ608"/>
  <c r="DA608"/>
  <c r="DB608"/>
  <c r="DC608"/>
  <c r="A609"/>
  <c r="CY609"/>
  <c r="CZ609"/>
  <c r="DA609"/>
  <c r="DB609"/>
  <c r="DC609"/>
  <c r="A610"/>
  <c r="CY610"/>
  <c r="CZ610"/>
  <c r="DA610"/>
  <c r="DB610"/>
  <c r="DC610"/>
  <c r="A611"/>
  <c r="CY611"/>
  <c r="CZ611"/>
  <c r="DA611"/>
  <c r="DB611"/>
  <c r="DC611"/>
  <c r="A612"/>
  <c r="CY612"/>
  <c r="CZ612"/>
  <c r="DA612"/>
  <c r="DB612"/>
  <c r="DC612"/>
  <c r="A613"/>
  <c r="CY613"/>
  <c r="CZ613"/>
  <c r="DA613"/>
  <c r="DB613"/>
  <c r="DC613"/>
  <c r="A614"/>
  <c r="CY614"/>
  <c r="CZ614"/>
  <c r="DA614"/>
  <c r="DB614"/>
  <c r="DC614"/>
  <c r="A615"/>
  <c r="CY615"/>
  <c r="CZ615"/>
  <c r="DA615"/>
  <c r="DB615"/>
  <c r="DC615"/>
  <c r="A616"/>
  <c r="CY616"/>
  <c r="CZ616"/>
  <c r="DA616"/>
  <c r="DB616"/>
  <c r="DC616"/>
  <c r="A617"/>
  <c r="CY617"/>
  <c r="CZ617"/>
  <c r="DA617"/>
  <c r="DB617"/>
  <c r="DC617"/>
  <c r="A618"/>
  <c r="CY618"/>
  <c r="CZ618"/>
  <c r="DA618"/>
  <c r="DB618"/>
  <c r="DC618"/>
  <c r="A619"/>
  <c r="CY619"/>
  <c r="CZ619"/>
  <c r="DA619"/>
  <c r="DB619"/>
  <c r="DC619"/>
  <c r="A620"/>
  <c r="CY620"/>
  <c r="CZ620"/>
  <c r="DA620"/>
  <c r="DB620"/>
  <c r="DC620"/>
  <c r="A621"/>
  <c r="CY621"/>
  <c r="CZ621"/>
  <c r="DA621"/>
  <c r="DB621"/>
  <c r="DC621"/>
  <c r="A622"/>
  <c r="CY622"/>
  <c r="CZ622"/>
  <c r="DA622"/>
  <c r="DB622"/>
  <c r="DC622"/>
  <c r="A623"/>
  <c r="CY623"/>
  <c r="CZ623"/>
  <c r="DA623"/>
  <c r="DB623"/>
  <c r="DC623"/>
  <c r="A624"/>
  <c r="CY624"/>
  <c r="CZ624"/>
  <c r="DA624"/>
  <c r="DB624"/>
  <c r="DC624"/>
  <c r="A625"/>
  <c r="CY625"/>
  <c r="CZ625"/>
  <c r="DA625"/>
  <c r="DB625"/>
  <c r="DC625"/>
  <c r="A626"/>
  <c r="CY626"/>
  <c r="CZ626"/>
  <c r="DA626"/>
  <c r="DB626"/>
  <c r="DC626"/>
  <c r="A627"/>
  <c r="CY627"/>
  <c r="CZ627"/>
  <c r="DA627"/>
  <c r="DB627"/>
  <c r="DC627"/>
  <c r="A628"/>
  <c r="CY628"/>
  <c r="CZ628"/>
  <c r="DA628"/>
  <c r="DB628"/>
  <c r="DC628"/>
  <c r="A629"/>
  <c r="CY629"/>
  <c r="CZ629"/>
  <c r="DA629"/>
  <c r="DB629"/>
  <c r="DC629"/>
  <c r="A630"/>
  <c r="CY630"/>
  <c r="CZ630"/>
  <c r="DA630"/>
  <c r="DB630"/>
  <c r="DC630"/>
  <c r="A631"/>
  <c r="CY631"/>
  <c r="CZ631"/>
  <c r="DA631"/>
  <c r="DB631"/>
  <c r="DC631"/>
  <c r="A632"/>
  <c r="CY632"/>
  <c r="CZ632"/>
  <c r="DA632"/>
  <c r="DB632"/>
  <c r="DC632"/>
  <c r="A633"/>
  <c r="CY633"/>
  <c r="CZ633"/>
  <c r="DA633"/>
  <c r="DB633"/>
  <c r="DC633"/>
  <c r="A634"/>
  <c r="CY634"/>
  <c r="CZ634"/>
  <c r="DA634"/>
  <c r="DB634"/>
  <c r="DC634"/>
  <c r="A635"/>
  <c r="CY635"/>
  <c r="CZ635"/>
  <c r="DA635"/>
  <c r="DB635"/>
  <c r="DC635"/>
  <c r="A636"/>
  <c r="CY636"/>
  <c r="CZ636"/>
  <c r="DA636"/>
  <c r="DB636"/>
  <c r="DC636"/>
  <c r="A637"/>
  <c r="CY637"/>
  <c r="CZ637"/>
  <c r="DA637"/>
  <c r="DB637"/>
  <c r="DC637"/>
  <c r="A638"/>
  <c r="CY638"/>
  <c r="CZ638"/>
  <c r="DA638"/>
  <c r="DB638"/>
  <c r="DC638"/>
  <c r="A639"/>
  <c r="CY639"/>
  <c r="CZ639"/>
  <c r="DA639"/>
  <c r="DB639"/>
  <c r="DC639"/>
  <c r="A640"/>
  <c r="CY640"/>
  <c r="CZ640"/>
  <c r="DA640"/>
  <c r="DB640"/>
  <c r="DC640"/>
  <c r="A641"/>
  <c r="CY641"/>
  <c r="CZ641"/>
  <c r="DA641"/>
  <c r="DB641"/>
  <c r="DC641"/>
  <c r="A642"/>
  <c r="CY642"/>
  <c r="CZ642"/>
  <c r="DA642"/>
  <c r="DB642"/>
  <c r="DC642"/>
  <c r="A643"/>
  <c r="CY643"/>
  <c r="CZ643"/>
  <c r="DA643"/>
  <c r="DB643"/>
  <c r="DC643"/>
  <c r="A644"/>
  <c r="CY644"/>
  <c r="CZ644"/>
  <c r="DA644"/>
  <c r="DB644"/>
  <c r="DC644"/>
  <c r="A645"/>
  <c r="CY645"/>
  <c r="CZ645"/>
  <c r="DA645"/>
  <c r="DB645"/>
  <c r="DC645"/>
  <c r="A646"/>
  <c r="CY646"/>
  <c r="CZ646"/>
  <c r="DA646"/>
  <c r="DB646"/>
  <c r="DC646"/>
  <c r="A647"/>
  <c r="CY647"/>
  <c r="CZ647"/>
  <c r="DA647"/>
  <c r="DB647"/>
  <c r="DC647"/>
  <c r="A648"/>
  <c r="CY648"/>
  <c r="CZ648"/>
  <c r="DA648"/>
  <c r="DB648"/>
  <c r="DC648"/>
  <c r="A649"/>
  <c r="CY649"/>
  <c r="CZ649"/>
  <c r="DA649"/>
  <c r="DB649"/>
  <c r="DC649"/>
  <c r="A650"/>
  <c r="CY650"/>
  <c r="CZ650"/>
  <c r="DA650"/>
  <c r="DB650"/>
  <c r="DC650"/>
  <c r="A651"/>
  <c r="CY651"/>
  <c r="CZ651"/>
  <c r="DA651"/>
  <c r="DB651"/>
  <c r="DC651"/>
  <c r="A652"/>
  <c r="CY652"/>
  <c r="CZ652"/>
  <c r="DA652"/>
  <c r="DB652"/>
  <c r="DC652"/>
  <c r="A653"/>
  <c r="CY653"/>
  <c r="CZ653"/>
  <c r="DA653"/>
  <c r="DB653"/>
  <c r="DC653"/>
  <c r="A654"/>
  <c r="CY654"/>
  <c r="CZ654"/>
  <c r="DA654"/>
  <c r="DB654"/>
  <c r="DC654"/>
  <c r="A655"/>
  <c r="CY655"/>
  <c r="CZ655"/>
  <c r="DA655"/>
  <c r="DB655"/>
  <c r="DC655"/>
  <c r="A656"/>
  <c r="CY656"/>
  <c r="CZ656"/>
  <c r="DA656"/>
  <c r="DB656"/>
  <c r="DC656"/>
  <c r="A657"/>
  <c r="CY657"/>
  <c r="CZ657"/>
  <c r="DA657"/>
  <c r="DB657"/>
  <c r="DC657"/>
  <c r="A658"/>
  <c r="CY658"/>
  <c r="CZ658"/>
  <c r="DA658"/>
  <c r="DB658"/>
  <c r="DC658"/>
  <c r="A659"/>
  <c r="CY659"/>
  <c r="CZ659"/>
  <c r="DA659"/>
  <c r="DB659"/>
  <c r="DC659"/>
  <c r="A660"/>
  <c r="CY660"/>
  <c r="CZ660"/>
  <c r="DA660"/>
  <c r="DB660"/>
  <c r="DC660"/>
  <c r="A661"/>
  <c r="CY661"/>
  <c r="CZ661"/>
  <c r="DA661"/>
  <c r="DB661"/>
  <c r="DC661"/>
  <c r="A662"/>
  <c r="CY662"/>
  <c r="CZ662"/>
  <c r="DA662"/>
  <c r="DB662"/>
  <c r="DC662"/>
  <c r="A663"/>
  <c r="CY663"/>
  <c r="CZ663"/>
  <c r="DA663"/>
  <c r="DB663"/>
  <c r="DC663"/>
  <c r="A664"/>
  <c r="CY664"/>
  <c r="CZ664"/>
  <c r="DA664"/>
  <c r="DB664"/>
  <c r="DC664"/>
  <c r="A665"/>
  <c r="CY665"/>
  <c r="CZ665"/>
  <c r="DA665"/>
  <c r="DB665"/>
  <c r="DC665"/>
  <c r="A666"/>
  <c r="CY666"/>
  <c r="CZ666"/>
  <c r="DA666"/>
  <c r="DB666"/>
  <c r="DC666"/>
  <c r="A667"/>
  <c r="CY667"/>
  <c r="CZ667"/>
  <c r="DA667"/>
  <c r="DB667"/>
  <c r="DC667"/>
  <c r="A668"/>
  <c r="CY668"/>
  <c r="CZ668"/>
  <c r="DA668"/>
  <c r="DB668"/>
  <c r="DC668"/>
  <c r="A669"/>
  <c r="CY669"/>
  <c r="CZ669"/>
  <c r="DA669"/>
  <c r="DB669"/>
  <c r="DC669"/>
  <c r="A670"/>
  <c r="CY670"/>
  <c r="CZ670"/>
  <c r="DA670"/>
  <c r="DB670"/>
  <c r="DC670"/>
  <c r="A671"/>
  <c r="CY671"/>
  <c r="CZ671"/>
  <c r="DA671"/>
  <c r="DB671"/>
  <c r="DC671"/>
  <c r="A672"/>
  <c r="CY672"/>
  <c r="CZ672"/>
  <c r="DA672"/>
  <c r="DB672"/>
  <c r="DC672"/>
  <c r="A673"/>
  <c r="CY673"/>
  <c r="CZ673"/>
  <c r="DA673"/>
  <c r="DB673"/>
  <c r="DC673"/>
  <c r="A674"/>
  <c r="CY674"/>
  <c r="CZ674"/>
  <c r="DA674"/>
  <c r="DB674"/>
  <c r="DC674"/>
  <c r="A675"/>
  <c r="CY675"/>
  <c r="CZ675"/>
  <c r="DA675"/>
  <c r="DB675"/>
  <c r="DC675"/>
  <c r="A676"/>
  <c r="CY676"/>
  <c r="CZ676"/>
  <c r="DA676"/>
  <c r="DB676"/>
  <c r="DC676"/>
  <c r="A677"/>
  <c r="CY677"/>
  <c r="CZ677"/>
  <c r="DA677"/>
  <c r="DB677"/>
  <c r="DC677"/>
  <c r="A678"/>
  <c r="CY678"/>
  <c r="CZ678"/>
  <c r="DA678"/>
  <c r="DB678"/>
  <c r="DC678"/>
  <c r="A679"/>
  <c r="CY679"/>
  <c r="CZ679"/>
  <c r="DA679"/>
  <c r="DB679"/>
  <c r="DC679"/>
  <c r="A680"/>
  <c r="CY680"/>
  <c r="CZ680"/>
  <c r="DA680"/>
  <c r="DB680"/>
  <c r="DC680"/>
  <c r="A681"/>
  <c r="CY681"/>
  <c r="CZ681"/>
  <c r="DA681"/>
  <c r="DB681"/>
  <c r="DC681"/>
  <c r="A682"/>
  <c r="CY682"/>
  <c r="CZ682"/>
  <c r="DA682"/>
  <c r="DB682"/>
  <c r="DC682"/>
  <c r="A683"/>
  <c r="CY683"/>
  <c r="CZ683"/>
  <c r="DA683"/>
  <c r="DB683"/>
  <c r="DC683"/>
  <c r="A684"/>
  <c r="CY684"/>
  <c r="CZ684"/>
  <c r="DA684"/>
  <c r="DB684"/>
  <c r="DC684"/>
  <c r="A685"/>
  <c r="CY685"/>
  <c r="CZ685"/>
  <c r="DA685"/>
  <c r="DB685"/>
  <c r="DC685"/>
  <c r="A686"/>
  <c r="CY686"/>
  <c r="CZ686"/>
  <c r="DA686"/>
  <c r="DB686"/>
  <c r="DC686"/>
  <c r="A687"/>
  <c r="CY687"/>
  <c r="CZ687"/>
  <c r="DA687"/>
  <c r="DB687"/>
  <c r="DC687"/>
  <c r="A688"/>
  <c r="CY688"/>
  <c r="CZ688"/>
  <c r="DA688"/>
  <c r="DB688"/>
  <c r="DC688"/>
  <c r="A689"/>
  <c r="CY689"/>
  <c r="CZ689"/>
  <c r="DA689"/>
  <c r="DB689"/>
  <c r="DC689"/>
  <c r="A690"/>
  <c r="CY690"/>
  <c r="CZ690"/>
  <c r="DA690"/>
  <c r="DB690"/>
  <c r="DC690"/>
  <c r="A691"/>
  <c r="CY691"/>
  <c r="CZ691"/>
  <c r="DA691"/>
  <c r="DB691"/>
  <c r="DC691"/>
  <c r="A692"/>
  <c r="CY692"/>
  <c r="CZ692"/>
  <c r="DA692"/>
  <c r="DB692"/>
  <c r="DC692"/>
  <c r="A693"/>
  <c r="CY693"/>
  <c r="CZ693"/>
  <c r="DA693"/>
  <c r="DB693"/>
  <c r="DC693"/>
  <c r="A694"/>
  <c r="CY694"/>
  <c r="CZ694"/>
  <c r="DA694"/>
  <c r="DB694"/>
  <c r="DC694"/>
  <c r="A695"/>
  <c r="CY695"/>
  <c r="CZ695"/>
  <c r="DA695"/>
  <c r="DB695"/>
  <c r="DC695"/>
  <c r="A696"/>
  <c r="CY696"/>
  <c r="CZ696"/>
  <c r="DA696"/>
  <c r="DB696"/>
  <c r="DC696"/>
  <c r="A697"/>
  <c r="CY697"/>
  <c r="CZ697"/>
  <c r="DA697"/>
  <c r="DB697"/>
  <c r="DC697"/>
  <c r="A698"/>
  <c r="CY698"/>
  <c r="CZ698"/>
  <c r="DA698"/>
  <c r="DB698"/>
  <c r="DC698"/>
  <c r="A699"/>
  <c r="CY699"/>
  <c r="CZ699"/>
  <c r="DA699"/>
  <c r="DB699"/>
  <c r="DC699"/>
  <c r="A700"/>
  <c r="CY700"/>
  <c r="CZ700"/>
  <c r="DA700"/>
  <c r="DB700"/>
  <c r="DC700"/>
  <c r="A701"/>
  <c r="CY701"/>
  <c r="CZ701"/>
  <c r="DA701"/>
  <c r="DB701"/>
  <c r="DC701"/>
  <c r="A702"/>
  <c r="CY702"/>
  <c r="CZ702"/>
  <c r="DA702"/>
  <c r="DB702"/>
  <c r="DC702"/>
  <c r="A703"/>
  <c r="CY703"/>
  <c r="CZ703"/>
  <c r="DA703"/>
  <c r="DB703"/>
  <c r="DC703"/>
  <c r="A704"/>
  <c r="CY704"/>
  <c r="CZ704"/>
  <c r="DA704"/>
  <c r="DB704"/>
  <c r="DC704"/>
  <c r="A705"/>
  <c r="CY705"/>
  <c r="CZ705"/>
  <c r="DA705"/>
  <c r="DB705"/>
  <c r="DC705"/>
  <c r="A706"/>
  <c r="CY706"/>
  <c r="CZ706"/>
  <c r="DA706"/>
  <c r="DB706"/>
  <c r="DC706"/>
  <c r="A707"/>
  <c r="CY707"/>
  <c r="CZ707"/>
  <c r="DA707"/>
  <c r="DB707"/>
  <c r="DC707"/>
  <c r="A708"/>
  <c r="CY708"/>
  <c r="CZ708"/>
  <c r="DA708"/>
  <c r="DB708"/>
  <c r="DC708"/>
  <c r="A709"/>
  <c r="CY709"/>
  <c r="CZ709"/>
  <c r="DA709"/>
  <c r="DB709"/>
  <c r="DC709"/>
  <c r="A710"/>
  <c r="CY710"/>
  <c r="CZ710"/>
  <c r="DA710"/>
  <c r="DB710"/>
  <c r="DC710"/>
  <c r="A711"/>
  <c r="CY711"/>
  <c r="CZ711"/>
  <c r="DA711"/>
  <c r="DB711"/>
  <c r="DC711"/>
  <c r="A712"/>
  <c r="CY712"/>
  <c r="CZ712"/>
  <c r="DA712"/>
  <c r="DB712"/>
  <c r="DC712"/>
  <c r="A713"/>
  <c r="CY713"/>
  <c r="CZ713"/>
  <c r="DA713"/>
  <c r="DB713"/>
  <c r="DC713"/>
  <c r="A714"/>
  <c r="CY714"/>
  <c r="CZ714"/>
  <c r="DA714"/>
  <c r="DB714"/>
  <c r="DC714"/>
  <c r="A715"/>
  <c r="CY715"/>
  <c r="CZ715"/>
  <c r="DA715"/>
  <c r="DB715"/>
  <c r="DC715"/>
  <c r="A716"/>
  <c r="CY716"/>
  <c r="CZ716"/>
  <c r="DA716"/>
  <c r="DB716"/>
  <c r="DC716"/>
  <c r="A717"/>
  <c r="CY717"/>
  <c r="CZ717"/>
  <c r="DA717"/>
  <c r="DB717"/>
  <c r="DC717"/>
  <c r="A718"/>
  <c r="CY718"/>
  <c r="CZ718"/>
  <c r="DA718"/>
  <c r="DB718"/>
  <c r="DC718"/>
  <c r="A719"/>
  <c r="CY719"/>
  <c r="CZ719"/>
  <c r="DA719"/>
  <c r="DB719"/>
  <c r="DC719"/>
  <c r="A720"/>
  <c r="CY720"/>
  <c r="CZ720"/>
  <c r="DA720"/>
  <c r="DB720"/>
  <c r="DC720"/>
  <c r="A721"/>
  <c r="CY721"/>
  <c r="CZ721"/>
  <c r="DA721"/>
  <c r="DB721"/>
  <c r="DC721"/>
  <c r="A722"/>
  <c r="CY722"/>
  <c r="CZ722"/>
  <c r="DA722"/>
  <c r="DB722"/>
  <c r="DC722"/>
  <c r="A723"/>
  <c r="CY723"/>
  <c r="CZ723"/>
  <c r="DA723"/>
  <c r="DB723"/>
  <c r="DC723"/>
  <c r="A724"/>
  <c r="CY724"/>
  <c r="CZ724"/>
  <c r="DA724"/>
  <c r="DB724"/>
  <c r="DC724"/>
  <c r="A725"/>
  <c r="CY725"/>
  <c r="CZ725"/>
  <c r="DA725"/>
  <c r="DB725"/>
  <c r="DC725"/>
  <c r="A726"/>
  <c r="CY726"/>
  <c r="CZ726"/>
  <c r="DA726"/>
  <c r="DB726"/>
  <c r="DC726"/>
  <c r="A727"/>
  <c r="CY727"/>
  <c r="CZ727"/>
  <c r="DA727"/>
  <c r="DB727"/>
  <c r="DC727"/>
  <c r="A728"/>
  <c r="CY728"/>
  <c r="CZ728"/>
  <c r="DA728"/>
  <c r="DB728"/>
  <c r="DC728"/>
  <c r="A729"/>
  <c r="CY729"/>
  <c r="CZ729"/>
  <c r="DA729"/>
  <c r="DB729"/>
  <c r="DC729"/>
  <c r="A730"/>
  <c r="CY730"/>
  <c r="CZ730"/>
  <c r="DA730"/>
  <c r="DB730"/>
  <c r="DC730"/>
  <c r="A731"/>
  <c r="CY731"/>
  <c r="CZ731"/>
  <c r="DA731"/>
  <c r="DB731"/>
  <c r="DC731"/>
  <c r="A732"/>
  <c r="CY732"/>
  <c r="CZ732"/>
  <c r="DA732"/>
  <c r="DB732"/>
  <c r="DC732"/>
  <c r="A733"/>
  <c r="CY733"/>
  <c r="CZ733"/>
  <c r="DA733"/>
  <c r="DB733"/>
  <c r="DC733"/>
  <c r="A734"/>
  <c r="CY734"/>
  <c r="CZ734"/>
  <c r="DA734"/>
  <c r="DB734"/>
  <c r="DC734"/>
  <c r="A735"/>
  <c r="CY735"/>
  <c r="CZ735"/>
  <c r="DA735"/>
  <c r="DB735"/>
  <c r="DC735"/>
  <c r="A736"/>
  <c r="CY736"/>
  <c r="CZ736"/>
  <c r="DA736"/>
  <c r="DB736"/>
  <c r="DC736"/>
  <c r="A737"/>
  <c r="CY737"/>
  <c r="CZ737"/>
  <c r="DA737"/>
  <c r="DB737"/>
  <c r="DC737"/>
  <c r="A738"/>
  <c r="CY738"/>
  <c r="CZ738"/>
  <c r="DA738"/>
  <c r="DB738"/>
  <c r="DC738"/>
  <c r="A739"/>
  <c r="CY739"/>
  <c r="CZ739"/>
  <c r="DA739"/>
  <c r="DB739"/>
  <c r="DC739"/>
  <c r="A740"/>
  <c r="CY740"/>
  <c r="CZ740"/>
  <c r="DA740"/>
  <c r="DB740"/>
  <c r="DC740"/>
  <c r="A741"/>
  <c r="CY741"/>
  <c r="CZ741"/>
  <c r="DA741"/>
  <c r="DB741"/>
  <c r="DC741"/>
  <c r="A742"/>
  <c r="CY742"/>
  <c r="CZ742"/>
  <c r="DA742"/>
  <c r="DB742"/>
  <c r="DC742"/>
  <c r="A743"/>
  <c r="CY743"/>
  <c r="CZ743"/>
  <c r="DA743"/>
  <c r="DB743"/>
  <c r="DC743"/>
  <c r="A744"/>
  <c r="CY744"/>
  <c r="CZ744"/>
  <c r="DA744"/>
  <c r="DB744"/>
  <c r="DC744"/>
  <c r="A745"/>
  <c r="CY745"/>
  <c r="CZ745"/>
  <c r="DA745"/>
  <c r="DB745"/>
  <c r="DC745"/>
  <c r="A746"/>
  <c r="CY746"/>
  <c r="CZ746"/>
  <c r="DA746"/>
  <c r="DB746"/>
  <c r="DC746"/>
  <c r="A747"/>
  <c r="CY747"/>
  <c r="CZ747"/>
  <c r="DA747"/>
  <c r="DB747"/>
  <c r="DC747"/>
  <c r="A748"/>
  <c r="CY748"/>
  <c r="CZ748"/>
  <c r="DA748"/>
  <c r="DB748"/>
  <c r="DC748"/>
  <c r="A749"/>
  <c r="CY749"/>
  <c r="CZ749"/>
  <c r="DA749"/>
  <c r="DB749"/>
  <c r="DC749"/>
  <c r="A750"/>
  <c r="CY750"/>
  <c r="CZ750"/>
  <c r="DA750"/>
  <c r="DB750"/>
  <c r="DC750"/>
  <c r="A751"/>
  <c r="CY751"/>
  <c r="CZ751"/>
  <c r="DA751"/>
  <c r="DB751"/>
  <c r="DC751"/>
  <c r="A752"/>
  <c r="CY752"/>
  <c r="CZ752"/>
  <c r="DA752"/>
  <c r="DB752"/>
  <c r="DC752"/>
  <c r="A753"/>
  <c r="CY753"/>
  <c r="CZ753"/>
  <c r="DA753"/>
  <c r="DB753"/>
  <c r="DC753"/>
  <c r="A754"/>
  <c r="CY754"/>
  <c r="CZ754"/>
  <c r="DA754"/>
  <c r="DB754"/>
  <c r="DC754"/>
  <c r="A755"/>
  <c r="CY755"/>
  <c r="CZ755"/>
  <c r="DA755"/>
  <c r="DB755"/>
  <c r="DC755"/>
  <c r="A756"/>
  <c r="CY756"/>
  <c r="CZ756"/>
  <c r="DA756"/>
  <c r="DB756"/>
  <c r="DC756"/>
  <c r="A757"/>
  <c r="CY757"/>
  <c r="CZ757"/>
  <c r="DA757"/>
  <c r="DB757"/>
  <c r="DC757"/>
  <c r="A758"/>
  <c r="CY758"/>
  <c r="CZ758"/>
  <c r="DA758"/>
  <c r="DB758"/>
  <c r="DC758"/>
  <c r="A759"/>
  <c r="CY759"/>
  <c r="CZ759"/>
  <c r="DA759"/>
  <c r="DB759"/>
  <c r="DC759"/>
  <c r="A760"/>
  <c r="CY760"/>
  <c r="CZ760"/>
  <c r="DA760"/>
  <c r="DB760"/>
  <c r="DC760"/>
  <c r="A761"/>
  <c r="CY761"/>
  <c r="CZ761"/>
  <c r="DA761"/>
  <c r="DB761"/>
  <c r="DC761"/>
  <c r="A762"/>
  <c r="CY762"/>
  <c r="CZ762"/>
  <c r="DA762"/>
  <c r="DB762"/>
  <c r="DC762"/>
  <c r="A763"/>
  <c r="CY763"/>
  <c r="CZ763"/>
  <c r="DA763"/>
  <c r="DB763"/>
  <c r="DC763"/>
  <c r="A764"/>
  <c r="CY764"/>
  <c r="CZ764"/>
  <c r="DA764"/>
  <c r="DB764"/>
  <c r="DC764"/>
  <c r="A765"/>
  <c r="CY765"/>
  <c r="CZ765"/>
  <c r="DA765"/>
  <c r="DB765"/>
  <c r="DC765"/>
  <c r="A766"/>
  <c r="CY766"/>
  <c r="CZ766"/>
  <c r="DA766"/>
  <c r="DB766"/>
  <c r="DC766"/>
  <c r="D12" i="1"/>
  <c r="E18"/>
  <c r="Z18"/>
  <c r="AA18"/>
  <c r="AB18"/>
  <c r="AC18"/>
  <c r="AD18"/>
  <c r="AE18"/>
  <c r="AF18"/>
  <c r="AG18"/>
  <c r="AH18"/>
  <c r="AI18"/>
  <c r="AJ18"/>
  <c r="AK18"/>
  <c r="AL18"/>
  <c r="AM18"/>
  <c r="AN18"/>
  <c r="BE18"/>
  <c r="BF18"/>
  <c r="BG18"/>
  <c r="BH18"/>
  <c r="BI18"/>
  <c r="BJ18"/>
  <c r="BK18"/>
  <c r="BL18"/>
  <c r="BM18"/>
  <c r="BN18"/>
  <c r="BO18"/>
  <c r="BP18"/>
  <c r="BQ18"/>
  <c r="BR18"/>
  <c r="BS18"/>
  <c r="BT18"/>
  <c r="BU18"/>
  <c r="BV18"/>
  <c r="BW18"/>
  <c r="BX18"/>
  <c r="BY18"/>
  <c r="BZ18"/>
  <c r="CA18"/>
  <c r="CB18"/>
  <c r="CC18"/>
  <c r="CD18"/>
  <c r="CE18"/>
  <c r="CF18"/>
  <c r="CG18"/>
  <c r="CH18"/>
  <c r="CI18"/>
  <c r="CJ18"/>
  <c r="CK18"/>
  <c r="CL18"/>
  <c r="CM18"/>
  <c r="CN18"/>
  <c r="CO18"/>
  <c r="CP18"/>
  <c r="CQ18"/>
  <c r="CR18"/>
  <c r="CS18"/>
  <c r="CT18"/>
  <c r="CU18"/>
  <c r="CV18"/>
  <c r="CW18"/>
  <c r="CX18"/>
  <c r="CY18"/>
  <c r="CZ18"/>
  <c r="DA18"/>
  <c r="DB18"/>
  <c r="DC18"/>
  <c r="DD18"/>
  <c r="DE18"/>
  <c r="DF18"/>
  <c r="DG18"/>
  <c r="DH18"/>
  <c r="DI18"/>
  <c r="DJ18"/>
  <c r="DK18"/>
  <c r="DL18"/>
  <c r="DM18"/>
  <c r="DN18"/>
  <c r="DO18"/>
  <c r="DP18"/>
  <c r="DQ18"/>
  <c r="DR18"/>
  <c r="DS18"/>
  <c r="DT18"/>
  <c r="DU18"/>
  <c r="DV18"/>
  <c r="DW18"/>
  <c r="DX18"/>
  <c r="DY18"/>
  <c r="DZ18"/>
  <c r="EA18"/>
  <c r="EB18"/>
  <c r="EC18"/>
  <c r="ED18"/>
  <c r="EE18"/>
  <c r="EF18"/>
  <c r="EG18"/>
  <c r="EH18"/>
  <c r="EI18"/>
  <c r="EJ18"/>
  <c r="EK18"/>
  <c r="EL18"/>
  <c r="EM18"/>
  <c r="EN18"/>
  <c r="EO18"/>
  <c r="EP18"/>
  <c r="EQ18"/>
  <c r="ER18"/>
  <c r="ES18"/>
  <c r="ET18"/>
  <c r="EU18"/>
  <c r="EV18"/>
  <c r="EW18"/>
  <c r="EX18"/>
  <c r="EY18"/>
  <c r="EZ18"/>
  <c r="FA18"/>
  <c r="FB18"/>
  <c r="FC18"/>
  <c r="FD18"/>
  <c r="FE18"/>
  <c r="FF18"/>
  <c r="FG18"/>
  <c r="FH18"/>
  <c r="FI18"/>
  <c r="FJ18"/>
  <c r="FK18"/>
  <c r="FL18"/>
  <c r="FM18"/>
  <c r="FN18"/>
  <c r="FO18"/>
  <c r="FP18"/>
  <c r="FQ18"/>
  <c r="FR18"/>
  <c r="FS18"/>
  <c r="FT18"/>
  <c r="FU18"/>
  <c r="FV18"/>
  <c r="FW18"/>
  <c r="FX18"/>
  <c r="FY18"/>
  <c r="FZ18"/>
  <c r="GA18"/>
  <c r="GB18"/>
  <c r="GC18"/>
  <c r="GD18"/>
  <c r="GE18"/>
  <c r="GF18"/>
  <c r="GG18"/>
  <c r="GH18"/>
  <c r="GI18"/>
  <c r="GJ18"/>
  <c r="GK18"/>
  <c r="GL18"/>
  <c r="GM18"/>
  <c r="GN18"/>
  <c r="GO18"/>
  <c r="GP18"/>
  <c r="GQ18"/>
  <c r="GR18"/>
  <c r="GS18"/>
  <c r="GT18"/>
  <c r="GU18"/>
  <c r="GV18"/>
  <c r="GW18"/>
  <c r="GX18"/>
  <c r="D20"/>
  <c r="E22"/>
  <c r="Z22"/>
  <c r="AA22"/>
  <c r="AB22"/>
  <c r="AC22"/>
  <c r="AD22"/>
  <c r="AE22"/>
  <c r="AF22"/>
  <c r="AG22"/>
  <c r="AH22"/>
  <c r="AI22"/>
  <c r="AJ22"/>
  <c r="AK22"/>
  <c r="AL22"/>
  <c r="AM22"/>
  <c r="AN22"/>
  <c r="BE22"/>
  <c r="BF22"/>
  <c r="BG22"/>
  <c r="BH22"/>
  <c r="BI22"/>
  <c r="BJ22"/>
  <c r="BK22"/>
  <c r="BL22"/>
  <c r="BM22"/>
  <c r="BN22"/>
  <c r="BO22"/>
  <c r="BP22"/>
  <c r="BQ22"/>
  <c r="BR22"/>
  <c r="BS22"/>
  <c r="BT22"/>
  <c r="BU22"/>
  <c r="BV22"/>
  <c r="BW22"/>
  <c r="BX22"/>
  <c r="BY22"/>
  <c r="BZ22"/>
  <c r="CA22"/>
  <c r="CB22"/>
  <c r="CC22"/>
  <c r="CD22"/>
  <c r="CE22"/>
  <c r="CF22"/>
  <c r="CG22"/>
  <c r="CH22"/>
  <c r="CI22"/>
  <c r="CJ22"/>
  <c r="CK22"/>
  <c r="CL22"/>
  <c r="CM22"/>
  <c r="CN22"/>
  <c r="CO22"/>
  <c r="CP22"/>
  <c r="CQ22"/>
  <c r="CR22"/>
  <c r="CS22"/>
  <c r="CT22"/>
  <c r="CU22"/>
  <c r="CV22"/>
  <c r="CW22"/>
  <c r="CX22"/>
  <c r="CY22"/>
  <c r="CZ22"/>
  <c r="DA22"/>
  <c r="DB22"/>
  <c r="DC22"/>
  <c r="DD22"/>
  <c r="DE22"/>
  <c r="DF22"/>
  <c r="DG22"/>
  <c r="DH22"/>
  <c r="DI22"/>
  <c r="DJ22"/>
  <c r="DK22"/>
  <c r="DL22"/>
  <c r="DM22"/>
  <c r="DN22"/>
  <c r="DO22"/>
  <c r="DP22"/>
  <c r="DQ22"/>
  <c r="DR22"/>
  <c r="DS22"/>
  <c r="DT22"/>
  <c r="DU22"/>
  <c r="DV22"/>
  <c r="DW22"/>
  <c r="DX22"/>
  <c r="DY22"/>
  <c r="DZ22"/>
  <c r="EA22"/>
  <c r="EB22"/>
  <c r="EC22"/>
  <c r="ED22"/>
  <c r="EE22"/>
  <c r="EF22"/>
  <c r="EG22"/>
  <c r="EH22"/>
  <c r="EI22"/>
  <c r="EJ22"/>
  <c r="EK22"/>
  <c r="EL22"/>
  <c r="EM22"/>
  <c r="EN22"/>
  <c r="EO22"/>
  <c r="EP22"/>
  <c r="EQ22"/>
  <c r="ER22"/>
  <c r="ES22"/>
  <c r="ET22"/>
  <c r="EU22"/>
  <c r="EV22"/>
  <c r="EW22"/>
  <c r="EX22"/>
  <c r="EY22"/>
  <c r="EZ22"/>
  <c r="FA22"/>
  <c r="FB22"/>
  <c r="FC22"/>
  <c r="FD22"/>
  <c r="FE22"/>
  <c r="FF22"/>
  <c r="FG22"/>
  <c r="FH22"/>
  <c r="FI22"/>
  <c r="FJ22"/>
  <c r="FK22"/>
  <c r="FL22"/>
  <c r="FM22"/>
  <c r="FN22"/>
  <c r="FO22"/>
  <c r="FP22"/>
  <c r="FQ22"/>
  <c r="FR22"/>
  <c r="FS22"/>
  <c r="FT22"/>
  <c r="FU22"/>
  <c r="FV22"/>
  <c r="FW22"/>
  <c r="FX22"/>
  <c r="FY22"/>
  <c r="FZ22"/>
  <c r="GA22"/>
  <c r="GB22"/>
  <c r="GC22"/>
  <c r="GD22"/>
  <c r="GE22"/>
  <c r="GF22"/>
  <c r="GG22"/>
  <c r="GH22"/>
  <c r="GI22"/>
  <c r="GJ22"/>
  <c r="GK22"/>
  <c r="GL22"/>
  <c r="GM22"/>
  <c r="GN22"/>
  <c r="GO22"/>
  <c r="GP22"/>
  <c r="GQ22"/>
  <c r="GR22"/>
  <c r="GS22"/>
  <c r="GT22"/>
  <c r="GU22"/>
  <c r="GV22"/>
  <c r="GW22"/>
  <c r="GX22"/>
  <c r="D24"/>
  <c r="B26"/>
  <c r="E26"/>
  <c r="Z26"/>
  <c r="AA26"/>
  <c r="AM26"/>
  <c r="AN26"/>
  <c r="BE26"/>
  <c r="BF26"/>
  <c r="BG26"/>
  <c r="BH26"/>
  <c r="BI26"/>
  <c r="BJ26"/>
  <c r="BK26"/>
  <c r="BL26"/>
  <c r="BM26"/>
  <c r="BN26"/>
  <c r="BO26"/>
  <c r="BP26"/>
  <c r="BQ26"/>
  <c r="BR26"/>
  <c r="BS26"/>
  <c r="BT26"/>
  <c r="BU26"/>
  <c r="BV26"/>
  <c r="BW26"/>
  <c r="CN26"/>
  <c r="CO26"/>
  <c r="CP26"/>
  <c r="CQ26"/>
  <c r="CR26"/>
  <c r="CS26"/>
  <c r="CT26"/>
  <c r="CU26"/>
  <c r="CV26"/>
  <c r="CW26"/>
  <c r="CX26"/>
  <c r="CY26"/>
  <c r="CZ26"/>
  <c r="DA26"/>
  <c r="DB26"/>
  <c r="DC26"/>
  <c r="DD26"/>
  <c r="DE26"/>
  <c r="DF26"/>
  <c r="DG26"/>
  <c r="DH26"/>
  <c r="DI26"/>
  <c r="DJ26"/>
  <c r="DK26"/>
  <c r="DL26"/>
  <c r="DM26"/>
  <c r="DN26"/>
  <c r="DO26"/>
  <c r="DP26"/>
  <c r="DQ26"/>
  <c r="DR26"/>
  <c r="DS26"/>
  <c r="DT26"/>
  <c r="DU26"/>
  <c r="DV26"/>
  <c r="DW26"/>
  <c r="DX26"/>
  <c r="DY26"/>
  <c r="DZ26"/>
  <c r="EA26"/>
  <c r="EB26"/>
  <c r="EC26"/>
  <c r="ED26"/>
  <c r="EE26"/>
  <c r="EF26"/>
  <c r="EG26"/>
  <c r="EH26"/>
  <c r="EI26"/>
  <c r="EJ26"/>
  <c r="EK26"/>
  <c r="EL26"/>
  <c r="EM26"/>
  <c r="EN26"/>
  <c r="EO26"/>
  <c r="EP26"/>
  <c r="EQ26"/>
  <c r="ER26"/>
  <c r="ES26"/>
  <c r="ET26"/>
  <c r="EU26"/>
  <c r="EV26"/>
  <c r="EW26"/>
  <c r="EX26"/>
  <c r="EY26"/>
  <c r="EZ26"/>
  <c r="FA26"/>
  <c r="FB26"/>
  <c r="FC26"/>
  <c r="FD26"/>
  <c r="FE26"/>
  <c r="FF26"/>
  <c r="FG26"/>
  <c r="FH26"/>
  <c r="FI26"/>
  <c r="FJ26"/>
  <c r="FK26"/>
  <c r="FL26"/>
  <c r="FM26"/>
  <c r="FN26"/>
  <c r="FO26"/>
  <c r="FP26"/>
  <c r="FQ26"/>
  <c r="FR26"/>
  <c r="FS26"/>
  <c r="FT26"/>
  <c r="FU26"/>
  <c r="FV26"/>
  <c r="FW26"/>
  <c r="FX26"/>
  <c r="FY26"/>
  <c r="FZ26"/>
  <c r="GA26"/>
  <c r="GB26"/>
  <c r="GC26"/>
  <c r="GD26"/>
  <c r="GE26"/>
  <c r="GF26"/>
  <c r="GG26"/>
  <c r="GH26"/>
  <c r="GI26"/>
  <c r="GJ26"/>
  <c r="GK26"/>
  <c r="GL26"/>
  <c r="GM26"/>
  <c r="GN26"/>
  <c r="GO26"/>
  <c r="GP26"/>
  <c r="GQ26"/>
  <c r="GR26"/>
  <c r="GS26"/>
  <c r="GT26"/>
  <c r="GU26"/>
  <c r="GV26"/>
  <c r="GW26"/>
  <c r="GX26"/>
  <c r="C28"/>
  <c r="D28"/>
  <c r="I28"/>
  <c r="K28"/>
  <c r="AC28"/>
  <c r="AD28"/>
  <c r="CR28" s="1"/>
  <c r="Q28" s="1"/>
  <c r="AE28"/>
  <c r="AF28"/>
  <c r="CT28" s="1"/>
  <c r="S28" s="1"/>
  <c r="AG28"/>
  <c r="AH28"/>
  <c r="CV28" s="1"/>
  <c r="U28" s="1"/>
  <c r="AI28"/>
  <c r="AJ28"/>
  <c r="CX28" s="1"/>
  <c r="W28" s="1"/>
  <c r="CQ28"/>
  <c r="P28" s="1"/>
  <c r="CS28"/>
  <c r="R28" s="1"/>
  <c r="CU28"/>
  <c r="T28" s="1"/>
  <c r="CW28"/>
  <c r="V28" s="1"/>
  <c r="FR28"/>
  <c r="GL28"/>
  <c r="GO28"/>
  <c r="GP28"/>
  <c r="GV28"/>
  <c r="HC28"/>
  <c r="GX28" s="1"/>
  <c r="C29"/>
  <c r="D29"/>
  <c r="I29"/>
  <c r="K29"/>
  <c r="AC29"/>
  <c r="AD29"/>
  <c r="CR29" s="1"/>
  <c r="Q29" s="1"/>
  <c r="AE29"/>
  <c r="AF29"/>
  <c r="CT29" s="1"/>
  <c r="S29" s="1"/>
  <c r="AG29"/>
  <c r="AH29"/>
  <c r="CV29" s="1"/>
  <c r="U29" s="1"/>
  <c r="AI29"/>
  <c r="AJ29"/>
  <c r="CX29" s="1"/>
  <c r="W29" s="1"/>
  <c r="CQ29"/>
  <c r="P29" s="1"/>
  <c r="CS29"/>
  <c r="R29" s="1"/>
  <c r="HI29" s="1"/>
  <c r="CU29"/>
  <c r="T29" s="1"/>
  <c r="CW29"/>
  <c r="V29" s="1"/>
  <c r="FR29"/>
  <c r="GL29"/>
  <c r="GO29"/>
  <c r="GP29"/>
  <c r="GV29"/>
  <c r="HC29"/>
  <c r="GX29" s="1"/>
  <c r="B31"/>
  <c r="C31"/>
  <c r="C26" s="1"/>
  <c r="D31"/>
  <c r="D26" s="1"/>
  <c r="F31"/>
  <c r="F26" s="1"/>
  <c r="G31"/>
  <c r="G26" s="1"/>
  <c r="BX31"/>
  <c r="CG31" s="1"/>
  <c r="BY31"/>
  <c r="BY26" s="1"/>
  <c r="BZ31"/>
  <c r="CI31" s="1"/>
  <c r="CC31"/>
  <c r="CC26" s="1"/>
  <c r="CD31"/>
  <c r="CD26" s="1"/>
  <c r="CK31"/>
  <c r="CK26" s="1"/>
  <c r="CL31"/>
  <c r="CL26" s="1"/>
  <c r="CM31"/>
  <c r="CM26" s="1"/>
  <c r="D64"/>
  <c r="E66"/>
  <c r="Z66"/>
  <c r="AA66"/>
  <c r="AM66"/>
  <c r="AN66"/>
  <c r="BE66"/>
  <c r="BF66"/>
  <c r="BG66"/>
  <c r="BH66"/>
  <c r="BI66"/>
  <c r="BJ66"/>
  <c r="BK66"/>
  <c r="BL66"/>
  <c r="BM66"/>
  <c r="BN66"/>
  <c r="BO66"/>
  <c r="BP66"/>
  <c r="BQ66"/>
  <c r="BR66"/>
  <c r="BS66"/>
  <c r="BT66"/>
  <c r="BU66"/>
  <c r="BV66"/>
  <c r="BW66"/>
  <c r="CN66"/>
  <c r="CO66"/>
  <c r="CP66"/>
  <c r="CQ66"/>
  <c r="CR66"/>
  <c r="CS66"/>
  <c r="CT66"/>
  <c r="CU66"/>
  <c r="CV66"/>
  <c r="CW66"/>
  <c r="CX66"/>
  <c r="CY66"/>
  <c r="CZ66"/>
  <c r="DA66"/>
  <c r="DB66"/>
  <c r="DC66"/>
  <c r="DD66"/>
  <c r="DE66"/>
  <c r="DF66"/>
  <c r="DG66"/>
  <c r="DH66"/>
  <c r="DI66"/>
  <c r="DJ66"/>
  <c r="DK66"/>
  <c r="DL66"/>
  <c r="DM66"/>
  <c r="DN66"/>
  <c r="DO66"/>
  <c r="DP66"/>
  <c r="DQ66"/>
  <c r="DR66"/>
  <c r="DS66"/>
  <c r="DT66"/>
  <c r="DU66"/>
  <c r="DV66"/>
  <c r="DW66"/>
  <c r="DX66"/>
  <c r="DY66"/>
  <c r="DZ66"/>
  <c r="EA66"/>
  <c r="EB66"/>
  <c r="EC66"/>
  <c r="ED66"/>
  <c r="EE66"/>
  <c r="EF66"/>
  <c r="EG66"/>
  <c r="EH66"/>
  <c r="EI66"/>
  <c r="EJ66"/>
  <c r="EK66"/>
  <c r="EL66"/>
  <c r="EM66"/>
  <c r="EN66"/>
  <c r="EO66"/>
  <c r="EP66"/>
  <c r="EQ66"/>
  <c r="ER66"/>
  <c r="ES66"/>
  <c r="ET66"/>
  <c r="EU66"/>
  <c r="EV66"/>
  <c r="EW66"/>
  <c r="EX66"/>
  <c r="EY66"/>
  <c r="EZ66"/>
  <c r="FA66"/>
  <c r="FB66"/>
  <c r="FC66"/>
  <c r="FD66"/>
  <c r="FE66"/>
  <c r="FF66"/>
  <c r="FG66"/>
  <c r="FH66"/>
  <c r="FI66"/>
  <c r="FJ66"/>
  <c r="FK66"/>
  <c r="FL66"/>
  <c r="FM66"/>
  <c r="FN66"/>
  <c r="FO66"/>
  <c r="FP66"/>
  <c r="FQ66"/>
  <c r="FR66"/>
  <c r="FS66"/>
  <c r="FT66"/>
  <c r="FU66"/>
  <c r="FV66"/>
  <c r="FW66"/>
  <c r="FX66"/>
  <c r="FY66"/>
  <c r="FZ66"/>
  <c r="GA66"/>
  <c r="GB66"/>
  <c r="GC66"/>
  <c r="GD66"/>
  <c r="GE66"/>
  <c r="GF66"/>
  <c r="GG66"/>
  <c r="GH66"/>
  <c r="GI66"/>
  <c r="GJ66"/>
  <c r="GK66"/>
  <c r="GL66"/>
  <c r="GM66"/>
  <c r="GN66"/>
  <c r="GO66"/>
  <c r="GP66"/>
  <c r="GQ66"/>
  <c r="GR66"/>
  <c r="GS66"/>
  <c r="GT66"/>
  <c r="GU66"/>
  <c r="GV66"/>
  <c r="GW66"/>
  <c r="GX66"/>
  <c r="C69"/>
  <c r="D69"/>
  <c r="I69"/>
  <c r="K69"/>
  <c r="AC69"/>
  <c r="AD69"/>
  <c r="CR69" s="1"/>
  <c r="Q69" s="1"/>
  <c r="AE69"/>
  <c r="AF69"/>
  <c r="CT69" s="1"/>
  <c r="S69" s="1"/>
  <c r="AG69"/>
  <c r="AH69"/>
  <c r="CV69" s="1"/>
  <c r="U69" s="1"/>
  <c r="AI69"/>
  <c r="AJ69"/>
  <c r="CX69" s="1"/>
  <c r="W69" s="1"/>
  <c r="CQ69"/>
  <c r="P69" s="1"/>
  <c r="CP69" s="1"/>
  <c r="O69" s="1"/>
  <c r="CS69"/>
  <c r="R69" s="1"/>
  <c r="HI69" s="1"/>
  <c r="CU69"/>
  <c r="T69" s="1"/>
  <c r="CW69"/>
  <c r="V69" s="1"/>
  <c r="FR69"/>
  <c r="GL69"/>
  <c r="GO69"/>
  <c r="GP69"/>
  <c r="GV69"/>
  <c r="HC69"/>
  <c r="GX69" s="1"/>
  <c r="I70"/>
  <c r="K70"/>
  <c r="AC70"/>
  <c r="AD70"/>
  <c r="CR70" s="1"/>
  <c r="Q70" s="1"/>
  <c r="AE70"/>
  <c r="AF70"/>
  <c r="CT70" s="1"/>
  <c r="S70" s="1"/>
  <c r="AG70"/>
  <c r="AH70"/>
  <c r="CV70" s="1"/>
  <c r="U70" s="1"/>
  <c r="AI70"/>
  <c r="AJ70"/>
  <c r="CX70" s="1"/>
  <c r="W70" s="1"/>
  <c r="CQ70"/>
  <c r="P70" s="1"/>
  <c r="CP70" s="1"/>
  <c r="O70" s="1"/>
  <c r="CS70"/>
  <c r="R70" s="1"/>
  <c r="HI70" s="1"/>
  <c r="CU70"/>
  <c r="T70" s="1"/>
  <c r="CW70"/>
  <c r="V70" s="1"/>
  <c r="FR70"/>
  <c r="GL70"/>
  <c r="GO70"/>
  <c r="GP70"/>
  <c r="GV70"/>
  <c r="HC70"/>
  <c r="GX70" s="1"/>
  <c r="I71"/>
  <c r="K71"/>
  <c r="AC71"/>
  <c r="AD71"/>
  <c r="AB71" s="1"/>
  <c r="AE71"/>
  <c r="AF71"/>
  <c r="AG71"/>
  <c r="AH71"/>
  <c r="AI71"/>
  <c r="AJ71"/>
  <c r="CQ71"/>
  <c r="P71" s="1"/>
  <c r="CP71" s="1"/>
  <c r="O71" s="1"/>
  <c r="CR71"/>
  <c r="Q71" s="1"/>
  <c r="CS71"/>
  <c r="R71" s="1"/>
  <c r="HI71" s="1"/>
  <c r="CT71"/>
  <c r="S71" s="1"/>
  <c r="CU71"/>
  <c r="T71" s="1"/>
  <c r="CV71"/>
  <c r="U71" s="1"/>
  <c r="CW71"/>
  <c r="V71" s="1"/>
  <c r="CX71"/>
  <c r="W71" s="1"/>
  <c r="FR71"/>
  <c r="GL71"/>
  <c r="GO71"/>
  <c r="GP71"/>
  <c r="GV71"/>
  <c r="GX71"/>
  <c r="HC71"/>
  <c r="HG71"/>
  <c r="C72"/>
  <c r="D72"/>
  <c r="I72"/>
  <c r="K72"/>
  <c r="AC72"/>
  <c r="AD72"/>
  <c r="AB72" s="1"/>
  <c r="AE72"/>
  <c r="AF72"/>
  <c r="CT72" s="1"/>
  <c r="S72" s="1"/>
  <c r="AG72"/>
  <c r="AH72"/>
  <c r="CV72" s="1"/>
  <c r="U72" s="1"/>
  <c r="AI72"/>
  <c r="AJ72"/>
  <c r="CX72" s="1"/>
  <c r="W72" s="1"/>
  <c r="CQ72"/>
  <c r="P72" s="1"/>
  <c r="CS72"/>
  <c r="R72" s="1"/>
  <c r="HI72" s="1"/>
  <c r="CU72"/>
  <c r="T72" s="1"/>
  <c r="CW72"/>
  <c r="V72" s="1"/>
  <c r="FR72"/>
  <c r="GL72"/>
  <c r="GO72"/>
  <c r="GP72"/>
  <c r="GV72"/>
  <c r="HC72"/>
  <c r="GX72" s="1"/>
  <c r="I73"/>
  <c r="K73"/>
  <c r="AC73"/>
  <c r="AD73"/>
  <c r="AB73" s="1"/>
  <c r="AE73"/>
  <c r="AF73"/>
  <c r="CT73" s="1"/>
  <c r="S73" s="1"/>
  <c r="AG73"/>
  <c r="AH73"/>
  <c r="CV73" s="1"/>
  <c r="U73" s="1"/>
  <c r="AI73"/>
  <c r="AJ73"/>
  <c r="CX73" s="1"/>
  <c r="W73" s="1"/>
  <c r="CQ73"/>
  <c r="P73" s="1"/>
  <c r="CS73"/>
  <c r="R73" s="1"/>
  <c r="HI73" s="1"/>
  <c r="CU73"/>
  <c r="T73" s="1"/>
  <c r="CW73"/>
  <c r="V73" s="1"/>
  <c r="FR73"/>
  <c r="GL73"/>
  <c r="GO73"/>
  <c r="GP73"/>
  <c r="GV73"/>
  <c r="HC73"/>
  <c r="GX73" s="1"/>
  <c r="I74"/>
  <c r="K74"/>
  <c r="AC74"/>
  <c r="AD74"/>
  <c r="AB74" s="1"/>
  <c r="AE74"/>
  <c r="AF74"/>
  <c r="CT74" s="1"/>
  <c r="S74" s="1"/>
  <c r="AG74"/>
  <c r="AH74"/>
  <c r="CV74" s="1"/>
  <c r="U74" s="1"/>
  <c r="AI74"/>
  <c r="AJ74"/>
  <c r="CX74" s="1"/>
  <c r="W74" s="1"/>
  <c r="CQ74"/>
  <c r="P74" s="1"/>
  <c r="CS74"/>
  <c r="R74" s="1"/>
  <c r="HI74" s="1"/>
  <c r="CU74"/>
  <c r="T74" s="1"/>
  <c r="CW74"/>
  <c r="V74" s="1"/>
  <c r="FR74"/>
  <c r="GL74"/>
  <c r="GO74"/>
  <c r="GP74"/>
  <c r="GV74"/>
  <c r="HC74"/>
  <c r="GX74" s="1"/>
  <c r="AC75"/>
  <c r="AD75"/>
  <c r="AB75" s="1"/>
  <c r="AE75"/>
  <c r="AF75"/>
  <c r="CT75" s="1"/>
  <c r="S75" s="1"/>
  <c r="AG75"/>
  <c r="AH75"/>
  <c r="CV75" s="1"/>
  <c r="U75" s="1"/>
  <c r="AI75"/>
  <c r="AJ75"/>
  <c r="CX75" s="1"/>
  <c r="W75" s="1"/>
  <c r="CQ75"/>
  <c r="P75" s="1"/>
  <c r="CS75"/>
  <c r="R75" s="1"/>
  <c r="HI75" s="1"/>
  <c r="CU75"/>
  <c r="T75" s="1"/>
  <c r="CW75"/>
  <c r="V75" s="1"/>
  <c r="FR75"/>
  <c r="GL75"/>
  <c r="GO75"/>
  <c r="GP75"/>
  <c r="GV75"/>
  <c r="HC75"/>
  <c r="GX75" s="1"/>
  <c r="HG75"/>
  <c r="AC76"/>
  <c r="AE76"/>
  <c r="AD76" s="1"/>
  <c r="CR76" s="1"/>
  <c r="Q76" s="1"/>
  <c r="AF76"/>
  <c r="AG76"/>
  <c r="AH76"/>
  <c r="AI76"/>
  <c r="AJ76"/>
  <c r="CQ76"/>
  <c r="P76" s="1"/>
  <c r="CS76"/>
  <c r="R76" s="1"/>
  <c r="HI76" s="1"/>
  <c r="CT76"/>
  <c r="S76" s="1"/>
  <c r="CU76"/>
  <c r="T76" s="1"/>
  <c r="CV76"/>
  <c r="U76" s="1"/>
  <c r="CW76"/>
  <c r="V76" s="1"/>
  <c r="CX76"/>
  <c r="W76" s="1"/>
  <c r="FR76"/>
  <c r="GL76"/>
  <c r="GO76"/>
  <c r="GP76"/>
  <c r="GV76"/>
  <c r="HC76"/>
  <c r="GX76" s="1"/>
  <c r="HG76"/>
  <c r="C77"/>
  <c r="D77"/>
  <c r="I77"/>
  <c r="K77"/>
  <c r="AC77"/>
  <c r="AE77"/>
  <c r="AD77" s="1"/>
  <c r="AF77"/>
  <c r="AG77"/>
  <c r="AH77"/>
  <c r="AI77"/>
  <c r="AJ77"/>
  <c r="CQ77"/>
  <c r="P77" s="1"/>
  <c r="CS77"/>
  <c r="R77" s="1"/>
  <c r="HI77" s="1"/>
  <c r="CT77"/>
  <c r="S77" s="1"/>
  <c r="CU77"/>
  <c r="T77" s="1"/>
  <c r="CV77"/>
  <c r="U77" s="1"/>
  <c r="CW77"/>
  <c r="V77" s="1"/>
  <c r="CX77"/>
  <c r="W77" s="1"/>
  <c r="FR77"/>
  <c r="GL77"/>
  <c r="GO77"/>
  <c r="GP77"/>
  <c r="GV77"/>
  <c r="HC77"/>
  <c r="GX77" s="1"/>
  <c r="I78"/>
  <c r="K78"/>
  <c r="AC78"/>
  <c r="AD78"/>
  <c r="AB78" s="1"/>
  <c r="AE78"/>
  <c r="AF78"/>
  <c r="AG78"/>
  <c r="AH78"/>
  <c r="AI78"/>
  <c r="AJ78"/>
  <c r="CQ78"/>
  <c r="P78" s="1"/>
  <c r="CP78" s="1"/>
  <c r="O78" s="1"/>
  <c r="CR78"/>
  <c r="Q78" s="1"/>
  <c r="CS78"/>
  <c r="R78" s="1"/>
  <c r="HI78" s="1"/>
  <c r="CT78"/>
  <c r="S78" s="1"/>
  <c r="CU78"/>
  <c r="T78" s="1"/>
  <c r="CV78"/>
  <c r="U78" s="1"/>
  <c r="CW78"/>
  <c r="V78" s="1"/>
  <c r="CX78"/>
  <c r="W78" s="1"/>
  <c r="FR78"/>
  <c r="GL78"/>
  <c r="GO78"/>
  <c r="GP78"/>
  <c r="GV78"/>
  <c r="HC78"/>
  <c r="GX78" s="1"/>
  <c r="I79"/>
  <c r="K79"/>
  <c r="AC79"/>
  <c r="AB79" s="1"/>
  <c r="AE79"/>
  <c r="AD79" s="1"/>
  <c r="CR79" s="1"/>
  <c r="Q79" s="1"/>
  <c r="AF79"/>
  <c r="AG79"/>
  <c r="AH79"/>
  <c r="AI79"/>
  <c r="AJ79"/>
  <c r="CQ79"/>
  <c r="P79" s="1"/>
  <c r="CS79"/>
  <c r="R79" s="1"/>
  <c r="HI79" s="1"/>
  <c r="CT79"/>
  <c r="S79" s="1"/>
  <c r="CU79"/>
  <c r="T79" s="1"/>
  <c r="CV79"/>
  <c r="U79" s="1"/>
  <c r="CW79"/>
  <c r="V79" s="1"/>
  <c r="CX79"/>
  <c r="W79" s="1"/>
  <c r="FR79"/>
  <c r="GL79"/>
  <c r="GO79"/>
  <c r="GP79"/>
  <c r="GV79"/>
  <c r="GX79"/>
  <c r="HC79"/>
  <c r="I80"/>
  <c r="K80"/>
  <c r="AC80"/>
  <c r="AE80"/>
  <c r="AD80" s="1"/>
  <c r="CR80" s="1"/>
  <c r="Q80" s="1"/>
  <c r="AF80"/>
  <c r="AG80"/>
  <c r="CU80" s="1"/>
  <c r="T80" s="1"/>
  <c r="AH80"/>
  <c r="AI80"/>
  <c r="CW80" s="1"/>
  <c r="V80" s="1"/>
  <c r="AJ80"/>
  <c r="CT80"/>
  <c r="S80" s="1"/>
  <c r="CV80"/>
  <c r="U80" s="1"/>
  <c r="CX80"/>
  <c r="W80" s="1"/>
  <c r="FR80"/>
  <c r="GL80"/>
  <c r="GO80"/>
  <c r="GP80"/>
  <c r="GV80"/>
  <c r="GX80"/>
  <c r="HC80"/>
  <c r="AC81"/>
  <c r="AB81" s="1"/>
  <c r="AE81"/>
  <c r="AD81" s="1"/>
  <c r="CR81" s="1"/>
  <c r="Q81" s="1"/>
  <c r="AF81"/>
  <c r="AG81"/>
  <c r="CU81" s="1"/>
  <c r="T81" s="1"/>
  <c r="AH81"/>
  <c r="AI81"/>
  <c r="CW81" s="1"/>
  <c r="V81" s="1"/>
  <c r="AJ81"/>
  <c r="CT81"/>
  <c r="S81" s="1"/>
  <c r="CV81"/>
  <c r="U81" s="1"/>
  <c r="CX81"/>
  <c r="W81" s="1"/>
  <c r="FR81"/>
  <c r="GL81"/>
  <c r="GO81"/>
  <c r="GP81"/>
  <c r="GV81"/>
  <c r="GX81"/>
  <c r="HC81"/>
  <c r="C82"/>
  <c r="D82"/>
  <c r="I82"/>
  <c r="K82"/>
  <c r="AC82"/>
  <c r="AE82"/>
  <c r="AD82" s="1"/>
  <c r="CR82" s="1"/>
  <c r="Q82" s="1"/>
  <c r="AF82"/>
  <c r="AG82"/>
  <c r="CU82" s="1"/>
  <c r="T82" s="1"/>
  <c r="AH82"/>
  <c r="AI82"/>
  <c r="CW82" s="1"/>
  <c r="V82" s="1"/>
  <c r="AJ82"/>
  <c r="CT82"/>
  <c r="S82" s="1"/>
  <c r="CV82"/>
  <c r="U82" s="1"/>
  <c r="CX82"/>
  <c r="W82" s="1"/>
  <c r="FR82"/>
  <c r="GL82"/>
  <c r="GO82"/>
  <c r="GP82"/>
  <c r="GV82"/>
  <c r="GX82"/>
  <c r="HC82"/>
  <c r="I83"/>
  <c r="K83"/>
  <c r="AC83"/>
  <c r="AB83" s="1"/>
  <c r="AE83"/>
  <c r="AD83" s="1"/>
  <c r="CR83" s="1"/>
  <c r="Q83" s="1"/>
  <c r="AF83"/>
  <c r="AG83"/>
  <c r="CU83" s="1"/>
  <c r="T83" s="1"/>
  <c r="AH83"/>
  <c r="AI83"/>
  <c r="CW83" s="1"/>
  <c r="V83" s="1"/>
  <c r="AJ83"/>
  <c r="CT83"/>
  <c r="S83" s="1"/>
  <c r="CV83"/>
  <c r="U83" s="1"/>
  <c r="CX83"/>
  <c r="W83" s="1"/>
  <c r="FR83"/>
  <c r="GL83"/>
  <c r="GO83"/>
  <c r="GP83"/>
  <c r="GV83"/>
  <c r="GX83"/>
  <c r="HC83"/>
  <c r="AC84"/>
  <c r="AE84"/>
  <c r="AD84" s="1"/>
  <c r="CR84" s="1"/>
  <c r="Q84" s="1"/>
  <c r="AF84"/>
  <c r="AG84"/>
  <c r="CU84" s="1"/>
  <c r="T84" s="1"/>
  <c r="AH84"/>
  <c r="AI84"/>
  <c r="CW84" s="1"/>
  <c r="V84" s="1"/>
  <c r="AJ84"/>
  <c r="CT84"/>
  <c r="S84" s="1"/>
  <c r="CV84"/>
  <c r="U84" s="1"/>
  <c r="CX84"/>
  <c r="W84" s="1"/>
  <c r="FR84"/>
  <c r="GL84"/>
  <c r="GO84"/>
  <c r="GP84"/>
  <c r="GV84"/>
  <c r="GX84"/>
  <c r="HC84"/>
  <c r="HG84"/>
  <c r="C85"/>
  <c r="D85"/>
  <c r="I85"/>
  <c r="K85"/>
  <c r="AC85"/>
  <c r="AD85"/>
  <c r="CR85" s="1"/>
  <c r="Q85" s="1"/>
  <c r="AE85"/>
  <c r="AF85"/>
  <c r="CT85" s="1"/>
  <c r="S85" s="1"/>
  <c r="AG85"/>
  <c r="AH85"/>
  <c r="CV85" s="1"/>
  <c r="U85" s="1"/>
  <c r="AI85"/>
  <c r="AJ85"/>
  <c r="CX85" s="1"/>
  <c r="W85" s="1"/>
  <c r="CQ85"/>
  <c r="P85" s="1"/>
  <c r="CS85"/>
  <c r="R85" s="1"/>
  <c r="HI85" s="1"/>
  <c r="CU85"/>
  <c r="T85" s="1"/>
  <c r="CW85"/>
  <c r="V85" s="1"/>
  <c r="FR85"/>
  <c r="GL85"/>
  <c r="GO85"/>
  <c r="GP85"/>
  <c r="GV85"/>
  <c r="HC85"/>
  <c r="GX85" s="1"/>
  <c r="I86"/>
  <c r="K86"/>
  <c r="AC86"/>
  <c r="AD86"/>
  <c r="CR86" s="1"/>
  <c r="Q86" s="1"/>
  <c r="AE86"/>
  <c r="AF86"/>
  <c r="CT86" s="1"/>
  <c r="S86" s="1"/>
  <c r="AG86"/>
  <c r="AH86"/>
  <c r="CV86" s="1"/>
  <c r="U86" s="1"/>
  <c r="AI86"/>
  <c r="AJ86"/>
  <c r="CX86" s="1"/>
  <c r="W86" s="1"/>
  <c r="CQ86"/>
  <c r="P86" s="1"/>
  <c r="CS86"/>
  <c r="R86" s="1"/>
  <c r="HI86" s="1"/>
  <c r="CU86"/>
  <c r="T86" s="1"/>
  <c r="CW86"/>
  <c r="V86" s="1"/>
  <c r="FR86"/>
  <c r="GL86"/>
  <c r="GO86"/>
  <c r="GP86"/>
  <c r="GV86"/>
  <c r="HC86"/>
  <c r="GX86" s="1"/>
  <c r="I87"/>
  <c r="K87"/>
  <c r="AC87"/>
  <c r="AD87"/>
  <c r="CR87" s="1"/>
  <c r="Q87" s="1"/>
  <c r="AE87"/>
  <c r="AF87"/>
  <c r="CT87" s="1"/>
  <c r="S87" s="1"/>
  <c r="AG87"/>
  <c r="AH87"/>
  <c r="CV87" s="1"/>
  <c r="U87" s="1"/>
  <c r="AI87"/>
  <c r="AJ87"/>
  <c r="CX87" s="1"/>
  <c r="W87" s="1"/>
  <c r="CQ87"/>
  <c r="P87" s="1"/>
  <c r="CS87"/>
  <c r="R87" s="1"/>
  <c r="HI87" s="1"/>
  <c r="CU87"/>
  <c r="T87" s="1"/>
  <c r="CW87"/>
  <c r="V87" s="1"/>
  <c r="FR87"/>
  <c r="GL87"/>
  <c r="GO87"/>
  <c r="GP87"/>
  <c r="GV87"/>
  <c r="HC87"/>
  <c r="GX87" s="1"/>
  <c r="AC88"/>
  <c r="AD88"/>
  <c r="CR88" s="1"/>
  <c r="Q88" s="1"/>
  <c r="AE88"/>
  <c r="AF88"/>
  <c r="CT88" s="1"/>
  <c r="S88" s="1"/>
  <c r="AG88"/>
  <c r="AH88"/>
  <c r="CV88" s="1"/>
  <c r="U88" s="1"/>
  <c r="AI88"/>
  <c r="AJ88"/>
  <c r="CX88" s="1"/>
  <c r="W88" s="1"/>
  <c r="CQ88"/>
  <c r="P88" s="1"/>
  <c r="CS88"/>
  <c r="R88" s="1"/>
  <c r="HI88" s="1"/>
  <c r="CU88"/>
  <c r="T88" s="1"/>
  <c r="CW88"/>
  <c r="V88" s="1"/>
  <c r="FR88"/>
  <c r="GL88"/>
  <c r="GO88"/>
  <c r="GP88"/>
  <c r="GV88"/>
  <c r="HC88"/>
  <c r="GX88" s="1"/>
  <c r="HG88"/>
  <c r="AC89"/>
  <c r="AB89" s="1"/>
  <c r="AE89"/>
  <c r="AD89" s="1"/>
  <c r="CR89" s="1"/>
  <c r="Q89" s="1"/>
  <c r="AF89"/>
  <c r="AG89"/>
  <c r="CU89" s="1"/>
  <c r="T89" s="1"/>
  <c r="AH89"/>
  <c r="AI89"/>
  <c r="CW89" s="1"/>
  <c r="V89" s="1"/>
  <c r="AJ89"/>
  <c r="CT89"/>
  <c r="S89" s="1"/>
  <c r="CV89"/>
  <c r="U89" s="1"/>
  <c r="CX89"/>
  <c r="W89" s="1"/>
  <c r="FR89"/>
  <c r="GL89"/>
  <c r="GO89"/>
  <c r="GP89"/>
  <c r="GV89"/>
  <c r="GX89"/>
  <c r="HC89"/>
  <c r="HG89"/>
  <c r="C90"/>
  <c r="D90"/>
  <c r="I90"/>
  <c r="K90"/>
  <c r="AC90"/>
  <c r="AD90"/>
  <c r="CR90" s="1"/>
  <c r="Q90" s="1"/>
  <c r="AE90"/>
  <c r="AF90"/>
  <c r="CT90" s="1"/>
  <c r="S90" s="1"/>
  <c r="AG90"/>
  <c r="AH90"/>
  <c r="CV90" s="1"/>
  <c r="U90" s="1"/>
  <c r="AI90"/>
  <c r="AJ90"/>
  <c r="CX90" s="1"/>
  <c r="W90" s="1"/>
  <c r="CQ90"/>
  <c r="P90" s="1"/>
  <c r="CP90" s="1"/>
  <c r="O90" s="1"/>
  <c r="CS90"/>
  <c r="R90" s="1"/>
  <c r="HI90" s="1"/>
  <c r="CU90"/>
  <c r="T90" s="1"/>
  <c r="CW90"/>
  <c r="V90" s="1"/>
  <c r="FR90"/>
  <c r="GL90"/>
  <c r="GO90"/>
  <c r="GP90"/>
  <c r="GV90"/>
  <c r="HC90"/>
  <c r="GX90" s="1"/>
  <c r="C91"/>
  <c r="D91"/>
  <c r="I91"/>
  <c r="K91"/>
  <c r="AC91"/>
  <c r="AD91"/>
  <c r="CR91" s="1"/>
  <c r="Q91" s="1"/>
  <c r="AE91"/>
  <c r="AF91"/>
  <c r="CT91" s="1"/>
  <c r="S91" s="1"/>
  <c r="AG91"/>
  <c r="AH91"/>
  <c r="CV91" s="1"/>
  <c r="U91" s="1"/>
  <c r="AI91"/>
  <c r="AJ91"/>
  <c r="CX91" s="1"/>
  <c r="W91" s="1"/>
  <c r="CQ91"/>
  <c r="P91" s="1"/>
  <c r="CP91" s="1"/>
  <c r="O91" s="1"/>
  <c r="CS91"/>
  <c r="R91" s="1"/>
  <c r="HI91" s="1"/>
  <c r="CU91"/>
  <c r="T91" s="1"/>
  <c r="CW91"/>
  <c r="V91" s="1"/>
  <c r="FR91"/>
  <c r="GL91"/>
  <c r="GO91"/>
  <c r="GP91"/>
  <c r="GV91"/>
  <c r="HC91"/>
  <c r="GX91" s="1"/>
  <c r="I92"/>
  <c r="K92"/>
  <c r="AC92"/>
  <c r="AD92"/>
  <c r="CR92" s="1"/>
  <c r="Q92" s="1"/>
  <c r="AE92"/>
  <c r="AF92"/>
  <c r="CT92" s="1"/>
  <c r="S92" s="1"/>
  <c r="AG92"/>
  <c r="AH92"/>
  <c r="CV92" s="1"/>
  <c r="U92" s="1"/>
  <c r="AI92"/>
  <c r="AJ92"/>
  <c r="CX92" s="1"/>
  <c r="W92" s="1"/>
  <c r="CQ92"/>
  <c r="P92" s="1"/>
  <c r="CP92" s="1"/>
  <c r="O92" s="1"/>
  <c r="CS92"/>
  <c r="R92" s="1"/>
  <c r="HI92" s="1"/>
  <c r="CU92"/>
  <c r="T92" s="1"/>
  <c r="CW92"/>
  <c r="V92" s="1"/>
  <c r="FR92"/>
  <c r="GL92"/>
  <c r="GO92"/>
  <c r="GP92"/>
  <c r="GV92"/>
  <c r="HC92"/>
  <c r="GX92" s="1"/>
  <c r="AC93"/>
  <c r="AD93"/>
  <c r="CR93" s="1"/>
  <c r="Q93" s="1"/>
  <c r="AE93"/>
  <c r="AF93"/>
  <c r="CT93" s="1"/>
  <c r="S93" s="1"/>
  <c r="AG93"/>
  <c r="AH93"/>
  <c r="CV93" s="1"/>
  <c r="U93" s="1"/>
  <c r="AI93"/>
  <c r="AJ93"/>
  <c r="CX93" s="1"/>
  <c r="W93" s="1"/>
  <c r="CQ93"/>
  <c r="P93" s="1"/>
  <c r="CP93" s="1"/>
  <c r="O93" s="1"/>
  <c r="CS93"/>
  <c r="R93" s="1"/>
  <c r="HI93" s="1"/>
  <c r="CU93"/>
  <c r="T93" s="1"/>
  <c r="CW93"/>
  <c r="V93" s="1"/>
  <c r="FR93"/>
  <c r="GL93"/>
  <c r="GO93"/>
  <c r="GP93"/>
  <c r="GV93"/>
  <c r="HC93"/>
  <c r="GX93" s="1"/>
  <c r="HG93"/>
  <c r="C95"/>
  <c r="D95"/>
  <c r="AC95"/>
  <c r="AE95"/>
  <c r="AD95" s="1"/>
  <c r="CR95" s="1"/>
  <c r="Q95" s="1"/>
  <c r="AF95"/>
  <c r="AG95"/>
  <c r="CU95" s="1"/>
  <c r="T95" s="1"/>
  <c r="AH95"/>
  <c r="AI95"/>
  <c r="CW95" s="1"/>
  <c r="V95" s="1"/>
  <c r="AJ95"/>
  <c r="CT95"/>
  <c r="S95" s="1"/>
  <c r="CV95"/>
  <c r="U95" s="1"/>
  <c r="CX95"/>
  <c r="W95" s="1"/>
  <c r="FR95"/>
  <c r="GL95"/>
  <c r="GO95"/>
  <c r="GP95"/>
  <c r="GV95"/>
  <c r="GX95"/>
  <c r="HC95"/>
  <c r="C96"/>
  <c r="D96"/>
  <c r="AC96"/>
  <c r="AB96" s="1"/>
  <c r="AE96"/>
  <c r="AD96" s="1"/>
  <c r="CR96" s="1"/>
  <c r="Q96" s="1"/>
  <c r="AF96"/>
  <c r="AG96"/>
  <c r="CU96" s="1"/>
  <c r="T96" s="1"/>
  <c r="AH96"/>
  <c r="AI96"/>
  <c r="CW96" s="1"/>
  <c r="V96" s="1"/>
  <c r="AJ96"/>
  <c r="CT96"/>
  <c r="S96" s="1"/>
  <c r="CV96"/>
  <c r="U96" s="1"/>
  <c r="CX96"/>
  <c r="W96" s="1"/>
  <c r="FR96"/>
  <c r="GL96"/>
  <c r="GO96"/>
  <c r="GP96"/>
  <c r="GV96"/>
  <c r="GX96"/>
  <c r="HC96"/>
  <c r="I97"/>
  <c r="K97"/>
  <c r="AC97"/>
  <c r="AD97"/>
  <c r="CR97" s="1"/>
  <c r="AE97"/>
  <c r="AF97"/>
  <c r="CT97" s="1"/>
  <c r="AG97"/>
  <c r="AH97"/>
  <c r="CV97" s="1"/>
  <c r="AI97"/>
  <c r="AJ97"/>
  <c r="CX97" s="1"/>
  <c r="CQ97"/>
  <c r="P97" s="1"/>
  <c r="CS97"/>
  <c r="R97" s="1"/>
  <c r="HI97" s="1"/>
  <c r="CU97"/>
  <c r="T97" s="1"/>
  <c r="CW97"/>
  <c r="V97" s="1"/>
  <c r="FR97"/>
  <c r="GL97"/>
  <c r="GO97"/>
  <c r="GP97"/>
  <c r="GV97"/>
  <c r="HC97" s="1"/>
  <c r="GX97" s="1"/>
  <c r="I98"/>
  <c r="K98"/>
  <c r="AC98"/>
  <c r="AD98"/>
  <c r="CR98" s="1"/>
  <c r="Q98" s="1"/>
  <c r="AE98"/>
  <c r="AF98"/>
  <c r="CT98" s="1"/>
  <c r="S98" s="1"/>
  <c r="AG98"/>
  <c r="AH98"/>
  <c r="CV98" s="1"/>
  <c r="U98" s="1"/>
  <c r="AI98"/>
  <c r="AJ98"/>
  <c r="CX98" s="1"/>
  <c r="W98" s="1"/>
  <c r="CQ98"/>
  <c r="P98" s="1"/>
  <c r="CP98" s="1"/>
  <c r="O98" s="1"/>
  <c r="CS98"/>
  <c r="R98" s="1"/>
  <c r="HI98" s="1"/>
  <c r="CU98"/>
  <c r="T98" s="1"/>
  <c r="CW98"/>
  <c r="V98" s="1"/>
  <c r="CY98"/>
  <c r="X98" s="1"/>
  <c r="FR98"/>
  <c r="GL98"/>
  <c r="GO98"/>
  <c r="GP98"/>
  <c r="GV98"/>
  <c r="HC98" s="1"/>
  <c r="GX98" s="1"/>
  <c r="HJ98"/>
  <c r="AC99"/>
  <c r="AD99"/>
  <c r="CR99" s="1"/>
  <c r="Q99" s="1"/>
  <c r="AE99"/>
  <c r="AF99"/>
  <c r="CT99" s="1"/>
  <c r="S99" s="1"/>
  <c r="AG99"/>
  <c r="AH99"/>
  <c r="CV99" s="1"/>
  <c r="U99" s="1"/>
  <c r="AI99"/>
  <c r="AJ99"/>
  <c r="CX99" s="1"/>
  <c r="W99" s="1"/>
  <c r="CQ99"/>
  <c r="P99" s="1"/>
  <c r="CP99" s="1"/>
  <c r="O99" s="1"/>
  <c r="CS99"/>
  <c r="R99" s="1"/>
  <c r="HI99" s="1"/>
  <c r="CU99"/>
  <c r="T99" s="1"/>
  <c r="CW99"/>
  <c r="V99" s="1"/>
  <c r="CY99"/>
  <c r="X99" s="1"/>
  <c r="FR99"/>
  <c r="GL99"/>
  <c r="GO99"/>
  <c r="GP99"/>
  <c r="GV99"/>
  <c r="HC99" s="1"/>
  <c r="GX99" s="1"/>
  <c r="HJ99"/>
  <c r="I100"/>
  <c r="K100"/>
  <c r="AC100"/>
  <c r="AD100"/>
  <c r="CR100" s="1"/>
  <c r="Q100" s="1"/>
  <c r="AE100"/>
  <c r="AF100"/>
  <c r="CT100" s="1"/>
  <c r="S100" s="1"/>
  <c r="AG100"/>
  <c r="AH100"/>
  <c r="CV100" s="1"/>
  <c r="U100" s="1"/>
  <c r="AI100"/>
  <c r="AJ100"/>
  <c r="CX100" s="1"/>
  <c r="W100" s="1"/>
  <c r="CQ100"/>
  <c r="P100" s="1"/>
  <c r="CP100" s="1"/>
  <c r="O100" s="1"/>
  <c r="CS100"/>
  <c r="R100" s="1"/>
  <c r="HI100" s="1"/>
  <c r="CU100"/>
  <c r="T100" s="1"/>
  <c r="CW100"/>
  <c r="V100" s="1"/>
  <c r="CY100"/>
  <c r="X100" s="1"/>
  <c r="FR100"/>
  <c r="GL100"/>
  <c r="GO100"/>
  <c r="GP100"/>
  <c r="GV100"/>
  <c r="HC100" s="1"/>
  <c r="GX100" s="1"/>
  <c r="HJ100"/>
  <c r="C101"/>
  <c r="D101"/>
  <c r="AC101"/>
  <c r="AD101"/>
  <c r="CR101" s="1"/>
  <c r="Q101" s="1"/>
  <c r="AE101"/>
  <c r="AF101"/>
  <c r="CT101" s="1"/>
  <c r="S101" s="1"/>
  <c r="AG101"/>
  <c r="AH101"/>
  <c r="CV101" s="1"/>
  <c r="U101" s="1"/>
  <c r="AI101"/>
  <c r="AJ101"/>
  <c r="CX101" s="1"/>
  <c r="W101" s="1"/>
  <c r="CQ101"/>
  <c r="P101" s="1"/>
  <c r="CP101" s="1"/>
  <c r="O101" s="1"/>
  <c r="CS101"/>
  <c r="R101" s="1"/>
  <c r="HI101" s="1"/>
  <c r="CU101"/>
  <c r="T101" s="1"/>
  <c r="CW101"/>
  <c r="V101" s="1"/>
  <c r="CY101"/>
  <c r="X101" s="1"/>
  <c r="FR101"/>
  <c r="GL101"/>
  <c r="GO101"/>
  <c r="GP101"/>
  <c r="GV101"/>
  <c r="HC101" s="1"/>
  <c r="GX101" s="1"/>
  <c r="HJ101"/>
  <c r="I102"/>
  <c r="K102"/>
  <c r="AC102"/>
  <c r="AD102"/>
  <c r="CR102" s="1"/>
  <c r="Q102" s="1"/>
  <c r="AE102"/>
  <c r="AF102"/>
  <c r="CT102" s="1"/>
  <c r="S102" s="1"/>
  <c r="AG102"/>
  <c r="AH102"/>
  <c r="CV102" s="1"/>
  <c r="U102" s="1"/>
  <c r="AI102"/>
  <c r="AJ102"/>
  <c r="CX102" s="1"/>
  <c r="W102" s="1"/>
  <c r="CQ102"/>
  <c r="P102" s="1"/>
  <c r="CP102" s="1"/>
  <c r="O102" s="1"/>
  <c r="CS102"/>
  <c r="R102" s="1"/>
  <c r="HI102" s="1"/>
  <c r="CU102"/>
  <c r="T102" s="1"/>
  <c r="CW102"/>
  <c r="V102" s="1"/>
  <c r="CY102"/>
  <c r="X102" s="1"/>
  <c r="FR102"/>
  <c r="GL102"/>
  <c r="GO102"/>
  <c r="GP102"/>
  <c r="GV102"/>
  <c r="HC102" s="1"/>
  <c r="GX102" s="1"/>
  <c r="HJ102"/>
  <c r="I103"/>
  <c r="K103"/>
  <c r="AC103"/>
  <c r="AD103"/>
  <c r="CR103" s="1"/>
  <c r="Q103" s="1"/>
  <c r="AE103"/>
  <c r="AF103"/>
  <c r="CT103" s="1"/>
  <c r="S103" s="1"/>
  <c r="AG103"/>
  <c r="AH103"/>
  <c r="CV103" s="1"/>
  <c r="U103" s="1"/>
  <c r="AI103"/>
  <c r="AJ103"/>
  <c r="CX103" s="1"/>
  <c r="W103" s="1"/>
  <c r="CQ103"/>
  <c r="P103" s="1"/>
  <c r="CP103" s="1"/>
  <c r="O103" s="1"/>
  <c r="CS103"/>
  <c r="R103" s="1"/>
  <c r="HI103" s="1"/>
  <c r="CU103"/>
  <c r="T103" s="1"/>
  <c r="CW103"/>
  <c r="V103" s="1"/>
  <c r="CY103"/>
  <c r="X103" s="1"/>
  <c r="FR103"/>
  <c r="GL103"/>
  <c r="GO103"/>
  <c r="GP103"/>
  <c r="GV103"/>
  <c r="HC103" s="1"/>
  <c r="GX103" s="1"/>
  <c r="HJ103"/>
  <c r="AC104"/>
  <c r="AD104"/>
  <c r="CR104" s="1"/>
  <c r="Q104" s="1"/>
  <c r="AE104"/>
  <c r="AF104"/>
  <c r="CT104" s="1"/>
  <c r="S104" s="1"/>
  <c r="AG104"/>
  <c r="AH104"/>
  <c r="CV104" s="1"/>
  <c r="U104" s="1"/>
  <c r="AI104"/>
  <c r="AJ104"/>
  <c r="CX104" s="1"/>
  <c r="W104" s="1"/>
  <c r="CQ104"/>
  <c r="P104" s="1"/>
  <c r="CP104" s="1"/>
  <c r="O104" s="1"/>
  <c r="CS104"/>
  <c r="R104" s="1"/>
  <c r="HI104" s="1"/>
  <c r="CU104"/>
  <c r="T104" s="1"/>
  <c r="CW104"/>
  <c r="V104" s="1"/>
  <c r="CY104"/>
  <c r="X104" s="1"/>
  <c r="FR104"/>
  <c r="GL104"/>
  <c r="GO104"/>
  <c r="GP104"/>
  <c r="GV104"/>
  <c r="HC104" s="1"/>
  <c r="GX104" s="1"/>
  <c r="HJ104"/>
  <c r="I105"/>
  <c r="K105"/>
  <c r="AC105"/>
  <c r="AD105"/>
  <c r="CR105" s="1"/>
  <c r="Q105" s="1"/>
  <c r="AE105"/>
  <c r="AF105"/>
  <c r="CT105" s="1"/>
  <c r="S105" s="1"/>
  <c r="AG105"/>
  <c r="AH105"/>
  <c r="CV105" s="1"/>
  <c r="U105" s="1"/>
  <c r="AI105"/>
  <c r="AJ105"/>
  <c r="CX105" s="1"/>
  <c r="W105" s="1"/>
  <c r="CQ105"/>
  <c r="P105" s="1"/>
  <c r="CP105" s="1"/>
  <c r="O105" s="1"/>
  <c r="CS105"/>
  <c r="R105" s="1"/>
  <c r="HI105" s="1"/>
  <c r="CU105"/>
  <c r="T105" s="1"/>
  <c r="CW105"/>
  <c r="V105" s="1"/>
  <c r="CY105"/>
  <c r="X105" s="1"/>
  <c r="FR105"/>
  <c r="GL105"/>
  <c r="GO105"/>
  <c r="GP105"/>
  <c r="GV105"/>
  <c r="HC105" s="1"/>
  <c r="GX105" s="1"/>
  <c r="HJ105"/>
  <c r="C106"/>
  <c r="D106"/>
  <c r="I106"/>
  <c r="K106"/>
  <c r="AC106"/>
  <c r="AD106"/>
  <c r="CR106" s="1"/>
  <c r="Q106" s="1"/>
  <c r="AE106"/>
  <c r="AF106"/>
  <c r="CT106" s="1"/>
  <c r="S106" s="1"/>
  <c r="AG106"/>
  <c r="AH106"/>
  <c r="CV106" s="1"/>
  <c r="U106" s="1"/>
  <c r="AI106"/>
  <c r="AJ106"/>
  <c r="CX106" s="1"/>
  <c r="W106" s="1"/>
  <c r="CQ106"/>
  <c r="P106" s="1"/>
  <c r="CP106" s="1"/>
  <c r="O106" s="1"/>
  <c r="CS106"/>
  <c r="R106" s="1"/>
  <c r="HI106" s="1"/>
  <c r="CU106"/>
  <c r="T106" s="1"/>
  <c r="CW106"/>
  <c r="V106" s="1"/>
  <c r="CY106"/>
  <c r="X106" s="1"/>
  <c r="FR106"/>
  <c r="GL106"/>
  <c r="GO106"/>
  <c r="GP106"/>
  <c r="GV106"/>
  <c r="HC106" s="1"/>
  <c r="GX106" s="1"/>
  <c r="HJ106"/>
  <c r="I107"/>
  <c r="K107"/>
  <c r="AC107"/>
  <c r="AD107"/>
  <c r="CR107" s="1"/>
  <c r="Q107" s="1"/>
  <c r="AE107"/>
  <c r="AF107"/>
  <c r="CT107" s="1"/>
  <c r="S107" s="1"/>
  <c r="AG107"/>
  <c r="AH107"/>
  <c r="CV107" s="1"/>
  <c r="U107" s="1"/>
  <c r="AI107"/>
  <c r="AJ107"/>
  <c r="CX107" s="1"/>
  <c r="W107" s="1"/>
  <c r="CQ107"/>
  <c r="P107" s="1"/>
  <c r="CP107" s="1"/>
  <c r="O107" s="1"/>
  <c r="CS107"/>
  <c r="R107" s="1"/>
  <c r="HI107" s="1"/>
  <c r="CU107"/>
  <c r="T107" s="1"/>
  <c r="CW107"/>
  <c r="V107" s="1"/>
  <c r="CY107"/>
  <c r="X107" s="1"/>
  <c r="FR107"/>
  <c r="GL107"/>
  <c r="GO107"/>
  <c r="GP107"/>
  <c r="GV107"/>
  <c r="HC107" s="1"/>
  <c r="GX107" s="1"/>
  <c r="HJ107"/>
  <c r="I108"/>
  <c r="K108"/>
  <c r="AC108"/>
  <c r="AD108"/>
  <c r="CR108" s="1"/>
  <c r="Q108" s="1"/>
  <c r="AE108"/>
  <c r="AF108"/>
  <c r="CT108" s="1"/>
  <c r="S108" s="1"/>
  <c r="AG108"/>
  <c r="AH108"/>
  <c r="CV108" s="1"/>
  <c r="U108" s="1"/>
  <c r="AI108"/>
  <c r="AJ108"/>
  <c r="CX108" s="1"/>
  <c r="W108" s="1"/>
  <c r="CQ108"/>
  <c r="P108" s="1"/>
  <c r="CP108" s="1"/>
  <c r="O108" s="1"/>
  <c r="CS108"/>
  <c r="R108" s="1"/>
  <c r="HI108" s="1"/>
  <c r="CU108"/>
  <c r="T108" s="1"/>
  <c r="CW108"/>
  <c r="V108" s="1"/>
  <c r="CY108"/>
  <c r="X108" s="1"/>
  <c r="FR108"/>
  <c r="GL108"/>
  <c r="GO108"/>
  <c r="GP108"/>
  <c r="GV108"/>
  <c r="HC108" s="1"/>
  <c r="GX108" s="1"/>
  <c r="HJ108"/>
  <c r="AC109"/>
  <c r="AD109"/>
  <c r="CR109" s="1"/>
  <c r="Q109" s="1"/>
  <c r="AE109"/>
  <c r="AF109"/>
  <c r="CT109" s="1"/>
  <c r="S109" s="1"/>
  <c r="AG109"/>
  <c r="AH109"/>
  <c r="CV109" s="1"/>
  <c r="U109" s="1"/>
  <c r="AI109"/>
  <c r="AJ109"/>
  <c r="CX109" s="1"/>
  <c r="W109" s="1"/>
  <c r="CQ109"/>
  <c r="P109" s="1"/>
  <c r="CP109" s="1"/>
  <c r="O109" s="1"/>
  <c r="CS109"/>
  <c r="R109" s="1"/>
  <c r="HI109" s="1"/>
  <c r="CU109"/>
  <c r="T109" s="1"/>
  <c r="CW109"/>
  <c r="V109" s="1"/>
  <c r="CY109"/>
  <c r="X109" s="1"/>
  <c r="FR109"/>
  <c r="GL109"/>
  <c r="GO109"/>
  <c r="GP109"/>
  <c r="GV109"/>
  <c r="HC109" s="1"/>
  <c r="GX109" s="1"/>
  <c r="HJ109"/>
  <c r="I110"/>
  <c r="K110"/>
  <c r="AC110"/>
  <c r="AD110"/>
  <c r="CR110" s="1"/>
  <c r="Q110" s="1"/>
  <c r="AE110"/>
  <c r="AF110"/>
  <c r="CT110" s="1"/>
  <c r="S110" s="1"/>
  <c r="AG110"/>
  <c r="AH110"/>
  <c r="CV110" s="1"/>
  <c r="U110" s="1"/>
  <c r="AI110"/>
  <c r="AJ110"/>
  <c r="CX110" s="1"/>
  <c r="W110" s="1"/>
  <c r="CQ110"/>
  <c r="P110" s="1"/>
  <c r="CP110" s="1"/>
  <c r="O110" s="1"/>
  <c r="CS110"/>
  <c r="R110" s="1"/>
  <c r="HI110" s="1"/>
  <c r="CU110"/>
  <c r="T110" s="1"/>
  <c r="CW110"/>
  <c r="V110" s="1"/>
  <c r="CY110"/>
  <c r="X110" s="1"/>
  <c r="FR110"/>
  <c r="GL110"/>
  <c r="GO110"/>
  <c r="GP110"/>
  <c r="GV110"/>
  <c r="HC110" s="1"/>
  <c r="GX110" s="1"/>
  <c r="HJ110"/>
  <c r="C111"/>
  <c r="D111"/>
  <c r="I111"/>
  <c r="K111"/>
  <c r="AC111"/>
  <c r="AD111"/>
  <c r="CR111" s="1"/>
  <c r="Q111" s="1"/>
  <c r="AE111"/>
  <c r="AF111"/>
  <c r="CT111" s="1"/>
  <c r="S111" s="1"/>
  <c r="AG111"/>
  <c r="AH111"/>
  <c r="CV111" s="1"/>
  <c r="U111" s="1"/>
  <c r="AI111"/>
  <c r="AJ111"/>
  <c r="CX111" s="1"/>
  <c r="W111" s="1"/>
  <c r="CQ111"/>
  <c r="P111" s="1"/>
  <c r="CP111" s="1"/>
  <c r="O111" s="1"/>
  <c r="CS111"/>
  <c r="R111" s="1"/>
  <c r="HI111" s="1"/>
  <c r="CU111"/>
  <c r="T111" s="1"/>
  <c r="CW111"/>
  <c r="V111" s="1"/>
  <c r="CY111"/>
  <c r="X111" s="1"/>
  <c r="FR111"/>
  <c r="GL111"/>
  <c r="GO111"/>
  <c r="GP111"/>
  <c r="GV111"/>
  <c r="HC111" s="1"/>
  <c r="GX111" s="1"/>
  <c r="HJ111"/>
  <c r="I112"/>
  <c r="K112"/>
  <c r="AC112"/>
  <c r="AD112"/>
  <c r="CR112" s="1"/>
  <c r="Q112" s="1"/>
  <c r="AE112"/>
  <c r="AF112"/>
  <c r="CT112" s="1"/>
  <c r="S112" s="1"/>
  <c r="AG112"/>
  <c r="AH112"/>
  <c r="CV112" s="1"/>
  <c r="U112" s="1"/>
  <c r="AI112"/>
  <c r="AJ112"/>
  <c r="CX112" s="1"/>
  <c r="W112" s="1"/>
  <c r="CQ112"/>
  <c r="P112" s="1"/>
  <c r="CP112" s="1"/>
  <c r="O112" s="1"/>
  <c r="CS112"/>
  <c r="R112" s="1"/>
  <c r="HI112" s="1"/>
  <c r="CU112"/>
  <c r="T112" s="1"/>
  <c r="CW112"/>
  <c r="V112" s="1"/>
  <c r="CY112"/>
  <c r="X112" s="1"/>
  <c r="FR112"/>
  <c r="GL112"/>
  <c r="GO112"/>
  <c r="GP112"/>
  <c r="GV112"/>
  <c r="HC112" s="1"/>
  <c r="GX112" s="1"/>
  <c r="HJ112"/>
  <c r="I113"/>
  <c r="K113"/>
  <c r="AC113"/>
  <c r="AD113"/>
  <c r="CR113" s="1"/>
  <c r="Q113" s="1"/>
  <c r="AE113"/>
  <c r="AF113"/>
  <c r="CT113" s="1"/>
  <c r="S113" s="1"/>
  <c r="AG113"/>
  <c r="AH113"/>
  <c r="CV113" s="1"/>
  <c r="U113" s="1"/>
  <c r="AI113"/>
  <c r="AJ113"/>
  <c r="CX113" s="1"/>
  <c r="W113" s="1"/>
  <c r="CQ113"/>
  <c r="P113" s="1"/>
  <c r="CP113" s="1"/>
  <c r="O113" s="1"/>
  <c r="CS113"/>
  <c r="R113" s="1"/>
  <c r="HI113" s="1"/>
  <c r="CU113"/>
  <c r="T113" s="1"/>
  <c r="CW113"/>
  <c r="V113" s="1"/>
  <c r="CY113"/>
  <c r="X113" s="1"/>
  <c r="FR113"/>
  <c r="GL113"/>
  <c r="GO113"/>
  <c r="GP113"/>
  <c r="GV113"/>
  <c r="HC113" s="1"/>
  <c r="GX113" s="1"/>
  <c r="HJ113"/>
  <c r="AC114"/>
  <c r="AD114"/>
  <c r="CR114" s="1"/>
  <c r="Q114" s="1"/>
  <c r="AE114"/>
  <c r="AF114"/>
  <c r="CT114" s="1"/>
  <c r="S114" s="1"/>
  <c r="AG114"/>
  <c r="AH114"/>
  <c r="CV114" s="1"/>
  <c r="U114" s="1"/>
  <c r="AI114"/>
  <c r="AJ114"/>
  <c r="CX114" s="1"/>
  <c r="W114" s="1"/>
  <c r="CQ114"/>
  <c r="P114" s="1"/>
  <c r="CP114" s="1"/>
  <c r="O114" s="1"/>
  <c r="CS114"/>
  <c r="R114" s="1"/>
  <c r="HI114" s="1"/>
  <c r="CU114"/>
  <c r="T114" s="1"/>
  <c r="CW114"/>
  <c r="V114" s="1"/>
  <c r="CY114"/>
  <c r="X114" s="1"/>
  <c r="FR114"/>
  <c r="GL114"/>
  <c r="GO114"/>
  <c r="GP114"/>
  <c r="GV114"/>
  <c r="HC114" s="1"/>
  <c r="GX114" s="1"/>
  <c r="HJ114"/>
  <c r="I115"/>
  <c r="K115"/>
  <c r="AC115"/>
  <c r="AD115"/>
  <c r="CR115" s="1"/>
  <c r="Q115" s="1"/>
  <c r="AE115"/>
  <c r="AF115"/>
  <c r="CT115" s="1"/>
  <c r="S115" s="1"/>
  <c r="AG115"/>
  <c r="AH115"/>
  <c r="CV115" s="1"/>
  <c r="U115" s="1"/>
  <c r="AI115"/>
  <c r="AJ115"/>
  <c r="CX115" s="1"/>
  <c r="W115" s="1"/>
  <c r="CQ115"/>
  <c r="P115" s="1"/>
  <c r="CP115" s="1"/>
  <c r="O115" s="1"/>
  <c r="CS115"/>
  <c r="R115" s="1"/>
  <c r="HI115" s="1"/>
  <c r="CU115"/>
  <c r="T115" s="1"/>
  <c r="CW115"/>
  <c r="V115" s="1"/>
  <c r="CY115"/>
  <c r="X115" s="1"/>
  <c r="FR115"/>
  <c r="GL115"/>
  <c r="GO115"/>
  <c r="GP115"/>
  <c r="GV115"/>
  <c r="HC115" s="1"/>
  <c r="GX115" s="1"/>
  <c r="HJ115"/>
  <c r="C116"/>
  <c r="D116"/>
  <c r="I116"/>
  <c r="K116"/>
  <c r="AC116"/>
  <c r="AD116"/>
  <c r="CR116" s="1"/>
  <c r="Q116" s="1"/>
  <c r="AE116"/>
  <c r="AF116"/>
  <c r="CT116" s="1"/>
  <c r="S116" s="1"/>
  <c r="AG116"/>
  <c r="AH116"/>
  <c r="CV116" s="1"/>
  <c r="U116" s="1"/>
  <c r="AI116"/>
  <c r="AJ116"/>
  <c r="CX116" s="1"/>
  <c r="W116" s="1"/>
  <c r="CQ116"/>
  <c r="P116" s="1"/>
  <c r="CP116" s="1"/>
  <c r="O116" s="1"/>
  <c r="CS116"/>
  <c r="R116" s="1"/>
  <c r="HI116" s="1"/>
  <c r="CU116"/>
  <c r="T116" s="1"/>
  <c r="CW116"/>
  <c r="V116" s="1"/>
  <c r="CY116"/>
  <c r="X116" s="1"/>
  <c r="FR116"/>
  <c r="GL116"/>
  <c r="GO116"/>
  <c r="GP116"/>
  <c r="GV116"/>
  <c r="HC116" s="1"/>
  <c r="GX116" s="1"/>
  <c r="HJ116"/>
  <c r="C118"/>
  <c r="D118"/>
  <c r="I118"/>
  <c r="K118"/>
  <c r="AC118"/>
  <c r="AD118"/>
  <c r="CR118" s="1"/>
  <c r="Q118" s="1"/>
  <c r="AE118"/>
  <c r="AF118"/>
  <c r="CT118" s="1"/>
  <c r="S118" s="1"/>
  <c r="AG118"/>
  <c r="AH118"/>
  <c r="CV118" s="1"/>
  <c r="U118" s="1"/>
  <c r="AI118"/>
  <c r="AJ118"/>
  <c r="CX118" s="1"/>
  <c r="W118" s="1"/>
  <c r="CQ118"/>
  <c r="P118" s="1"/>
  <c r="CP118" s="1"/>
  <c r="O118" s="1"/>
  <c r="CS118"/>
  <c r="R118" s="1"/>
  <c r="HI118" s="1"/>
  <c r="CU118"/>
  <c r="T118" s="1"/>
  <c r="CW118"/>
  <c r="V118" s="1"/>
  <c r="CY118"/>
  <c r="X118" s="1"/>
  <c r="FR118"/>
  <c r="GL118"/>
  <c r="GO118"/>
  <c r="GP118"/>
  <c r="GV118"/>
  <c r="HC118" s="1"/>
  <c r="GX118" s="1"/>
  <c r="HJ118"/>
  <c r="I119"/>
  <c r="K119"/>
  <c r="AC119"/>
  <c r="AD119"/>
  <c r="CR119" s="1"/>
  <c r="Q119" s="1"/>
  <c r="AE119"/>
  <c r="AF119"/>
  <c r="CT119" s="1"/>
  <c r="S119" s="1"/>
  <c r="AG119"/>
  <c r="AH119"/>
  <c r="CV119" s="1"/>
  <c r="U119" s="1"/>
  <c r="AI119"/>
  <c r="AJ119"/>
  <c r="CX119" s="1"/>
  <c r="W119" s="1"/>
  <c r="CQ119"/>
  <c r="P119" s="1"/>
  <c r="CP119" s="1"/>
  <c r="O119" s="1"/>
  <c r="CS119"/>
  <c r="R119" s="1"/>
  <c r="HI119" s="1"/>
  <c r="CU119"/>
  <c r="T119" s="1"/>
  <c r="CW119"/>
  <c r="V119" s="1"/>
  <c r="CY119"/>
  <c r="X119" s="1"/>
  <c r="FR119"/>
  <c r="GL119"/>
  <c r="GO119"/>
  <c r="GP119"/>
  <c r="GV119"/>
  <c r="HC119" s="1"/>
  <c r="GX119" s="1"/>
  <c r="HJ119"/>
  <c r="I120"/>
  <c r="K120"/>
  <c r="AC120"/>
  <c r="AD120"/>
  <c r="CR120" s="1"/>
  <c r="Q120" s="1"/>
  <c r="AE120"/>
  <c r="AF120"/>
  <c r="CT120" s="1"/>
  <c r="S120" s="1"/>
  <c r="AG120"/>
  <c r="AH120"/>
  <c r="CV120" s="1"/>
  <c r="U120" s="1"/>
  <c r="AI120"/>
  <c r="AJ120"/>
  <c r="CX120" s="1"/>
  <c r="W120" s="1"/>
  <c r="CQ120"/>
  <c r="P120" s="1"/>
  <c r="CP120" s="1"/>
  <c r="O120" s="1"/>
  <c r="CS120"/>
  <c r="R120" s="1"/>
  <c r="HI120" s="1"/>
  <c r="CU120"/>
  <c r="T120" s="1"/>
  <c r="CW120"/>
  <c r="V120" s="1"/>
  <c r="CY120"/>
  <c r="X120" s="1"/>
  <c r="FR120"/>
  <c r="GL120"/>
  <c r="GO120"/>
  <c r="GP120"/>
  <c r="GV120"/>
  <c r="HC120" s="1"/>
  <c r="GX120" s="1"/>
  <c r="HJ120"/>
  <c r="AC121"/>
  <c r="AD121"/>
  <c r="CR121" s="1"/>
  <c r="Q121" s="1"/>
  <c r="AE121"/>
  <c r="AF121"/>
  <c r="CT121" s="1"/>
  <c r="S121" s="1"/>
  <c r="AG121"/>
  <c r="AH121"/>
  <c r="CV121" s="1"/>
  <c r="U121" s="1"/>
  <c r="AI121"/>
  <c r="AJ121"/>
  <c r="CX121" s="1"/>
  <c r="W121" s="1"/>
  <c r="CQ121"/>
  <c r="P121" s="1"/>
  <c r="CP121" s="1"/>
  <c r="O121" s="1"/>
  <c r="CS121"/>
  <c r="R121" s="1"/>
  <c r="HI121" s="1"/>
  <c r="CU121"/>
  <c r="T121" s="1"/>
  <c r="CW121"/>
  <c r="V121" s="1"/>
  <c r="CY121"/>
  <c r="X121" s="1"/>
  <c r="FR121"/>
  <c r="GL121"/>
  <c r="GO121"/>
  <c r="GP121"/>
  <c r="GV121"/>
  <c r="HC121" s="1"/>
  <c r="GX121" s="1"/>
  <c r="HJ121"/>
  <c r="I122"/>
  <c r="K122"/>
  <c r="AC122"/>
  <c r="AD122"/>
  <c r="CR122" s="1"/>
  <c r="Q122" s="1"/>
  <c r="AE122"/>
  <c r="AF122"/>
  <c r="CT122" s="1"/>
  <c r="S122" s="1"/>
  <c r="AG122"/>
  <c r="AH122"/>
  <c r="CV122" s="1"/>
  <c r="U122" s="1"/>
  <c r="AI122"/>
  <c r="AJ122"/>
  <c r="CX122" s="1"/>
  <c r="W122" s="1"/>
  <c r="CQ122"/>
  <c r="P122" s="1"/>
  <c r="CP122" s="1"/>
  <c r="O122" s="1"/>
  <c r="CS122"/>
  <c r="R122" s="1"/>
  <c r="HI122" s="1"/>
  <c r="CU122"/>
  <c r="T122" s="1"/>
  <c r="CW122"/>
  <c r="V122" s="1"/>
  <c r="CY122"/>
  <c r="X122" s="1"/>
  <c r="FR122"/>
  <c r="GL122"/>
  <c r="GO122"/>
  <c r="GP122"/>
  <c r="GV122"/>
  <c r="HC122" s="1"/>
  <c r="GX122" s="1"/>
  <c r="HJ122"/>
  <c r="C123"/>
  <c r="D123"/>
  <c r="AC123"/>
  <c r="AD123"/>
  <c r="CR123" s="1"/>
  <c r="Q123" s="1"/>
  <c r="AE123"/>
  <c r="AF123"/>
  <c r="CT123" s="1"/>
  <c r="S123" s="1"/>
  <c r="AG123"/>
  <c r="AH123"/>
  <c r="CV123" s="1"/>
  <c r="U123" s="1"/>
  <c r="AI123"/>
  <c r="AJ123"/>
  <c r="CX123" s="1"/>
  <c r="W123" s="1"/>
  <c r="CQ123"/>
  <c r="P123" s="1"/>
  <c r="CP123" s="1"/>
  <c r="O123" s="1"/>
  <c r="CS123"/>
  <c r="R123" s="1"/>
  <c r="HI123" s="1"/>
  <c r="CU123"/>
  <c r="T123" s="1"/>
  <c r="CW123"/>
  <c r="V123" s="1"/>
  <c r="CY123"/>
  <c r="X123" s="1"/>
  <c r="FR123"/>
  <c r="GL123"/>
  <c r="GO123"/>
  <c r="GP123"/>
  <c r="GV123"/>
  <c r="HC123" s="1"/>
  <c r="GX123" s="1"/>
  <c r="HJ123"/>
  <c r="I124"/>
  <c r="K124"/>
  <c r="AC124"/>
  <c r="AD124"/>
  <c r="CR124" s="1"/>
  <c r="Q124" s="1"/>
  <c r="AE124"/>
  <c r="AF124"/>
  <c r="CT124" s="1"/>
  <c r="S124" s="1"/>
  <c r="AG124"/>
  <c r="AH124"/>
  <c r="CV124" s="1"/>
  <c r="U124" s="1"/>
  <c r="AI124"/>
  <c r="AJ124"/>
  <c r="CX124" s="1"/>
  <c r="W124" s="1"/>
  <c r="CQ124"/>
  <c r="P124" s="1"/>
  <c r="CP124" s="1"/>
  <c r="O124" s="1"/>
  <c r="CS124"/>
  <c r="R124" s="1"/>
  <c r="HI124" s="1"/>
  <c r="CU124"/>
  <c r="T124" s="1"/>
  <c r="CW124"/>
  <c r="V124" s="1"/>
  <c r="CY124"/>
  <c r="X124" s="1"/>
  <c r="FR124"/>
  <c r="GL124"/>
  <c r="GO124"/>
  <c r="GP124"/>
  <c r="GV124"/>
  <c r="HC124" s="1"/>
  <c r="GX124" s="1"/>
  <c r="HJ124"/>
  <c r="AC125"/>
  <c r="AD125"/>
  <c r="CR125" s="1"/>
  <c r="Q125" s="1"/>
  <c r="AE125"/>
  <c r="AF125"/>
  <c r="CT125" s="1"/>
  <c r="S125" s="1"/>
  <c r="AG125"/>
  <c r="AH125"/>
  <c r="CV125" s="1"/>
  <c r="U125" s="1"/>
  <c r="AI125"/>
  <c r="AJ125"/>
  <c r="CX125" s="1"/>
  <c r="W125" s="1"/>
  <c r="CQ125"/>
  <c r="P125" s="1"/>
  <c r="CP125" s="1"/>
  <c r="O125" s="1"/>
  <c r="CS125"/>
  <c r="R125" s="1"/>
  <c r="HI125" s="1"/>
  <c r="CU125"/>
  <c r="T125" s="1"/>
  <c r="CW125"/>
  <c r="V125" s="1"/>
  <c r="CY125"/>
  <c r="X125" s="1"/>
  <c r="FR125"/>
  <c r="GL125"/>
  <c r="GO125"/>
  <c r="GP125"/>
  <c r="GV125"/>
  <c r="HC125" s="1"/>
  <c r="GX125" s="1"/>
  <c r="HJ125"/>
  <c r="C126"/>
  <c r="D126"/>
  <c r="AC126"/>
  <c r="AD126"/>
  <c r="CR126" s="1"/>
  <c r="Q126" s="1"/>
  <c r="AE126"/>
  <c r="AF126"/>
  <c r="CT126" s="1"/>
  <c r="S126" s="1"/>
  <c r="AG126"/>
  <c r="AH126"/>
  <c r="CV126" s="1"/>
  <c r="U126" s="1"/>
  <c r="AI126"/>
  <c r="AJ126"/>
  <c r="CX126" s="1"/>
  <c r="W126" s="1"/>
  <c r="CQ126"/>
  <c r="P126" s="1"/>
  <c r="CP126" s="1"/>
  <c r="O126" s="1"/>
  <c r="CS126"/>
  <c r="R126" s="1"/>
  <c r="HI126" s="1"/>
  <c r="CU126"/>
  <c r="T126" s="1"/>
  <c r="CW126"/>
  <c r="V126" s="1"/>
  <c r="CY126"/>
  <c r="X126" s="1"/>
  <c r="FR126"/>
  <c r="GL126"/>
  <c r="GO126"/>
  <c r="GP126"/>
  <c r="GV126"/>
  <c r="HC126" s="1"/>
  <c r="GX126" s="1"/>
  <c r="HJ126"/>
  <c r="I127"/>
  <c r="K127"/>
  <c r="AC127"/>
  <c r="AD127"/>
  <c r="CR127" s="1"/>
  <c r="Q127" s="1"/>
  <c r="AE127"/>
  <c r="AF127"/>
  <c r="CT127" s="1"/>
  <c r="S127" s="1"/>
  <c r="AG127"/>
  <c r="AH127"/>
  <c r="CV127" s="1"/>
  <c r="U127" s="1"/>
  <c r="AI127"/>
  <c r="AJ127"/>
  <c r="CX127" s="1"/>
  <c r="W127" s="1"/>
  <c r="CQ127"/>
  <c r="P127" s="1"/>
  <c r="CP127" s="1"/>
  <c r="O127" s="1"/>
  <c r="CS127"/>
  <c r="R127" s="1"/>
  <c r="HI127" s="1"/>
  <c r="CU127"/>
  <c r="T127" s="1"/>
  <c r="CW127"/>
  <c r="V127" s="1"/>
  <c r="CY127"/>
  <c r="X127" s="1"/>
  <c r="FR127"/>
  <c r="GL127"/>
  <c r="GO127"/>
  <c r="GP127"/>
  <c r="GV127"/>
  <c r="HC127" s="1"/>
  <c r="GX127" s="1"/>
  <c r="HJ127"/>
  <c r="I128"/>
  <c r="K128"/>
  <c r="AC128"/>
  <c r="AD128"/>
  <c r="CR128" s="1"/>
  <c r="Q128" s="1"/>
  <c r="AE128"/>
  <c r="AF128"/>
  <c r="CT128" s="1"/>
  <c r="S128" s="1"/>
  <c r="AG128"/>
  <c r="AH128"/>
  <c r="CV128" s="1"/>
  <c r="U128" s="1"/>
  <c r="AI128"/>
  <c r="AJ128"/>
  <c r="CX128" s="1"/>
  <c r="W128" s="1"/>
  <c r="CQ128"/>
  <c r="P128" s="1"/>
  <c r="CP128" s="1"/>
  <c r="O128" s="1"/>
  <c r="CS128"/>
  <c r="R128" s="1"/>
  <c r="HI128" s="1"/>
  <c r="CU128"/>
  <c r="T128" s="1"/>
  <c r="CW128"/>
  <c r="V128" s="1"/>
  <c r="CY128"/>
  <c r="X128" s="1"/>
  <c r="FR128"/>
  <c r="GL128"/>
  <c r="GO128"/>
  <c r="GP128"/>
  <c r="GV128"/>
  <c r="HC128" s="1"/>
  <c r="GX128" s="1"/>
  <c r="HJ128"/>
  <c r="C129"/>
  <c r="D129"/>
  <c r="I129"/>
  <c r="K129"/>
  <c r="AC129"/>
  <c r="AD129"/>
  <c r="CR129" s="1"/>
  <c r="Q129" s="1"/>
  <c r="AE129"/>
  <c r="AF129"/>
  <c r="CT129" s="1"/>
  <c r="S129" s="1"/>
  <c r="AG129"/>
  <c r="AH129"/>
  <c r="CV129" s="1"/>
  <c r="U129" s="1"/>
  <c r="AI129"/>
  <c r="AJ129"/>
  <c r="CX129" s="1"/>
  <c r="W129" s="1"/>
  <c r="CQ129"/>
  <c r="P129" s="1"/>
  <c r="CP129" s="1"/>
  <c r="O129" s="1"/>
  <c r="CS129"/>
  <c r="R129" s="1"/>
  <c r="HI129" s="1"/>
  <c r="CU129"/>
  <c r="T129" s="1"/>
  <c r="CW129"/>
  <c r="V129" s="1"/>
  <c r="CY129"/>
  <c r="X129" s="1"/>
  <c r="FR129"/>
  <c r="GL129"/>
  <c r="GO129"/>
  <c r="GP129"/>
  <c r="GV129"/>
  <c r="HC129" s="1"/>
  <c r="GX129" s="1"/>
  <c r="HJ129"/>
  <c r="I130"/>
  <c r="K130"/>
  <c r="AC130"/>
  <c r="AD130"/>
  <c r="CR130" s="1"/>
  <c r="Q130" s="1"/>
  <c r="AE130"/>
  <c r="AF130"/>
  <c r="CT130" s="1"/>
  <c r="S130" s="1"/>
  <c r="AG130"/>
  <c r="AH130"/>
  <c r="CV130" s="1"/>
  <c r="U130" s="1"/>
  <c r="AI130"/>
  <c r="AJ130"/>
  <c r="CX130" s="1"/>
  <c r="W130" s="1"/>
  <c r="CQ130"/>
  <c r="P130" s="1"/>
  <c r="CP130" s="1"/>
  <c r="O130" s="1"/>
  <c r="CS130"/>
  <c r="R130" s="1"/>
  <c r="HI130" s="1"/>
  <c r="CU130"/>
  <c r="T130" s="1"/>
  <c r="CW130"/>
  <c r="V130" s="1"/>
  <c r="CY130"/>
  <c r="X130" s="1"/>
  <c r="FR130"/>
  <c r="GL130"/>
  <c r="GO130"/>
  <c r="GP130"/>
  <c r="GV130"/>
  <c r="HC130" s="1"/>
  <c r="GX130" s="1"/>
  <c r="HJ130"/>
  <c r="AC131"/>
  <c r="AD131"/>
  <c r="CR131" s="1"/>
  <c r="Q131" s="1"/>
  <c r="AE131"/>
  <c r="AF131"/>
  <c r="CT131" s="1"/>
  <c r="S131" s="1"/>
  <c r="AG131"/>
  <c r="AH131"/>
  <c r="CV131" s="1"/>
  <c r="U131" s="1"/>
  <c r="AI131"/>
  <c r="AJ131"/>
  <c r="CX131" s="1"/>
  <c r="W131" s="1"/>
  <c r="CQ131"/>
  <c r="P131" s="1"/>
  <c r="CP131" s="1"/>
  <c r="O131" s="1"/>
  <c r="CS131"/>
  <c r="R131" s="1"/>
  <c r="HI131" s="1"/>
  <c r="CU131"/>
  <c r="T131" s="1"/>
  <c r="CW131"/>
  <c r="V131" s="1"/>
  <c r="CY131"/>
  <c r="X131" s="1"/>
  <c r="FR131"/>
  <c r="GL131"/>
  <c r="GO131"/>
  <c r="GP131"/>
  <c r="GV131"/>
  <c r="HC131" s="1"/>
  <c r="GX131" s="1"/>
  <c r="HG131"/>
  <c r="U132"/>
  <c r="AC132"/>
  <c r="AE132"/>
  <c r="AF132"/>
  <c r="AG132"/>
  <c r="CU132" s="1"/>
  <c r="T132" s="1"/>
  <c r="AH132"/>
  <c r="AI132"/>
  <c r="CW132" s="1"/>
  <c r="V132" s="1"/>
  <c r="AJ132"/>
  <c r="CT132"/>
  <c r="S132" s="1"/>
  <c r="CV132"/>
  <c r="CX132"/>
  <c r="W132" s="1"/>
  <c r="FR132"/>
  <c r="GL132"/>
  <c r="GO132"/>
  <c r="GP132"/>
  <c r="GV132"/>
  <c r="GX132"/>
  <c r="HC132"/>
  <c r="C133"/>
  <c r="D133"/>
  <c r="I133"/>
  <c r="K133"/>
  <c r="S133"/>
  <c r="W133"/>
  <c r="AC133"/>
  <c r="AE133"/>
  <c r="AF133"/>
  <c r="AG133"/>
  <c r="CU133" s="1"/>
  <c r="AH133"/>
  <c r="AI133"/>
  <c r="CW133" s="1"/>
  <c r="AJ133"/>
  <c r="CT133"/>
  <c r="CV133"/>
  <c r="U133" s="1"/>
  <c r="CX133"/>
  <c r="FR133"/>
  <c r="GL133"/>
  <c r="GO133"/>
  <c r="GP133"/>
  <c r="GV133"/>
  <c r="HC133"/>
  <c r="AC134"/>
  <c r="AE134"/>
  <c r="AF134"/>
  <c r="AG134"/>
  <c r="CU134" s="1"/>
  <c r="AH134"/>
  <c r="AI134"/>
  <c r="CW134" s="1"/>
  <c r="AJ134"/>
  <c r="CT134"/>
  <c r="CV134"/>
  <c r="CX134"/>
  <c r="FR134"/>
  <c r="GL134"/>
  <c r="GO134"/>
  <c r="GP134"/>
  <c r="GV134"/>
  <c r="HC134"/>
  <c r="U135"/>
  <c r="AC135"/>
  <c r="AE135"/>
  <c r="AF135"/>
  <c r="AG135"/>
  <c r="CU135" s="1"/>
  <c r="T135" s="1"/>
  <c r="AH135"/>
  <c r="AI135"/>
  <c r="CW135" s="1"/>
  <c r="V135" s="1"/>
  <c r="AJ135"/>
  <c r="CT135"/>
  <c r="S135" s="1"/>
  <c r="CV135"/>
  <c r="CX135"/>
  <c r="W135" s="1"/>
  <c r="FR135"/>
  <c r="GL135"/>
  <c r="GO135"/>
  <c r="GP135"/>
  <c r="GV135"/>
  <c r="GX135"/>
  <c r="HC135"/>
  <c r="HG135"/>
  <c r="V136"/>
  <c r="AC136"/>
  <c r="AD136"/>
  <c r="CR136" s="1"/>
  <c r="Q136" s="1"/>
  <c r="AE136"/>
  <c r="AF136"/>
  <c r="CT136" s="1"/>
  <c r="S136" s="1"/>
  <c r="AG136"/>
  <c r="AH136"/>
  <c r="CV136" s="1"/>
  <c r="U136" s="1"/>
  <c r="AI136"/>
  <c r="AJ136"/>
  <c r="CX136" s="1"/>
  <c r="W136" s="1"/>
  <c r="CQ136"/>
  <c r="P136" s="1"/>
  <c r="CP136" s="1"/>
  <c r="O136" s="1"/>
  <c r="CS136"/>
  <c r="R136" s="1"/>
  <c r="HI136" s="1"/>
  <c r="CU136"/>
  <c r="T136" s="1"/>
  <c r="CW136"/>
  <c r="FR136"/>
  <c r="BY186" s="1"/>
  <c r="GL136"/>
  <c r="GO136"/>
  <c r="GP136"/>
  <c r="GV136"/>
  <c r="HC136"/>
  <c r="GX136" s="1"/>
  <c r="HG136"/>
  <c r="S137"/>
  <c r="W137"/>
  <c r="AC137"/>
  <c r="AE137"/>
  <c r="AF137"/>
  <c r="AG137"/>
  <c r="CU137" s="1"/>
  <c r="T137" s="1"/>
  <c r="AH137"/>
  <c r="AI137"/>
  <c r="CW137" s="1"/>
  <c r="V137" s="1"/>
  <c r="AJ137"/>
  <c r="CT137"/>
  <c r="CV137"/>
  <c r="U137" s="1"/>
  <c r="CX137"/>
  <c r="FR137"/>
  <c r="GL137"/>
  <c r="GO137"/>
  <c r="GP137"/>
  <c r="GV137"/>
  <c r="GX137"/>
  <c r="HC137"/>
  <c r="C138"/>
  <c r="D138"/>
  <c r="I138"/>
  <c r="K138"/>
  <c r="U138"/>
  <c r="AC138"/>
  <c r="AE138"/>
  <c r="AF138"/>
  <c r="AG138"/>
  <c r="CU138" s="1"/>
  <c r="T138" s="1"/>
  <c r="AH138"/>
  <c r="AI138"/>
  <c r="CW138" s="1"/>
  <c r="V138" s="1"/>
  <c r="AJ138"/>
  <c r="CT138"/>
  <c r="S138" s="1"/>
  <c r="CV138"/>
  <c r="CX138"/>
  <c r="W138" s="1"/>
  <c r="FR138"/>
  <c r="GL138"/>
  <c r="GO138"/>
  <c r="GP138"/>
  <c r="GV138"/>
  <c r="GX138"/>
  <c r="HC138"/>
  <c r="I139"/>
  <c r="U139"/>
  <c r="AC139"/>
  <c r="AE139"/>
  <c r="AF139"/>
  <c r="AG139"/>
  <c r="CU139" s="1"/>
  <c r="T139" s="1"/>
  <c r="AH139"/>
  <c r="AI139"/>
  <c r="CW139" s="1"/>
  <c r="V139" s="1"/>
  <c r="AJ139"/>
  <c r="CT139"/>
  <c r="S139" s="1"/>
  <c r="CV139"/>
  <c r="CX139"/>
  <c r="W139" s="1"/>
  <c r="FR139"/>
  <c r="GL139"/>
  <c r="GO139"/>
  <c r="GP139"/>
  <c r="GV139"/>
  <c r="GX139"/>
  <c r="HC139"/>
  <c r="S140"/>
  <c r="W140"/>
  <c r="AC140"/>
  <c r="AE140"/>
  <c r="AF140"/>
  <c r="AG140"/>
  <c r="CU140" s="1"/>
  <c r="T140" s="1"/>
  <c r="AH140"/>
  <c r="AI140"/>
  <c r="CW140" s="1"/>
  <c r="V140" s="1"/>
  <c r="AJ140"/>
  <c r="CT140"/>
  <c r="CV140"/>
  <c r="U140" s="1"/>
  <c r="CX140"/>
  <c r="FR140"/>
  <c r="GL140"/>
  <c r="GO140"/>
  <c r="GP140"/>
  <c r="GV140"/>
  <c r="GX140"/>
  <c r="HC140"/>
  <c r="C141"/>
  <c r="D141"/>
  <c r="I141"/>
  <c r="K141"/>
  <c r="P141"/>
  <c r="CP141" s="1"/>
  <c r="O141" s="1"/>
  <c r="AC141"/>
  <c r="AD141"/>
  <c r="CR141" s="1"/>
  <c r="Q141" s="1"/>
  <c r="AE141"/>
  <c r="AF141"/>
  <c r="CT141" s="1"/>
  <c r="S141" s="1"/>
  <c r="AG141"/>
  <c r="AH141"/>
  <c r="CV141" s="1"/>
  <c r="U141" s="1"/>
  <c r="AI141"/>
  <c r="AJ141"/>
  <c r="CX141" s="1"/>
  <c r="W141" s="1"/>
  <c r="CQ141"/>
  <c r="CS141"/>
  <c r="R141" s="1"/>
  <c r="HI141" s="1"/>
  <c r="CU141"/>
  <c r="T141" s="1"/>
  <c r="CW141"/>
  <c r="V141" s="1"/>
  <c r="FR141"/>
  <c r="GL141"/>
  <c r="GO141"/>
  <c r="CC186" s="1"/>
  <c r="GP141"/>
  <c r="GV141"/>
  <c r="HC141" s="1"/>
  <c r="GX141" s="1"/>
  <c r="HJ141"/>
  <c r="C142"/>
  <c r="D142"/>
  <c r="I142"/>
  <c r="K142"/>
  <c r="P142"/>
  <c r="CP142" s="1"/>
  <c r="O142" s="1"/>
  <c r="AC142"/>
  <c r="AD142"/>
  <c r="CR142" s="1"/>
  <c r="Q142" s="1"/>
  <c r="AE142"/>
  <c r="AF142"/>
  <c r="CT142" s="1"/>
  <c r="S142" s="1"/>
  <c r="AG142"/>
  <c r="AH142"/>
  <c r="CV142" s="1"/>
  <c r="U142" s="1"/>
  <c r="AI142"/>
  <c r="AJ142"/>
  <c r="CX142" s="1"/>
  <c r="W142" s="1"/>
  <c r="CQ142"/>
  <c r="CS142"/>
  <c r="R142" s="1"/>
  <c r="HI142" s="1"/>
  <c r="CU142"/>
  <c r="T142" s="1"/>
  <c r="CW142"/>
  <c r="V142" s="1"/>
  <c r="FR142"/>
  <c r="GL142"/>
  <c r="GO142"/>
  <c r="GP142"/>
  <c r="GV142"/>
  <c r="HC142" s="1"/>
  <c r="GX142" s="1"/>
  <c r="HJ142"/>
  <c r="C144"/>
  <c r="D144"/>
  <c r="I144"/>
  <c r="CX170" i="3" s="1"/>
  <c r="K144" i="1"/>
  <c r="P144"/>
  <c r="CP144" s="1"/>
  <c r="O144" s="1"/>
  <c r="AC144"/>
  <c r="AD144"/>
  <c r="CR144" s="1"/>
  <c r="Q144" s="1"/>
  <c r="AE144"/>
  <c r="AF144"/>
  <c r="CT144" s="1"/>
  <c r="S144" s="1"/>
  <c r="AG144"/>
  <c r="AH144"/>
  <c r="CV144" s="1"/>
  <c r="U144" s="1"/>
  <c r="AI144"/>
  <c r="AJ144"/>
  <c r="CX144" s="1"/>
  <c r="W144" s="1"/>
  <c r="CQ144"/>
  <c r="CS144"/>
  <c r="R144" s="1"/>
  <c r="HI144" s="1"/>
  <c r="CU144"/>
  <c r="T144" s="1"/>
  <c r="CW144"/>
  <c r="V144" s="1"/>
  <c r="FR144"/>
  <c r="GL144"/>
  <c r="GO144"/>
  <c r="GP144"/>
  <c r="GV144"/>
  <c r="HC144" s="1"/>
  <c r="GX144" s="1"/>
  <c r="HJ144"/>
  <c r="C145"/>
  <c r="D145"/>
  <c r="I145"/>
  <c r="K145"/>
  <c r="P145"/>
  <c r="CP145" s="1"/>
  <c r="O145" s="1"/>
  <c r="AC145"/>
  <c r="AD145"/>
  <c r="CR145" s="1"/>
  <c r="Q145" s="1"/>
  <c r="AE145"/>
  <c r="AF145"/>
  <c r="CT145" s="1"/>
  <c r="S145" s="1"/>
  <c r="AG145"/>
  <c r="AH145"/>
  <c r="CV145" s="1"/>
  <c r="U145" s="1"/>
  <c r="AI145"/>
  <c r="AJ145"/>
  <c r="CX145" s="1"/>
  <c r="W145" s="1"/>
  <c r="CQ145"/>
  <c r="CS145"/>
  <c r="R145" s="1"/>
  <c r="HI145" s="1"/>
  <c r="CU145"/>
  <c r="T145" s="1"/>
  <c r="CW145"/>
  <c r="V145" s="1"/>
  <c r="FR145"/>
  <c r="GL145"/>
  <c r="GO145"/>
  <c r="GP145"/>
  <c r="GV145"/>
  <c r="HC145" s="1"/>
  <c r="GX145" s="1"/>
  <c r="HJ145"/>
  <c r="C147"/>
  <c r="D147"/>
  <c r="I147"/>
  <c r="K147"/>
  <c r="P147"/>
  <c r="CP147" s="1"/>
  <c r="O147" s="1"/>
  <c r="AC147"/>
  <c r="AD147"/>
  <c r="CR147" s="1"/>
  <c r="Q147" s="1"/>
  <c r="AE147"/>
  <c r="AF147"/>
  <c r="CT147" s="1"/>
  <c r="S147" s="1"/>
  <c r="AG147"/>
  <c r="AH147"/>
  <c r="CV147" s="1"/>
  <c r="U147" s="1"/>
  <c r="AI147"/>
  <c r="AJ147"/>
  <c r="CX147" s="1"/>
  <c r="W147" s="1"/>
  <c r="CQ147"/>
  <c r="CS147"/>
  <c r="R147" s="1"/>
  <c r="HI147" s="1"/>
  <c r="CU147"/>
  <c r="T147" s="1"/>
  <c r="CW147"/>
  <c r="V147" s="1"/>
  <c r="FR147"/>
  <c r="GL147"/>
  <c r="GO147"/>
  <c r="GP147"/>
  <c r="GV147"/>
  <c r="HC147" s="1"/>
  <c r="GX147" s="1"/>
  <c r="HJ147"/>
  <c r="C148"/>
  <c r="D148"/>
  <c r="I148"/>
  <c r="K148"/>
  <c r="P148"/>
  <c r="CP148" s="1"/>
  <c r="O148" s="1"/>
  <c r="AC148"/>
  <c r="AD148"/>
  <c r="CR148" s="1"/>
  <c r="Q148" s="1"/>
  <c r="AE148"/>
  <c r="AF148"/>
  <c r="CT148" s="1"/>
  <c r="S148" s="1"/>
  <c r="AG148"/>
  <c r="AH148"/>
  <c r="CV148" s="1"/>
  <c r="U148" s="1"/>
  <c r="AI148"/>
  <c r="AJ148"/>
  <c r="CX148" s="1"/>
  <c r="W148" s="1"/>
  <c r="CQ148"/>
  <c r="CS148"/>
  <c r="R148" s="1"/>
  <c r="HI148" s="1"/>
  <c r="CU148"/>
  <c r="T148" s="1"/>
  <c r="CW148"/>
  <c r="V148" s="1"/>
  <c r="FR148"/>
  <c r="GL148"/>
  <c r="GO148"/>
  <c r="GP148"/>
  <c r="GV148"/>
  <c r="HC148" s="1"/>
  <c r="GX148" s="1"/>
  <c r="HJ148"/>
  <c r="C149"/>
  <c r="D149"/>
  <c r="I149"/>
  <c r="K149"/>
  <c r="P149"/>
  <c r="CP149" s="1"/>
  <c r="O149" s="1"/>
  <c r="AC149"/>
  <c r="AD149"/>
  <c r="CR149" s="1"/>
  <c r="Q149" s="1"/>
  <c r="AE149"/>
  <c r="AF149"/>
  <c r="CT149" s="1"/>
  <c r="S149" s="1"/>
  <c r="AG149"/>
  <c r="AH149"/>
  <c r="CV149" s="1"/>
  <c r="U149" s="1"/>
  <c r="AI149"/>
  <c r="AJ149"/>
  <c r="CX149" s="1"/>
  <c r="W149" s="1"/>
  <c r="CQ149"/>
  <c r="CS149"/>
  <c r="R149" s="1"/>
  <c r="HI149" s="1"/>
  <c r="CU149"/>
  <c r="T149" s="1"/>
  <c r="CW149"/>
  <c r="V149" s="1"/>
  <c r="FR149"/>
  <c r="GL149"/>
  <c r="GO149"/>
  <c r="GP149"/>
  <c r="GV149"/>
  <c r="HC149" s="1"/>
  <c r="GX149" s="1"/>
  <c r="HJ149"/>
  <c r="C151"/>
  <c r="D151"/>
  <c r="I151"/>
  <c r="K151"/>
  <c r="P151"/>
  <c r="CP151" s="1"/>
  <c r="O151" s="1"/>
  <c r="AC151"/>
  <c r="AD151"/>
  <c r="CR151" s="1"/>
  <c r="Q151" s="1"/>
  <c r="AE151"/>
  <c r="AF151"/>
  <c r="CT151" s="1"/>
  <c r="S151" s="1"/>
  <c r="AG151"/>
  <c r="AH151"/>
  <c r="CV151" s="1"/>
  <c r="U151" s="1"/>
  <c r="AI151"/>
  <c r="AJ151"/>
  <c r="CX151" s="1"/>
  <c r="W151" s="1"/>
  <c r="CQ151"/>
  <c r="CS151"/>
  <c r="R151" s="1"/>
  <c r="HI151" s="1"/>
  <c r="CU151"/>
  <c r="T151" s="1"/>
  <c r="CW151"/>
  <c r="V151" s="1"/>
  <c r="FR151"/>
  <c r="GL151"/>
  <c r="GO151"/>
  <c r="GP151"/>
  <c r="GV151"/>
  <c r="HC151" s="1"/>
  <c r="GX151" s="1"/>
  <c r="HJ151"/>
  <c r="C152"/>
  <c r="D152"/>
  <c r="I152"/>
  <c r="K152"/>
  <c r="P152"/>
  <c r="CP152" s="1"/>
  <c r="O152" s="1"/>
  <c r="AC152"/>
  <c r="AD152"/>
  <c r="CR152" s="1"/>
  <c r="Q152" s="1"/>
  <c r="AE152"/>
  <c r="AF152"/>
  <c r="CT152" s="1"/>
  <c r="S152" s="1"/>
  <c r="AG152"/>
  <c r="AH152"/>
  <c r="CV152" s="1"/>
  <c r="U152" s="1"/>
  <c r="AI152"/>
  <c r="AJ152"/>
  <c r="CX152" s="1"/>
  <c r="W152" s="1"/>
  <c r="CQ152"/>
  <c r="CS152"/>
  <c r="R152" s="1"/>
  <c r="HI152" s="1"/>
  <c r="CU152"/>
  <c r="T152" s="1"/>
  <c r="CW152"/>
  <c r="V152" s="1"/>
  <c r="FR152"/>
  <c r="GL152"/>
  <c r="GO152"/>
  <c r="GP152"/>
  <c r="GV152"/>
  <c r="HC152" s="1"/>
  <c r="GX152" s="1"/>
  <c r="HJ152"/>
  <c r="C153"/>
  <c r="D153"/>
  <c r="I153"/>
  <c r="K153"/>
  <c r="P153"/>
  <c r="CP153" s="1"/>
  <c r="O153" s="1"/>
  <c r="AC153"/>
  <c r="AD153"/>
  <c r="CR153" s="1"/>
  <c r="Q153" s="1"/>
  <c r="AE153"/>
  <c r="AF153"/>
  <c r="CT153" s="1"/>
  <c r="S153" s="1"/>
  <c r="AG153"/>
  <c r="AH153"/>
  <c r="CV153" s="1"/>
  <c r="U153" s="1"/>
  <c r="AI153"/>
  <c r="AJ153"/>
  <c r="CX153" s="1"/>
  <c r="W153" s="1"/>
  <c r="CQ153"/>
  <c r="CS153"/>
  <c r="R153" s="1"/>
  <c r="HI153" s="1"/>
  <c r="CU153"/>
  <c r="T153" s="1"/>
  <c r="CW153"/>
  <c r="V153" s="1"/>
  <c r="FR153"/>
  <c r="GL153"/>
  <c r="GO153"/>
  <c r="GP153"/>
  <c r="GV153"/>
  <c r="HC153" s="1"/>
  <c r="GX153" s="1"/>
  <c r="HJ153"/>
  <c r="C155"/>
  <c r="D155"/>
  <c r="I155"/>
  <c r="K155"/>
  <c r="P155"/>
  <c r="CP155" s="1"/>
  <c r="O155" s="1"/>
  <c r="AC155"/>
  <c r="AD155"/>
  <c r="CR155" s="1"/>
  <c r="Q155" s="1"/>
  <c r="AE155"/>
  <c r="AF155"/>
  <c r="CT155" s="1"/>
  <c r="S155" s="1"/>
  <c r="AG155"/>
  <c r="AH155"/>
  <c r="CV155" s="1"/>
  <c r="U155" s="1"/>
  <c r="AI155"/>
  <c r="AJ155"/>
  <c r="CX155" s="1"/>
  <c r="W155" s="1"/>
  <c r="CQ155"/>
  <c r="CS155"/>
  <c r="R155" s="1"/>
  <c r="HI155" s="1"/>
  <c r="CU155"/>
  <c r="T155" s="1"/>
  <c r="CW155"/>
  <c r="V155" s="1"/>
  <c r="FR155"/>
  <c r="GL155"/>
  <c r="GO155"/>
  <c r="GP155"/>
  <c r="GV155"/>
  <c r="HC155" s="1"/>
  <c r="GX155" s="1"/>
  <c r="HJ155"/>
  <c r="C156"/>
  <c r="D156"/>
  <c r="I156"/>
  <c r="K156"/>
  <c r="P156"/>
  <c r="CP156" s="1"/>
  <c r="O156" s="1"/>
  <c r="AC156"/>
  <c r="AD156"/>
  <c r="CR156" s="1"/>
  <c r="Q156" s="1"/>
  <c r="AE156"/>
  <c r="AF156"/>
  <c r="CT156" s="1"/>
  <c r="S156" s="1"/>
  <c r="AG156"/>
  <c r="AH156"/>
  <c r="CV156" s="1"/>
  <c r="U156" s="1"/>
  <c r="AI156"/>
  <c r="AJ156"/>
  <c r="CX156" s="1"/>
  <c r="W156" s="1"/>
  <c r="CQ156"/>
  <c r="CS156"/>
  <c r="R156" s="1"/>
  <c r="HI156" s="1"/>
  <c r="CU156"/>
  <c r="T156" s="1"/>
  <c r="CW156"/>
  <c r="V156" s="1"/>
  <c r="FR156"/>
  <c r="GL156"/>
  <c r="GO156"/>
  <c r="GP156"/>
  <c r="GV156"/>
  <c r="HC156" s="1"/>
  <c r="GX156" s="1"/>
  <c r="HJ156"/>
  <c r="C157"/>
  <c r="D157"/>
  <c r="I157"/>
  <c r="K157"/>
  <c r="P157"/>
  <c r="CP157" s="1"/>
  <c r="O157" s="1"/>
  <c r="AC157"/>
  <c r="AD157"/>
  <c r="CR157" s="1"/>
  <c r="Q157" s="1"/>
  <c r="AE157"/>
  <c r="AF157"/>
  <c r="CT157" s="1"/>
  <c r="S157" s="1"/>
  <c r="AG157"/>
  <c r="AH157"/>
  <c r="CV157" s="1"/>
  <c r="U157" s="1"/>
  <c r="AI157"/>
  <c r="AJ157"/>
  <c r="CX157" s="1"/>
  <c r="W157" s="1"/>
  <c r="CQ157"/>
  <c r="CS157"/>
  <c r="R157" s="1"/>
  <c r="HI157" s="1"/>
  <c r="CU157"/>
  <c r="T157" s="1"/>
  <c r="CW157"/>
  <c r="V157" s="1"/>
  <c r="FR157"/>
  <c r="GL157"/>
  <c r="GO157"/>
  <c r="GP157"/>
  <c r="GV157"/>
  <c r="HC157" s="1"/>
  <c r="GX157" s="1"/>
  <c r="HJ157"/>
  <c r="C159"/>
  <c r="D159"/>
  <c r="I159"/>
  <c r="K159"/>
  <c r="P159"/>
  <c r="CP159" s="1"/>
  <c r="O159" s="1"/>
  <c r="AC159"/>
  <c r="AD159"/>
  <c r="CR159" s="1"/>
  <c r="Q159" s="1"/>
  <c r="AE159"/>
  <c r="AF159"/>
  <c r="CT159" s="1"/>
  <c r="S159" s="1"/>
  <c r="AG159"/>
  <c r="AH159"/>
  <c r="CV159" s="1"/>
  <c r="U159" s="1"/>
  <c r="AI159"/>
  <c r="AJ159"/>
  <c r="CX159" s="1"/>
  <c r="W159" s="1"/>
  <c r="CQ159"/>
  <c r="CS159"/>
  <c r="R159" s="1"/>
  <c r="HI159" s="1"/>
  <c r="CU159"/>
  <c r="T159" s="1"/>
  <c r="CW159"/>
  <c r="V159" s="1"/>
  <c r="FR159"/>
  <c r="GL159"/>
  <c r="GO159"/>
  <c r="GP159"/>
  <c r="GV159"/>
  <c r="HC159" s="1"/>
  <c r="GX159" s="1"/>
  <c r="HJ159"/>
  <c r="C160"/>
  <c r="D160"/>
  <c r="I160"/>
  <c r="K160"/>
  <c r="P160"/>
  <c r="CP160" s="1"/>
  <c r="O160" s="1"/>
  <c r="AC160"/>
  <c r="AD160"/>
  <c r="CR160" s="1"/>
  <c r="Q160" s="1"/>
  <c r="AE160"/>
  <c r="AF160"/>
  <c r="CT160" s="1"/>
  <c r="S160" s="1"/>
  <c r="AG160"/>
  <c r="AH160"/>
  <c r="CV160" s="1"/>
  <c r="U160" s="1"/>
  <c r="AI160"/>
  <c r="AJ160"/>
  <c r="CX160" s="1"/>
  <c r="W160" s="1"/>
  <c r="CQ160"/>
  <c r="CS160"/>
  <c r="R160" s="1"/>
  <c r="HI160" s="1"/>
  <c r="CU160"/>
  <c r="T160" s="1"/>
  <c r="CW160"/>
  <c r="V160" s="1"/>
  <c r="FR160"/>
  <c r="GL160"/>
  <c r="GO160"/>
  <c r="GP160"/>
  <c r="GV160"/>
  <c r="HC160" s="1"/>
  <c r="GX160" s="1"/>
  <c r="HJ160"/>
  <c r="C161"/>
  <c r="D161"/>
  <c r="I161"/>
  <c r="K161"/>
  <c r="P161"/>
  <c r="CP161" s="1"/>
  <c r="O161" s="1"/>
  <c r="AC161"/>
  <c r="AD161"/>
  <c r="CR161" s="1"/>
  <c r="Q161" s="1"/>
  <c r="AE161"/>
  <c r="AF161"/>
  <c r="CT161" s="1"/>
  <c r="S161" s="1"/>
  <c r="AG161"/>
  <c r="AH161"/>
  <c r="CV161" s="1"/>
  <c r="U161" s="1"/>
  <c r="AI161"/>
  <c r="AJ161"/>
  <c r="CX161" s="1"/>
  <c r="W161" s="1"/>
  <c r="CQ161"/>
  <c r="CS161"/>
  <c r="R161" s="1"/>
  <c r="HI161" s="1"/>
  <c r="CU161"/>
  <c r="T161" s="1"/>
  <c r="CW161"/>
  <c r="V161" s="1"/>
  <c r="FR161"/>
  <c r="GL161"/>
  <c r="GO161"/>
  <c r="GP161"/>
  <c r="GV161"/>
  <c r="HC161" s="1"/>
  <c r="GX161" s="1"/>
  <c r="HJ161"/>
  <c r="C163"/>
  <c r="D163"/>
  <c r="I163"/>
  <c r="K163"/>
  <c r="P163"/>
  <c r="CP163" s="1"/>
  <c r="O163" s="1"/>
  <c r="AC163"/>
  <c r="AD163"/>
  <c r="CR163" s="1"/>
  <c r="Q163" s="1"/>
  <c r="AE163"/>
  <c r="AF163"/>
  <c r="CT163" s="1"/>
  <c r="S163" s="1"/>
  <c r="AG163"/>
  <c r="AH163"/>
  <c r="CV163" s="1"/>
  <c r="U163" s="1"/>
  <c r="AI163"/>
  <c r="AJ163"/>
  <c r="CX163" s="1"/>
  <c r="W163" s="1"/>
  <c r="CQ163"/>
  <c r="CS163"/>
  <c r="R163" s="1"/>
  <c r="HI163" s="1"/>
  <c r="CU163"/>
  <c r="T163" s="1"/>
  <c r="CW163"/>
  <c r="V163" s="1"/>
  <c r="FR163"/>
  <c r="GL163"/>
  <c r="GO163"/>
  <c r="GP163"/>
  <c r="GV163"/>
  <c r="HC163" s="1"/>
  <c r="GX163" s="1"/>
  <c r="HJ163"/>
  <c r="C164"/>
  <c r="D164"/>
  <c r="I164"/>
  <c r="K164"/>
  <c r="P164"/>
  <c r="CP164" s="1"/>
  <c r="O164" s="1"/>
  <c r="AC164"/>
  <c r="AD164"/>
  <c r="CR164" s="1"/>
  <c r="Q164" s="1"/>
  <c r="AE164"/>
  <c r="AF164"/>
  <c r="CT164" s="1"/>
  <c r="S164" s="1"/>
  <c r="AG164"/>
  <c r="AH164"/>
  <c r="CV164" s="1"/>
  <c r="U164" s="1"/>
  <c r="AI164"/>
  <c r="AJ164"/>
  <c r="CX164" s="1"/>
  <c r="W164" s="1"/>
  <c r="CQ164"/>
  <c r="CS164"/>
  <c r="R164" s="1"/>
  <c r="HI164" s="1"/>
  <c r="CU164"/>
  <c r="T164" s="1"/>
  <c r="CW164"/>
  <c r="V164" s="1"/>
  <c r="FR164"/>
  <c r="GL164"/>
  <c r="GO164"/>
  <c r="GP164"/>
  <c r="GV164"/>
  <c r="HC164" s="1"/>
  <c r="GX164" s="1"/>
  <c r="HJ164"/>
  <c r="C165"/>
  <c r="D165"/>
  <c r="I165"/>
  <c r="K165"/>
  <c r="P165"/>
  <c r="CP165" s="1"/>
  <c r="O165" s="1"/>
  <c r="AC165"/>
  <c r="AD165"/>
  <c r="CR165" s="1"/>
  <c r="Q165" s="1"/>
  <c r="AE165"/>
  <c r="AF165"/>
  <c r="CT165" s="1"/>
  <c r="S165" s="1"/>
  <c r="AG165"/>
  <c r="AH165"/>
  <c r="CV165" s="1"/>
  <c r="U165" s="1"/>
  <c r="AI165"/>
  <c r="AJ165"/>
  <c r="CX165" s="1"/>
  <c r="W165" s="1"/>
  <c r="CQ165"/>
  <c r="CS165"/>
  <c r="R165" s="1"/>
  <c r="HI165" s="1"/>
  <c r="CU165"/>
  <c r="T165" s="1"/>
  <c r="CW165"/>
  <c r="V165" s="1"/>
  <c r="FR165"/>
  <c r="GL165"/>
  <c r="GO165"/>
  <c r="GP165"/>
  <c r="GV165"/>
  <c r="HC165" s="1"/>
  <c r="GX165" s="1"/>
  <c r="HJ165"/>
  <c r="C166"/>
  <c r="D166"/>
  <c r="I166"/>
  <c r="K166"/>
  <c r="P166"/>
  <c r="CP166" s="1"/>
  <c r="O166" s="1"/>
  <c r="AC166"/>
  <c r="AD166"/>
  <c r="CR166" s="1"/>
  <c r="Q166" s="1"/>
  <c r="AE166"/>
  <c r="AF166"/>
  <c r="CT166" s="1"/>
  <c r="S166" s="1"/>
  <c r="AG166"/>
  <c r="AH166"/>
  <c r="CV166" s="1"/>
  <c r="U166" s="1"/>
  <c r="AI166"/>
  <c r="AJ166"/>
  <c r="CX166" s="1"/>
  <c r="W166" s="1"/>
  <c r="CQ166"/>
  <c r="CS166"/>
  <c r="R166" s="1"/>
  <c r="HI166" s="1"/>
  <c r="CU166"/>
  <c r="T166" s="1"/>
  <c r="CW166"/>
  <c r="V166" s="1"/>
  <c r="FR166"/>
  <c r="GL166"/>
  <c r="GO166"/>
  <c r="GP166"/>
  <c r="GV166"/>
  <c r="HC166" s="1"/>
  <c r="GX166" s="1"/>
  <c r="HJ166"/>
  <c r="C168"/>
  <c r="D168"/>
  <c r="I168"/>
  <c r="K168"/>
  <c r="P168"/>
  <c r="CP168" s="1"/>
  <c r="O168" s="1"/>
  <c r="AC168"/>
  <c r="AD168"/>
  <c r="CR168" s="1"/>
  <c r="Q168" s="1"/>
  <c r="AE168"/>
  <c r="AF168"/>
  <c r="CT168" s="1"/>
  <c r="S168" s="1"/>
  <c r="AG168"/>
  <c r="AH168"/>
  <c r="AI168"/>
  <c r="AJ168"/>
  <c r="CQ168"/>
  <c r="CS168"/>
  <c r="R168" s="1"/>
  <c r="CU168"/>
  <c r="T168" s="1"/>
  <c r="CV168"/>
  <c r="U168" s="1"/>
  <c r="CW168"/>
  <c r="V168" s="1"/>
  <c r="CX168"/>
  <c r="W168" s="1"/>
  <c r="FR168"/>
  <c r="GL168"/>
  <c r="GO168"/>
  <c r="GP168"/>
  <c r="GV168"/>
  <c r="HC168"/>
  <c r="GX168" s="1"/>
  <c r="HJ168"/>
  <c r="C169"/>
  <c r="D169"/>
  <c r="I169"/>
  <c r="K169"/>
  <c r="AC169"/>
  <c r="AD169"/>
  <c r="CR169" s="1"/>
  <c r="Q169" s="1"/>
  <c r="AE169"/>
  <c r="AF169"/>
  <c r="CT169" s="1"/>
  <c r="S169" s="1"/>
  <c r="AG169"/>
  <c r="AH169"/>
  <c r="CV169" s="1"/>
  <c r="U169" s="1"/>
  <c r="AI169"/>
  <c r="AJ169"/>
  <c r="CX169" s="1"/>
  <c r="W169" s="1"/>
  <c r="CQ169"/>
  <c r="P169" s="1"/>
  <c r="CP169" s="1"/>
  <c r="O169" s="1"/>
  <c r="CS169"/>
  <c r="R169" s="1"/>
  <c r="HI169" s="1"/>
  <c r="CU169"/>
  <c r="T169" s="1"/>
  <c r="CW169"/>
  <c r="V169" s="1"/>
  <c r="FR169"/>
  <c r="GL169"/>
  <c r="GO169"/>
  <c r="GP169"/>
  <c r="GV169"/>
  <c r="HC169"/>
  <c r="GX169" s="1"/>
  <c r="C170"/>
  <c r="D170"/>
  <c r="I170"/>
  <c r="K170"/>
  <c r="AC170"/>
  <c r="AD170"/>
  <c r="CR170" s="1"/>
  <c r="Q170" s="1"/>
  <c r="AE170"/>
  <c r="AF170"/>
  <c r="CT170" s="1"/>
  <c r="S170" s="1"/>
  <c r="AG170"/>
  <c r="AH170"/>
  <c r="CV170" s="1"/>
  <c r="U170" s="1"/>
  <c r="AI170"/>
  <c r="AJ170"/>
  <c r="CX170" s="1"/>
  <c r="W170" s="1"/>
  <c r="CQ170"/>
  <c r="P170" s="1"/>
  <c r="CP170" s="1"/>
  <c r="O170" s="1"/>
  <c r="CS170"/>
  <c r="R170" s="1"/>
  <c r="HI170" s="1"/>
  <c r="CU170"/>
  <c r="T170" s="1"/>
  <c r="CW170"/>
  <c r="V170" s="1"/>
  <c r="FR170"/>
  <c r="GL170"/>
  <c r="GO170"/>
  <c r="GP170"/>
  <c r="GV170"/>
  <c r="HC170"/>
  <c r="GX170" s="1"/>
  <c r="C171"/>
  <c r="D171"/>
  <c r="I171"/>
  <c r="K171"/>
  <c r="AC171"/>
  <c r="AD171"/>
  <c r="CR171" s="1"/>
  <c r="Q171" s="1"/>
  <c r="AE171"/>
  <c r="AF171"/>
  <c r="CT171" s="1"/>
  <c r="S171" s="1"/>
  <c r="AG171"/>
  <c r="AH171"/>
  <c r="CV171" s="1"/>
  <c r="U171" s="1"/>
  <c r="AI171"/>
  <c r="AJ171"/>
  <c r="CX171" s="1"/>
  <c r="W171" s="1"/>
  <c r="CQ171"/>
  <c r="P171" s="1"/>
  <c r="CP171" s="1"/>
  <c r="O171" s="1"/>
  <c r="CS171"/>
  <c r="R171" s="1"/>
  <c r="HI171" s="1"/>
  <c r="CU171"/>
  <c r="T171" s="1"/>
  <c r="CW171"/>
  <c r="V171" s="1"/>
  <c r="FR171"/>
  <c r="GL171"/>
  <c r="GO171"/>
  <c r="GP171"/>
  <c r="GV171"/>
  <c r="HC171"/>
  <c r="GX171" s="1"/>
  <c r="C173"/>
  <c r="D173"/>
  <c r="I173"/>
  <c r="K173"/>
  <c r="AC173"/>
  <c r="AB173" s="1"/>
  <c r="AE173"/>
  <c r="AD173" s="1"/>
  <c r="CR173" s="1"/>
  <c r="Q173" s="1"/>
  <c r="AF173"/>
  <c r="AG173"/>
  <c r="CU173" s="1"/>
  <c r="T173" s="1"/>
  <c r="AH173"/>
  <c r="AI173"/>
  <c r="CW173" s="1"/>
  <c r="V173" s="1"/>
  <c r="AJ173"/>
  <c r="CT173"/>
  <c r="S173" s="1"/>
  <c r="CV173"/>
  <c r="U173" s="1"/>
  <c r="CX173"/>
  <c r="W173" s="1"/>
  <c r="FR173"/>
  <c r="GL173"/>
  <c r="GO173"/>
  <c r="GP173"/>
  <c r="GV173"/>
  <c r="GX173"/>
  <c r="HC173"/>
  <c r="C174"/>
  <c r="D174"/>
  <c r="I174"/>
  <c r="K174"/>
  <c r="AC174"/>
  <c r="AE174"/>
  <c r="AD174" s="1"/>
  <c r="CR174" s="1"/>
  <c r="Q174" s="1"/>
  <c r="AF174"/>
  <c r="AG174"/>
  <c r="CU174" s="1"/>
  <c r="T174" s="1"/>
  <c r="AH174"/>
  <c r="AI174"/>
  <c r="CW174" s="1"/>
  <c r="V174" s="1"/>
  <c r="AJ174"/>
  <c r="CT174"/>
  <c r="S174" s="1"/>
  <c r="CV174"/>
  <c r="U174" s="1"/>
  <c r="CX174"/>
  <c r="W174" s="1"/>
  <c r="FR174"/>
  <c r="GL174"/>
  <c r="GO174"/>
  <c r="GP174"/>
  <c r="GV174"/>
  <c r="GX174"/>
  <c r="HC174"/>
  <c r="C175"/>
  <c r="D175"/>
  <c r="I175"/>
  <c r="K175"/>
  <c r="AC175"/>
  <c r="AB175" s="1"/>
  <c r="AE175"/>
  <c r="AD175" s="1"/>
  <c r="CR175" s="1"/>
  <c r="Q175" s="1"/>
  <c r="AF175"/>
  <c r="AG175"/>
  <c r="CU175" s="1"/>
  <c r="T175" s="1"/>
  <c r="AH175"/>
  <c r="AI175"/>
  <c r="CW175" s="1"/>
  <c r="V175" s="1"/>
  <c r="AJ175"/>
  <c r="CT175"/>
  <c r="S175" s="1"/>
  <c r="CV175"/>
  <c r="U175" s="1"/>
  <c r="CX175"/>
  <c r="W175" s="1"/>
  <c r="FR175"/>
  <c r="GL175"/>
  <c r="GO175"/>
  <c r="GP175"/>
  <c r="GV175"/>
  <c r="GX175"/>
  <c r="HC175"/>
  <c r="C176"/>
  <c r="D176"/>
  <c r="I176"/>
  <c r="K176"/>
  <c r="AC176"/>
  <c r="AE176"/>
  <c r="AD176" s="1"/>
  <c r="CR176" s="1"/>
  <c r="Q176" s="1"/>
  <c r="AF176"/>
  <c r="AG176"/>
  <c r="CU176" s="1"/>
  <c r="T176" s="1"/>
  <c r="AH176"/>
  <c r="AI176"/>
  <c r="CW176" s="1"/>
  <c r="V176" s="1"/>
  <c r="AJ176"/>
  <c r="CT176"/>
  <c r="S176" s="1"/>
  <c r="CV176"/>
  <c r="U176" s="1"/>
  <c r="CX176"/>
  <c r="W176" s="1"/>
  <c r="FR176"/>
  <c r="GL176"/>
  <c r="GO176"/>
  <c r="GP176"/>
  <c r="GV176"/>
  <c r="GX176"/>
  <c r="HC176"/>
  <c r="C177"/>
  <c r="D177"/>
  <c r="I177"/>
  <c r="K177"/>
  <c r="AC177"/>
  <c r="AB177" s="1"/>
  <c r="AE177"/>
  <c r="AD177" s="1"/>
  <c r="CR177" s="1"/>
  <c r="Q177" s="1"/>
  <c r="AF177"/>
  <c r="AG177"/>
  <c r="CU177" s="1"/>
  <c r="T177" s="1"/>
  <c r="AH177"/>
  <c r="AI177"/>
  <c r="CW177" s="1"/>
  <c r="V177" s="1"/>
  <c r="AJ177"/>
  <c r="CT177"/>
  <c r="S177" s="1"/>
  <c r="CV177"/>
  <c r="U177" s="1"/>
  <c r="CX177"/>
  <c r="W177" s="1"/>
  <c r="FR177"/>
  <c r="GL177"/>
  <c r="GO177"/>
  <c r="GP177"/>
  <c r="GV177"/>
  <c r="GX177"/>
  <c r="HC177"/>
  <c r="I178"/>
  <c r="AC178"/>
  <c r="AB178" s="1"/>
  <c r="AE178"/>
  <c r="AD178" s="1"/>
  <c r="CR178" s="1"/>
  <c r="Q178" s="1"/>
  <c r="AF178"/>
  <c r="AG178"/>
  <c r="CU178" s="1"/>
  <c r="T178" s="1"/>
  <c r="AH178"/>
  <c r="AI178"/>
  <c r="CW178" s="1"/>
  <c r="V178" s="1"/>
  <c r="AJ178"/>
  <c r="CT178"/>
  <c r="S178" s="1"/>
  <c r="CV178"/>
  <c r="U178" s="1"/>
  <c r="CX178"/>
  <c r="W178" s="1"/>
  <c r="FR178"/>
  <c r="GL178"/>
  <c r="GO178"/>
  <c r="GP178"/>
  <c r="GV178"/>
  <c r="GX178"/>
  <c r="HC178"/>
  <c r="AC179"/>
  <c r="AE179"/>
  <c r="AD179" s="1"/>
  <c r="CR179" s="1"/>
  <c r="Q179" s="1"/>
  <c r="AF179"/>
  <c r="AG179"/>
  <c r="CU179" s="1"/>
  <c r="T179" s="1"/>
  <c r="AH179"/>
  <c r="AI179"/>
  <c r="CW179" s="1"/>
  <c r="V179" s="1"/>
  <c r="AJ179"/>
  <c r="CT179"/>
  <c r="S179" s="1"/>
  <c r="CV179"/>
  <c r="U179" s="1"/>
  <c r="CX179"/>
  <c r="W179" s="1"/>
  <c r="FR179"/>
  <c r="GL179"/>
  <c r="GO179"/>
  <c r="GP179"/>
  <c r="GV179"/>
  <c r="GX179"/>
  <c r="HC179"/>
  <c r="HG179"/>
  <c r="AC180"/>
  <c r="AD180"/>
  <c r="CR180" s="1"/>
  <c r="Q180" s="1"/>
  <c r="AE180"/>
  <c r="AF180"/>
  <c r="CT180" s="1"/>
  <c r="S180" s="1"/>
  <c r="AG180"/>
  <c r="AH180"/>
  <c r="CV180" s="1"/>
  <c r="U180" s="1"/>
  <c r="AI180"/>
  <c r="AJ180"/>
  <c r="CX180" s="1"/>
  <c r="W180" s="1"/>
  <c r="CQ180"/>
  <c r="P180" s="1"/>
  <c r="CS180"/>
  <c r="R180" s="1"/>
  <c r="HI180" s="1"/>
  <c r="CU180"/>
  <c r="T180" s="1"/>
  <c r="CW180"/>
  <c r="V180" s="1"/>
  <c r="FR180"/>
  <c r="GL180"/>
  <c r="GO180"/>
  <c r="GP180"/>
  <c r="GV180"/>
  <c r="HC180"/>
  <c r="GX180" s="1"/>
  <c r="C182"/>
  <c r="D182"/>
  <c r="AC182"/>
  <c r="AD182"/>
  <c r="CR182" s="1"/>
  <c r="Q182" s="1"/>
  <c r="AE182"/>
  <c r="AF182"/>
  <c r="CT182" s="1"/>
  <c r="S182" s="1"/>
  <c r="AG182"/>
  <c r="AH182"/>
  <c r="CV182" s="1"/>
  <c r="U182" s="1"/>
  <c r="AI182"/>
  <c r="AJ182"/>
  <c r="CX182" s="1"/>
  <c r="W182" s="1"/>
  <c r="CQ182"/>
  <c r="P182" s="1"/>
  <c r="CS182"/>
  <c r="R182" s="1"/>
  <c r="HI182" s="1"/>
  <c r="CU182"/>
  <c r="T182" s="1"/>
  <c r="CW182"/>
  <c r="V182" s="1"/>
  <c r="FR182"/>
  <c r="GL182"/>
  <c r="GO182"/>
  <c r="GP182"/>
  <c r="GV182"/>
  <c r="HC182"/>
  <c r="GX182" s="1"/>
  <c r="C183"/>
  <c r="D183"/>
  <c r="AC183"/>
  <c r="AD183"/>
  <c r="CR183" s="1"/>
  <c r="Q183" s="1"/>
  <c r="AE183"/>
  <c r="AF183"/>
  <c r="CT183" s="1"/>
  <c r="S183" s="1"/>
  <c r="AG183"/>
  <c r="AH183"/>
  <c r="CV183" s="1"/>
  <c r="U183" s="1"/>
  <c r="AI183"/>
  <c r="AJ183"/>
  <c r="CX183" s="1"/>
  <c r="W183" s="1"/>
  <c r="CQ183"/>
  <c r="P183" s="1"/>
  <c r="CS183"/>
  <c r="R183" s="1"/>
  <c r="HI183" s="1"/>
  <c r="CU183"/>
  <c r="T183" s="1"/>
  <c r="CW183"/>
  <c r="V183" s="1"/>
  <c r="FR183"/>
  <c r="GL183"/>
  <c r="GO183"/>
  <c r="GP183"/>
  <c r="GV183"/>
  <c r="HC183"/>
  <c r="GX183" s="1"/>
  <c r="C184"/>
  <c r="D184"/>
  <c r="AC184"/>
  <c r="AE184"/>
  <c r="AD184" s="1"/>
  <c r="CR184" s="1"/>
  <c r="Q184" s="1"/>
  <c r="AF184"/>
  <c r="AG184"/>
  <c r="CU184" s="1"/>
  <c r="T184" s="1"/>
  <c r="AH184"/>
  <c r="AI184"/>
  <c r="CW184" s="1"/>
  <c r="V184" s="1"/>
  <c r="AJ184"/>
  <c r="CT184"/>
  <c r="S184" s="1"/>
  <c r="CV184"/>
  <c r="U184" s="1"/>
  <c r="CX184"/>
  <c r="W184" s="1"/>
  <c r="FR184"/>
  <c r="GL184"/>
  <c r="GO184"/>
  <c r="GP184"/>
  <c r="GV184"/>
  <c r="GX184"/>
  <c r="HC184"/>
  <c r="B186"/>
  <c r="B66" s="1"/>
  <c r="C186"/>
  <c r="C66" s="1"/>
  <c r="D186"/>
  <c r="D66" s="1"/>
  <c r="F186"/>
  <c r="F66" s="1"/>
  <c r="G186"/>
  <c r="G66" s="1"/>
  <c r="BX186"/>
  <c r="BX66" s="1"/>
  <c r="BZ186"/>
  <c r="BZ66" s="1"/>
  <c r="CD186"/>
  <c r="CD66" s="1"/>
  <c r="CK186"/>
  <c r="CK66" s="1"/>
  <c r="CL186"/>
  <c r="CL66" s="1"/>
  <c r="D219"/>
  <c r="E221"/>
  <c r="G221"/>
  <c r="Z221"/>
  <c r="AA221"/>
  <c r="AM221"/>
  <c r="AN221"/>
  <c r="BE221"/>
  <c r="BF221"/>
  <c r="BG221"/>
  <c r="BH221"/>
  <c r="BI221"/>
  <c r="BJ221"/>
  <c r="BK221"/>
  <c r="BL221"/>
  <c r="BM221"/>
  <c r="BN221"/>
  <c r="BO221"/>
  <c r="BP221"/>
  <c r="BQ221"/>
  <c r="BR221"/>
  <c r="BS221"/>
  <c r="BT221"/>
  <c r="BU221"/>
  <c r="BV221"/>
  <c r="BW221"/>
  <c r="CN221"/>
  <c r="CO221"/>
  <c r="CP221"/>
  <c r="CQ221"/>
  <c r="CR221"/>
  <c r="CS221"/>
  <c r="CT221"/>
  <c r="CU221"/>
  <c r="CV221"/>
  <c r="CW221"/>
  <c r="CX221"/>
  <c r="CY221"/>
  <c r="CZ221"/>
  <c r="DA221"/>
  <c r="DB221"/>
  <c r="DC221"/>
  <c r="DD221"/>
  <c r="DE221"/>
  <c r="DF221"/>
  <c r="DG221"/>
  <c r="DH221"/>
  <c r="DI221"/>
  <c r="DJ221"/>
  <c r="DK221"/>
  <c r="DL221"/>
  <c r="DM221"/>
  <c r="DN221"/>
  <c r="DO221"/>
  <c r="DP221"/>
  <c r="DQ221"/>
  <c r="DR221"/>
  <c r="DS221"/>
  <c r="DT221"/>
  <c r="DU221"/>
  <c r="DV221"/>
  <c r="DW221"/>
  <c r="DX221"/>
  <c r="DY221"/>
  <c r="DZ221"/>
  <c r="EA221"/>
  <c r="EB221"/>
  <c r="EC221"/>
  <c r="ED221"/>
  <c r="EE221"/>
  <c r="EF221"/>
  <c r="EG221"/>
  <c r="EH221"/>
  <c r="EI221"/>
  <c r="EJ221"/>
  <c r="EK221"/>
  <c r="EL221"/>
  <c r="EM221"/>
  <c r="EN221"/>
  <c r="EO221"/>
  <c r="EP221"/>
  <c r="EQ221"/>
  <c r="ER221"/>
  <c r="ES221"/>
  <c r="ET221"/>
  <c r="EU221"/>
  <c r="EV221"/>
  <c r="EW221"/>
  <c r="EX221"/>
  <c r="EY221"/>
  <c r="EZ221"/>
  <c r="FA221"/>
  <c r="FB221"/>
  <c r="FC221"/>
  <c r="FD221"/>
  <c r="FE221"/>
  <c r="FF221"/>
  <c r="FG221"/>
  <c r="FH221"/>
  <c r="FI221"/>
  <c r="FJ221"/>
  <c r="FK221"/>
  <c r="FL221"/>
  <c r="FM221"/>
  <c r="FN221"/>
  <c r="FO221"/>
  <c r="FP221"/>
  <c r="FQ221"/>
  <c r="FR221"/>
  <c r="FS221"/>
  <c r="FT221"/>
  <c r="FU221"/>
  <c r="FV221"/>
  <c r="FW221"/>
  <c r="FX221"/>
  <c r="FY221"/>
  <c r="FZ221"/>
  <c r="GA221"/>
  <c r="GB221"/>
  <c r="GC221"/>
  <c r="GD221"/>
  <c r="GE221"/>
  <c r="GF221"/>
  <c r="GG221"/>
  <c r="GH221"/>
  <c r="GI221"/>
  <c r="GJ221"/>
  <c r="GK221"/>
  <c r="GL221"/>
  <c r="GM221"/>
  <c r="GN221"/>
  <c r="GO221"/>
  <c r="GP221"/>
  <c r="GQ221"/>
  <c r="GR221"/>
  <c r="GS221"/>
  <c r="GT221"/>
  <c r="GU221"/>
  <c r="GV221"/>
  <c r="GW221"/>
  <c r="GX221"/>
  <c r="C223"/>
  <c r="D223"/>
  <c r="I223"/>
  <c r="K223"/>
  <c r="AC223"/>
  <c r="AD223"/>
  <c r="CR223" s="1"/>
  <c r="Q223" s="1"/>
  <c r="AE223"/>
  <c r="AF223"/>
  <c r="CT223" s="1"/>
  <c r="S223" s="1"/>
  <c r="AG223"/>
  <c r="AH223"/>
  <c r="CV223" s="1"/>
  <c r="U223" s="1"/>
  <c r="AI223"/>
  <c r="AJ223"/>
  <c r="CX223" s="1"/>
  <c r="W223" s="1"/>
  <c r="CQ223"/>
  <c r="P223" s="1"/>
  <c r="CS223"/>
  <c r="R223" s="1"/>
  <c r="HI223" s="1"/>
  <c r="CU223"/>
  <c r="T223" s="1"/>
  <c r="CW223"/>
  <c r="V223" s="1"/>
  <c r="FR223"/>
  <c r="GL223"/>
  <c r="GO223"/>
  <c r="GP223"/>
  <c r="GV223"/>
  <c r="HC223"/>
  <c r="GX223" s="1"/>
  <c r="C224"/>
  <c r="D224"/>
  <c r="I224"/>
  <c r="K224"/>
  <c r="AC224"/>
  <c r="AD224"/>
  <c r="CR224" s="1"/>
  <c r="Q224" s="1"/>
  <c r="AE224"/>
  <c r="AF224"/>
  <c r="CT224" s="1"/>
  <c r="S224" s="1"/>
  <c r="AG224"/>
  <c r="AH224"/>
  <c r="CV224" s="1"/>
  <c r="U224" s="1"/>
  <c r="AI224"/>
  <c r="AJ224"/>
  <c r="CX224" s="1"/>
  <c r="W224" s="1"/>
  <c r="CQ224"/>
  <c r="P224" s="1"/>
  <c r="CS224"/>
  <c r="R224" s="1"/>
  <c r="HI224" s="1"/>
  <c r="CU224"/>
  <c r="T224" s="1"/>
  <c r="CW224"/>
  <c r="V224" s="1"/>
  <c r="FR224"/>
  <c r="GL224"/>
  <c r="GO224"/>
  <c r="GP224"/>
  <c r="GV224"/>
  <c r="HC224"/>
  <c r="GX224" s="1"/>
  <c r="C225"/>
  <c r="D225"/>
  <c r="I225"/>
  <c r="K225"/>
  <c r="AC225"/>
  <c r="AD225"/>
  <c r="CR225" s="1"/>
  <c r="Q225" s="1"/>
  <c r="AE225"/>
  <c r="AF225"/>
  <c r="CT225" s="1"/>
  <c r="S225" s="1"/>
  <c r="AG225"/>
  <c r="AH225"/>
  <c r="CV225" s="1"/>
  <c r="U225" s="1"/>
  <c r="AI225"/>
  <c r="AJ225"/>
  <c r="CX225" s="1"/>
  <c r="W225" s="1"/>
  <c r="CQ225"/>
  <c r="P225" s="1"/>
  <c r="CS225"/>
  <c r="R225" s="1"/>
  <c r="HI225" s="1"/>
  <c r="CU225"/>
  <c r="T225" s="1"/>
  <c r="CW225"/>
  <c r="V225" s="1"/>
  <c r="FR225"/>
  <c r="GL225"/>
  <c r="GO225"/>
  <c r="GP225"/>
  <c r="GV225"/>
  <c r="HC225"/>
  <c r="GX225" s="1"/>
  <c r="C226"/>
  <c r="D226"/>
  <c r="AC226"/>
  <c r="AD226"/>
  <c r="CR226" s="1"/>
  <c r="Q226" s="1"/>
  <c r="AE226"/>
  <c r="AF226"/>
  <c r="CT226" s="1"/>
  <c r="S226" s="1"/>
  <c r="AG226"/>
  <c r="AH226"/>
  <c r="CV226" s="1"/>
  <c r="U226" s="1"/>
  <c r="AI226"/>
  <c r="AJ226"/>
  <c r="CX226" s="1"/>
  <c r="W226" s="1"/>
  <c r="CQ226"/>
  <c r="P226" s="1"/>
  <c r="CS226"/>
  <c r="R226" s="1"/>
  <c r="HI226" s="1"/>
  <c r="CU226"/>
  <c r="T226" s="1"/>
  <c r="CW226"/>
  <c r="V226" s="1"/>
  <c r="FR226"/>
  <c r="GL226"/>
  <c r="GO226"/>
  <c r="GP226"/>
  <c r="GV226"/>
  <c r="HC226"/>
  <c r="GX226" s="1"/>
  <c r="C227"/>
  <c r="D227"/>
  <c r="I227"/>
  <c r="K227"/>
  <c r="AC227"/>
  <c r="AD227"/>
  <c r="CR227" s="1"/>
  <c r="Q227" s="1"/>
  <c r="AE227"/>
  <c r="AF227"/>
  <c r="CT227" s="1"/>
  <c r="S227" s="1"/>
  <c r="AG227"/>
  <c r="AH227"/>
  <c r="CV227" s="1"/>
  <c r="U227" s="1"/>
  <c r="AI227"/>
  <c r="AJ227"/>
  <c r="CX227" s="1"/>
  <c r="W227" s="1"/>
  <c r="CQ227"/>
  <c r="P227" s="1"/>
  <c r="CS227"/>
  <c r="R227" s="1"/>
  <c r="HI227" s="1"/>
  <c r="CU227"/>
  <c r="T227" s="1"/>
  <c r="CW227"/>
  <c r="V227" s="1"/>
  <c r="FR227"/>
  <c r="GL227"/>
  <c r="GO227"/>
  <c r="GP227"/>
  <c r="GV227"/>
  <c r="HC227"/>
  <c r="GX227" s="1"/>
  <c r="C228"/>
  <c r="D228"/>
  <c r="I228"/>
  <c r="K228"/>
  <c r="AC228"/>
  <c r="AD228"/>
  <c r="CR228" s="1"/>
  <c r="Q228" s="1"/>
  <c r="AE228"/>
  <c r="AF228"/>
  <c r="CT228" s="1"/>
  <c r="S228" s="1"/>
  <c r="AG228"/>
  <c r="AH228"/>
  <c r="CV228" s="1"/>
  <c r="U228" s="1"/>
  <c r="AI228"/>
  <c r="AJ228"/>
  <c r="CX228" s="1"/>
  <c r="W228" s="1"/>
  <c r="CQ228"/>
  <c r="P228" s="1"/>
  <c r="CS228"/>
  <c r="R228" s="1"/>
  <c r="HI228" s="1"/>
  <c r="CU228"/>
  <c r="T228" s="1"/>
  <c r="CW228"/>
  <c r="V228" s="1"/>
  <c r="FR228"/>
  <c r="GL228"/>
  <c r="GO228"/>
  <c r="GP228"/>
  <c r="GV228"/>
  <c r="HC228"/>
  <c r="GX228" s="1"/>
  <c r="AC229"/>
  <c r="AD229"/>
  <c r="CR229" s="1"/>
  <c r="Q229" s="1"/>
  <c r="AE229"/>
  <c r="AF229"/>
  <c r="CT229" s="1"/>
  <c r="S229" s="1"/>
  <c r="AG229"/>
  <c r="AH229"/>
  <c r="CV229" s="1"/>
  <c r="U229" s="1"/>
  <c r="AI229"/>
  <c r="AJ229"/>
  <c r="CX229" s="1"/>
  <c r="W229" s="1"/>
  <c r="CQ229"/>
  <c r="P229" s="1"/>
  <c r="CS229"/>
  <c r="R229" s="1"/>
  <c r="HI229" s="1"/>
  <c r="CU229"/>
  <c r="T229" s="1"/>
  <c r="CW229"/>
  <c r="V229" s="1"/>
  <c r="FR229"/>
  <c r="GL229"/>
  <c r="GO229"/>
  <c r="GP229"/>
  <c r="GV229"/>
  <c r="HC229"/>
  <c r="GX229" s="1"/>
  <c r="C230"/>
  <c r="D230"/>
  <c r="I230"/>
  <c r="K230"/>
  <c r="AC230"/>
  <c r="AD230"/>
  <c r="CR230" s="1"/>
  <c r="Q230" s="1"/>
  <c r="AE230"/>
  <c r="AF230"/>
  <c r="CT230" s="1"/>
  <c r="S230" s="1"/>
  <c r="AG230"/>
  <c r="AH230"/>
  <c r="CV230" s="1"/>
  <c r="U230" s="1"/>
  <c r="AI230"/>
  <c r="AJ230"/>
  <c r="CX230" s="1"/>
  <c r="W230" s="1"/>
  <c r="CQ230"/>
  <c r="P230" s="1"/>
  <c r="CS230"/>
  <c r="R230" s="1"/>
  <c r="HI230" s="1"/>
  <c r="CU230"/>
  <c r="T230" s="1"/>
  <c r="CW230"/>
  <c r="V230" s="1"/>
  <c r="FR230"/>
  <c r="GL230"/>
  <c r="GO230"/>
  <c r="GP230"/>
  <c r="GV230"/>
  <c r="HC230"/>
  <c r="GX230" s="1"/>
  <c r="C231"/>
  <c r="D231"/>
  <c r="AC231"/>
  <c r="AD231"/>
  <c r="CR231" s="1"/>
  <c r="Q231" s="1"/>
  <c r="AE231"/>
  <c r="AF231"/>
  <c r="CT231" s="1"/>
  <c r="S231" s="1"/>
  <c r="AG231"/>
  <c r="AH231"/>
  <c r="CV231" s="1"/>
  <c r="U231" s="1"/>
  <c r="AI231"/>
  <c r="AJ231"/>
  <c r="CX231" s="1"/>
  <c r="W231" s="1"/>
  <c r="CQ231"/>
  <c r="P231" s="1"/>
  <c r="CS231"/>
  <c r="R231" s="1"/>
  <c r="HI231" s="1"/>
  <c r="CU231"/>
  <c r="T231" s="1"/>
  <c r="CW231"/>
  <c r="V231" s="1"/>
  <c r="FR231"/>
  <c r="GL231"/>
  <c r="GO231"/>
  <c r="GP231"/>
  <c r="GV231"/>
  <c r="HC231"/>
  <c r="GX231" s="1"/>
  <c r="C232"/>
  <c r="D232"/>
  <c r="I232"/>
  <c r="K232"/>
  <c r="AC232"/>
  <c r="AD232"/>
  <c r="CR232" s="1"/>
  <c r="Q232" s="1"/>
  <c r="AE232"/>
  <c r="AF232"/>
  <c r="CT232" s="1"/>
  <c r="S232" s="1"/>
  <c r="AG232"/>
  <c r="AH232"/>
  <c r="CV232" s="1"/>
  <c r="U232" s="1"/>
  <c r="AI232"/>
  <c r="AJ232"/>
  <c r="CX232" s="1"/>
  <c r="W232" s="1"/>
  <c r="CQ232"/>
  <c r="P232" s="1"/>
  <c r="CS232"/>
  <c r="R232" s="1"/>
  <c r="HI232" s="1"/>
  <c r="CU232"/>
  <c r="T232" s="1"/>
  <c r="CW232"/>
  <c r="V232" s="1"/>
  <c r="FR232"/>
  <c r="GL232"/>
  <c r="GO232"/>
  <c r="GP232"/>
  <c r="GV232"/>
  <c r="HC232"/>
  <c r="GX232" s="1"/>
  <c r="C233"/>
  <c r="D233"/>
  <c r="I233"/>
  <c r="K233"/>
  <c r="AC233"/>
  <c r="AD233"/>
  <c r="CR233" s="1"/>
  <c r="Q233" s="1"/>
  <c r="AE233"/>
  <c r="AF233"/>
  <c r="CT233" s="1"/>
  <c r="S233" s="1"/>
  <c r="AG233"/>
  <c r="AH233"/>
  <c r="CV233" s="1"/>
  <c r="U233" s="1"/>
  <c r="AI233"/>
  <c r="AJ233"/>
  <c r="CX233" s="1"/>
  <c r="W233" s="1"/>
  <c r="CQ233"/>
  <c r="P233" s="1"/>
  <c r="CS233"/>
  <c r="R233" s="1"/>
  <c r="HI233" s="1"/>
  <c r="CU233"/>
  <c r="T233" s="1"/>
  <c r="CW233"/>
  <c r="V233" s="1"/>
  <c r="FR233"/>
  <c r="GL233"/>
  <c r="GO233"/>
  <c r="GP233"/>
  <c r="GV233"/>
  <c r="HC233"/>
  <c r="GX233" s="1"/>
  <c r="C234"/>
  <c r="D234"/>
  <c r="I234"/>
  <c r="K234"/>
  <c r="AC234"/>
  <c r="AD234"/>
  <c r="CR234" s="1"/>
  <c r="Q234" s="1"/>
  <c r="AE234"/>
  <c r="AF234"/>
  <c r="CT234" s="1"/>
  <c r="S234" s="1"/>
  <c r="AG234"/>
  <c r="AH234"/>
  <c r="CV234" s="1"/>
  <c r="U234" s="1"/>
  <c r="AI234"/>
  <c r="AJ234"/>
  <c r="CX234" s="1"/>
  <c r="W234" s="1"/>
  <c r="CQ234"/>
  <c r="P234" s="1"/>
  <c r="CS234"/>
  <c r="R234" s="1"/>
  <c r="HI234" s="1"/>
  <c r="CU234"/>
  <c r="T234" s="1"/>
  <c r="CW234"/>
  <c r="V234" s="1"/>
  <c r="FR234"/>
  <c r="GL234"/>
  <c r="GO234"/>
  <c r="GP234"/>
  <c r="GV234"/>
  <c r="HC234"/>
  <c r="GX234" s="1"/>
  <c r="C235"/>
  <c r="D235"/>
  <c r="I235"/>
  <c r="K235"/>
  <c r="AC235"/>
  <c r="AD235"/>
  <c r="CR235" s="1"/>
  <c r="Q235" s="1"/>
  <c r="AE235"/>
  <c r="AF235"/>
  <c r="CT235" s="1"/>
  <c r="S235" s="1"/>
  <c r="AG235"/>
  <c r="AH235"/>
  <c r="CV235" s="1"/>
  <c r="U235" s="1"/>
  <c r="AI235"/>
  <c r="AJ235"/>
  <c r="CX235" s="1"/>
  <c r="W235" s="1"/>
  <c r="CQ235"/>
  <c r="P235" s="1"/>
  <c r="CS235"/>
  <c r="R235" s="1"/>
  <c r="HI235" s="1"/>
  <c r="CU235"/>
  <c r="T235" s="1"/>
  <c r="CW235"/>
  <c r="V235" s="1"/>
  <c r="FR235"/>
  <c r="GL235"/>
  <c r="GO235"/>
  <c r="GP235"/>
  <c r="GV235"/>
  <c r="HC235"/>
  <c r="GX235" s="1"/>
  <c r="C236"/>
  <c r="D236"/>
  <c r="I236"/>
  <c r="K236"/>
  <c r="AC236"/>
  <c r="AD236"/>
  <c r="CR236" s="1"/>
  <c r="Q236" s="1"/>
  <c r="AE236"/>
  <c r="AF236"/>
  <c r="CT236" s="1"/>
  <c r="S236" s="1"/>
  <c r="AG236"/>
  <c r="AH236"/>
  <c r="CV236" s="1"/>
  <c r="U236" s="1"/>
  <c r="AI236"/>
  <c r="AJ236"/>
  <c r="CX236" s="1"/>
  <c r="W236" s="1"/>
  <c r="CQ236"/>
  <c r="P236" s="1"/>
  <c r="CS236"/>
  <c r="R236" s="1"/>
  <c r="HI236" s="1"/>
  <c r="CU236"/>
  <c r="T236" s="1"/>
  <c r="CW236"/>
  <c r="V236" s="1"/>
  <c r="FR236"/>
  <c r="GL236"/>
  <c r="GO236"/>
  <c r="GP236"/>
  <c r="GV236"/>
  <c r="HC236"/>
  <c r="GX236" s="1"/>
  <c r="C237"/>
  <c r="D237"/>
  <c r="I237"/>
  <c r="K237"/>
  <c r="AC237"/>
  <c r="AD237"/>
  <c r="CR237" s="1"/>
  <c r="Q237" s="1"/>
  <c r="AE237"/>
  <c r="AF237"/>
  <c r="CT237" s="1"/>
  <c r="S237" s="1"/>
  <c r="AG237"/>
  <c r="AH237"/>
  <c r="CV237" s="1"/>
  <c r="U237" s="1"/>
  <c r="AI237"/>
  <c r="AJ237"/>
  <c r="CX237" s="1"/>
  <c r="W237" s="1"/>
  <c r="CQ237"/>
  <c r="P237" s="1"/>
  <c r="CS237"/>
  <c r="R237" s="1"/>
  <c r="HI237" s="1"/>
  <c r="CU237"/>
  <c r="T237" s="1"/>
  <c r="CW237"/>
  <c r="V237" s="1"/>
  <c r="FR237"/>
  <c r="GL237"/>
  <c r="GO237"/>
  <c r="GP237"/>
  <c r="GV237"/>
  <c r="HC237"/>
  <c r="GX237" s="1"/>
  <c r="C238"/>
  <c r="D238"/>
  <c r="I238"/>
  <c r="K238"/>
  <c r="AC238"/>
  <c r="AD238"/>
  <c r="CR238" s="1"/>
  <c r="Q238" s="1"/>
  <c r="AE238"/>
  <c r="AF238"/>
  <c r="CT238" s="1"/>
  <c r="S238" s="1"/>
  <c r="AG238"/>
  <c r="AH238"/>
  <c r="CV238" s="1"/>
  <c r="U238" s="1"/>
  <c r="AI238"/>
  <c r="AJ238"/>
  <c r="CX238" s="1"/>
  <c r="W238" s="1"/>
  <c r="CQ238"/>
  <c r="P238" s="1"/>
  <c r="CS238"/>
  <c r="R238" s="1"/>
  <c r="HI238" s="1"/>
  <c r="CU238"/>
  <c r="T238" s="1"/>
  <c r="CW238"/>
  <c r="V238" s="1"/>
  <c r="FR238"/>
  <c r="GL238"/>
  <c r="GO238"/>
  <c r="GP238"/>
  <c r="GV238"/>
  <c r="HC238"/>
  <c r="GX238" s="1"/>
  <c r="C239"/>
  <c r="D239"/>
  <c r="I239"/>
  <c r="K239"/>
  <c r="AC239"/>
  <c r="AD239"/>
  <c r="CR239" s="1"/>
  <c r="Q239" s="1"/>
  <c r="AE239"/>
  <c r="AF239"/>
  <c r="CT239" s="1"/>
  <c r="S239" s="1"/>
  <c r="AG239"/>
  <c r="AH239"/>
  <c r="CV239" s="1"/>
  <c r="U239" s="1"/>
  <c r="AI239"/>
  <c r="AJ239"/>
  <c r="CX239" s="1"/>
  <c r="W239" s="1"/>
  <c r="CQ239"/>
  <c r="P239" s="1"/>
  <c r="CS239"/>
  <c r="R239" s="1"/>
  <c r="HI239" s="1"/>
  <c r="CU239"/>
  <c r="T239" s="1"/>
  <c r="CW239"/>
  <c r="V239" s="1"/>
  <c r="FR239"/>
  <c r="GL239"/>
  <c r="GO239"/>
  <c r="GP239"/>
  <c r="GV239"/>
  <c r="HC239"/>
  <c r="GX239" s="1"/>
  <c r="C240"/>
  <c r="D240"/>
  <c r="I240"/>
  <c r="K240"/>
  <c r="AC240"/>
  <c r="AD240"/>
  <c r="CR240" s="1"/>
  <c r="Q240" s="1"/>
  <c r="AE240"/>
  <c r="AF240"/>
  <c r="CT240" s="1"/>
  <c r="S240" s="1"/>
  <c r="AG240"/>
  <c r="AH240"/>
  <c r="CV240" s="1"/>
  <c r="U240" s="1"/>
  <c r="AI240"/>
  <c r="AJ240"/>
  <c r="CX240" s="1"/>
  <c r="W240" s="1"/>
  <c r="CQ240"/>
  <c r="P240" s="1"/>
  <c r="CS240"/>
  <c r="R240" s="1"/>
  <c r="HI240" s="1"/>
  <c r="CU240"/>
  <c r="T240" s="1"/>
  <c r="CW240"/>
  <c r="V240" s="1"/>
  <c r="FR240"/>
  <c r="GL240"/>
  <c r="GO240"/>
  <c r="GP240"/>
  <c r="GV240"/>
  <c r="HC240"/>
  <c r="GX240" s="1"/>
  <c r="C241"/>
  <c r="D241"/>
  <c r="I241"/>
  <c r="K241"/>
  <c r="AC241"/>
  <c r="AD241"/>
  <c r="CR241" s="1"/>
  <c r="Q241" s="1"/>
  <c r="AE241"/>
  <c r="AF241"/>
  <c r="CT241" s="1"/>
  <c r="S241" s="1"/>
  <c r="AG241"/>
  <c r="AH241"/>
  <c r="CV241" s="1"/>
  <c r="U241" s="1"/>
  <c r="AI241"/>
  <c r="AJ241"/>
  <c r="CX241" s="1"/>
  <c r="W241" s="1"/>
  <c r="CQ241"/>
  <c r="P241" s="1"/>
  <c r="CS241"/>
  <c r="R241" s="1"/>
  <c r="HI241" s="1"/>
  <c r="CU241"/>
  <c r="T241" s="1"/>
  <c r="CW241"/>
  <c r="V241" s="1"/>
  <c r="FR241"/>
  <c r="GL241"/>
  <c r="GO241"/>
  <c r="GP241"/>
  <c r="GV241"/>
  <c r="HC241"/>
  <c r="GX241" s="1"/>
  <c r="C242"/>
  <c r="D242"/>
  <c r="I242"/>
  <c r="K242"/>
  <c r="AC242"/>
  <c r="AD242"/>
  <c r="CR242" s="1"/>
  <c r="Q242" s="1"/>
  <c r="AE242"/>
  <c r="AF242"/>
  <c r="CT242" s="1"/>
  <c r="S242" s="1"/>
  <c r="AG242"/>
  <c r="AH242"/>
  <c r="CV242" s="1"/>
  <c r="U242" s="1"/>
  <c r="AI242"/>
  <c r="AJ242"/>
  <c r="CX242" s="1"/>
  <c r="W242" s="1"/>
  <c r="CQ242"/>
  <c r="P242" s="1"/>
  <c r="CS242"/>
  <c r="R242" s="1"/>
  <c r="HI242" s="1"/>
  <c r="CU242"/>
  <c r="T242" s="1"/>
  <c r="CW242"/>
  <c r="V242" s="1"/>
  <c r="FR242"/>
  <c r="GL242"/>
  <c r="GO242"/>
  <c r="GP242"/>
  <c r="GV242"/>
  <c r="HC242"/>
  <c r="GX242" s="1"/>
  <c r="I243"/>
  <c r="K243"/>
  <c r="AC243"/>
  <c r="AD243"/>
  <c r="CR243" s="1"/>
  <c r="Q243" s="1"/>
  <c r="AE243"/>
  <c r="AF243"/>
  <c r="CT243" s="1"/>
  <c r="S243" s="1"/>
  <c r="AG243"/>
  <c r="AH243"/>
  <c r="CV243" s="1"/>
  <c r="U243" s="1"/>
  <c r="AI243"/>
  <c r="AJ243"/>
  <c r="CX243" s="1"/>
  <c r="W243" s="1"/>
  <c r="CQ243"/>
  <c r="P243" s="1"/>
  <c r="CS243"/>
  <c r="R243" s="1"/>
  <c r="HI243" s="1"/>
  <c r="CU243"/>
  <c r="T243" s="1"/>
  <c r="CW243"/>
  <c r="V243" s="1"/>
  <c r="FR243"/>
  <c r="GL243"/>
  <c r="GO243"/>
  <c r="GP243"/>
  <c r="GV243"/>
  <c r="HC243"/>
  <c r="GX243" s="1"/>
  <c r="AC244"/>
  <c r="AD244"/>
  <c r="CR244" s="1"/>
  <c r="Q244" s="1"/>
  <c r="AE244"/>
  <c r="AF244"/>
  <c r="CT244" s="1"/>
  <c r="S244" s="1"/>
  <c r="AG244"/>
  <c r="AH244"/>
  <c r="CV244" s="1"/>
  <c r="U244" s="1"/>
  <c r="AI244"/>
  <c r="AJ244"/>
  <c r="CX244" s="1"/>
  <c r="W244" s="1"/>
  <c r="CQ244"/>
  <c r="P244" s="1"/>
  <c r="CS244"/>
  <c r="R244" s="1"/>
  <c r="HI244" s="1"/>
  <c r="CU244"/>
  <c r="T244" s="1"/>
  <c r="CW244"/>
  <c r="V244" s="1"/>
  <c r="FR244"/>
  <c r="GL244"/>
  <c r="GO244"/>
  <c r="GP244"/>
  <c r="GV244"/>
  <c r="HC244"/>
  <c r="GX244" s="1"/>
  <c r="C245"/>
  <c r="D245"/>
  <c r="I245"/>
  <c r="K245"/>
  <c r="AC245"/>
  <c r="AD245"/>
  <c r="CR245" s="1"/>
  <c r="Q245" s="1"/>
  <c r="AE245"/>
  <c r="AF245"/>
  <c r="CT245" s="1"/>
  <c r="S245" s="1"/>
  <c r="AG245"/>
  <c r="AH245"/>
  <c r="CV245" s="1"/>
  <c r="U245" s="1"/>
  <c r="AI245"/>
  <c r="AJ245"/>
  <c r="CX245" s="1"/>
  <c r="W245" s="1"/>
  <c r="CQ245"/>
  <c r="P245" s="1"/>
  <c r="CS245"/>
  <c r="R245" s="1"/>
  <c r="HI245" s="1"/>
  <c r="CU245"/>
  <c r="T245" s="1"/>
  <c r="CW245"/>
  <c r="V245" s="1"/>
  <c r="FR245"/>
  <c r="GL245"/>
  <c r="GO245"/>
  <c r="GP245"/>
  <c r="GV245"/>
  <c r="HC245"/>
  <c r="GX245" s="1"/>
  <c r="C246"/>
  <c r="D246"/>
  <c r="I246"/>
  <c r="K246"/>
  <c r="AC246"/>
  <c r="AD246"/>
  <c r="CR246" s="1"/>
  <c r="Q246" s="1"/>
  <c r="AE246"/>
  <c r="AF246"/>
  <c r="CT246" s="1"/>
  <c r="S246" s="1"/>
  <c r="AG246"/>
  <c r="AH246"/>
  <c r="CV246" s="1"/>
  <c r="U246" s="1"/>
  <c r="AI246"/>
  <c r="AJ246"/>
  <c r="CX246" s="1"/>
  <c r="W246" s="1"/>
  <c r="CQ246"/>
  <c r="P246" s="1"/>
  <c r="CS246"/>
  <c r="R246" s="1"/>
  <c r="HI246" s="1"/>
  <c r="CU246"/>
  <c r="T246" s="1"/>
  <c r="CW246"/>
  <c r="V246" s="1"/>
  <c r="FR246"/>
  <c r="GL246"/>
  <c r="GO246"/>
  <c r="GP246"/>
  <c r="GV246"/>
  <c r="HC246"/>
  <c r="GX246" s="1"/>
  <c r="C247"/>
  <c r="D247"/>
  <c r="AC247"/>
  <c r="AD247"/>
  <c r="CR247" s="1"/>
  <c r="Q247" s="1"/>
  <c r="AE247"/>
  <c r="AF247"/>
  <c r="CT247" s="1"/>
  <c r="S247" s="1"/>
  <c r="AG247"/>
  <c r="AH247"/>
  <c r="CV247" s="1"/>
  <c r="U247" s="1"/>
  <c r="AI247"/>
  <c r="AJ247"/>
  <c r="CX247" s="1"/>
  <c r="W247" s="1"/>
  <c r="CQ247"/>
  <c r="P247" s="1"/>
  <c r="CS247"/>
  <c r="R247" s="1"/>
  <c r="HI247" s="1"/>
  <c r="CU247"/>
  <c r="T247" s="1"/>
  <c r="CW247"/>
  <c r="V247" s="1"/>
  <c r="FR247"/>
  <c r="GL247"/>
  <c r="GO247"/>
  <c r="GP247"/>
  <c r="GV247"/>
  <c r="HC247"/>
  <c r="GX247" s="1"/>
  <c r="AC248"/>
  <c r="AD248"/>
  <c r="CR248" s="1"/>
  <c r="Q248" s="1"/>
  <c r="AE248"/>
  <c r="AF248"/>
  <c r="CT248" s="1"/>
  <c r="S248" s="1"/>
  <c r="AG248"/>
  <c r="AH248"/>
  <c r="CV248" s="1"/>
  <c r="U248" s="1"/>
  <c r="AI248"/>
  <c r="AJ248"/>
  <c r="CX248" s="1"/>
  <c r="W248" s="1"/>
  <c r="CQ248"/>
  <c r="P248" s="1"/>
  <c r="CS248"/>
  <c r="R248" s="1"/>
  <c r="CU248"/>
  <c r="T248" s="1"/>
  <c r="CW248"/>
  <c r="V248" s="1"/>
  <c r="FR248"/>
  <c r="GL248"/>
  <c r="GO248"/>
  <c r="GP248"/>
  <c r="GV248"/>
  <c r="HC248" s="1"/>
  <c r="GX248" s="1"/>
  <c r="HG248"/>
  <c r="C249"/>
  <c r="D249"/>
  <c r="U249"/>
  <c r="AC249"/>
  <c r="AE249"/>
  <c r="AF249"/>
  <c r="AG249"/>
  <c r="CU249" s="1"/>
  <c r="T249" s="1"/>
  <c r="AH249"/>
  <c r="AI249"/>
  <c r="CW249" s="1"/>
  <c r="V249" s="1"/>
  <c r="AJ249"/>
  <c r="CT249"/>
  <c r="S249" s="1"/>
  <c r="CV249"/>
  <c r="CX249"/>
  <c r="W249" s="1"/>
  <c r="FR249"/>
  <c r="GL249"/>
  <c r="GO249"/>
  <c r="GP249"/>
  <c r="GV249"/>
  <c r="GX249"/>
  <c r="HC249"/>
  <c r="I250"/>
  <c r="GX250" s="1"/>
  <c r="K250"/>
  <c r="S250"/>
  <c r="W250"/>
  <c r="AC250"/>
  <c r="AE250"/>
  <c r="AF250"/>
  <c r="AG250"/>
  <c r="CU250" s="1"/>
  <c r="AH250"/>
  <c r="AI250"/>
  <c r="CW250" s="1"/>
  <c r="AJ250"/>
  <c r="CT250"/>
  <c r="CV250"/>
  <c r="U250" s="1"/>
  <c r="CX250"/>
  <c r="FR250"/>
  <c r="GL250"/>
  <c r="GO250"/>
  <c r="GP250"/>
  <c r="GV250"/>
  <c r="HC250"/>
  <c r="I251"/>
  <c r="K251"/>
  <c r="U251"/>
  <c r="AC251"/>
  <c r="AE251"/>
  <c r="AF251"/>
  <c r="AG251"/>
  <c r="CU251" s="1"/>
  <c r="T251" s="1"/>
  <c r="AH251"/>
  <c r="AI251"/>
  <c r="CW251" s="1"/>
  <c r="V251" s="1"/>
  <c r="AJ251"/>
  <c r="CT251"/>
  <c r="S251" s="1"/>
  <c r="CV251"/>
  <c r="CX251"/>
  <c r="W251" s="1"/>
  <c r="FR251"/>
  <c r="GL251"/>
  <c r="GO251"/>
  <c r="GP251"/>
  <c r="GV251"/>
  <c r="GX251"/>
  <c r="HC251"/>
  <c r="S252"/>
  <c r="W252"/>
  <c r="AC252"/>
  <c r="AE252"/>
  <c r="AF252"/>
  <c r="AG252"/>
  <c r="CU252" s="1"/>
  <c r="T252" s="1"/>
  <c r="AH252"/>
  <c r="AI252"/>
  <c r="CW252" s="1"/>
  <c r="V252" s="1"/>
  <c r="AJ252"/>
  <c r="CT252"/>
  <c r="CV252"/>
  <c r="U252" s="1"/>
  <c r="CX252"/>
  <c r="FR252"/>
  <c r="GL252"/>
  <c r="GO252"/>
  <c r="GP252"/>
  <c r="GV252"/>
  <c r="GX252"/>
  <c r="HC252"/>
  <c r="I253"/>
  <c r="K253"/>
  <c r="U253"/>
  <c r="AC253"/>
  <c r="AE253"/>
  <c r="AF253"/>
  <c r="AG253"/>
  <c r="CU253" s="1"/>
  <c r="T253" s="1"/>
  <c r="AH253"/>
  <c r="AI253"/>
  <c r="CW253" s="1"/>
  <c r="V253" s="1"/>
  <c r="AJ253"/>
  <c r="CT253"/>
  <c r="S253" s="1"/>
  <c r="CV253"/>
  <c r="CX253"/>
  <c r="W253" s="1"/>
  <c r="FR253"/>
  <c r="GL253"/>
  <c r="GO253"/>
  <c r="GP253"/>
  <c r="GV253"/>
  <c r="GX253"/>
  <c r="HC253"/>
  <c r="C254"/>
  <c r="D254"/>
  <c r="S254"/>
  <c r="W254"/>
  <c r="AC254"/>
  <c r="AE254"/>
  <c r="AF254"/>
  <c r="AG254"/>
  <c r="CU254" s="1"/>
  <c r="T254" s="1"/>
  <c r="AH254"/>
  <c r="AI254"/>
  <c r="CW254" s="1"/>
  <c r="V254" s="1"/>
  <c r="AJ254"/>
  <c r="CT254"/>
  <c r="CV254"/>
  <c r="U254" s="1"/>
  <c r="CX254"/>
  <c r="FR254"/>
  <c r="GL254"/>
  <c r="GO254"/>
  <c r="GP254"/>
  <c r="GV254"/>
  <c r="GX254"/>
  <c r="HC254"/>
  <c r="C255"/>
  <c r="D255"/>
  <c r="I255"/>
  <c r="CX579" i="3" s="1"/>
  <c r="K255" i="1"/>
  <c r="U255"/>
  <c r="AC255"/>
  <c r="AE255"/>
  <c r="AF255"/>
  <c r="AG255"/>
  <c r="CU255" s="1"/>
  <c r="T255" s="1"/>
  <c r="AH255"/>
  <c r="AI255"/>
  <c r="CW255" s="1"/>
  <c r="V255" s="1"/>
  <c r="AJ255"/>
  <c r="CT255"/>
  <c r="S255" s="1"/>
  <c r="CV255"/>
  <c r="CX255"/>
  <c r="W255" s="1"/>
  <c r="FR255"/>
  <c r="GL255"/>
  <c r="GO255"/>
  <c r="GP255"/>
  <c r="GV255"/>
  <c r="GX255"/>
  <c r="HC255"/>
  <c r="C256"/>
  <c r="D256"/>
  <c r="I256"/>
  <c r="K256"/>
  <c r="S256"/>
  <c r="W256"/>
  <c r="AC256"/>
  <c r="AE256"/>
  <c r="AF256"/>
  <c r="AG256"/>
  <c r="CU256" s="1"/>
  <c r="AH256"/>
  <c r="AI256"/>
  <c r="CW256" s="1"/>
  <c r="AJ256"/>
  <c r="CT256"/>
  <c r="CV256"/>
  <c r="U256" s="1"/>
  <c r="CX256"/>
  <c r="FR256"/>
  <c r="GL256"/>
  <c r="GO256"/>
  <c r="GP256"/>
  <c r="GV256"/>
  <c r="HC256"/>
  <c r="AC257"/>
  <c r="AE257"/>
  <c r="AF257"/>
  <c r="AG257"/>
  <c r="CU257" s="1"/>
  <c r="AH257"/>
  <c r="AI257"/>
  <c r="CW257" s="1"/>
  <c r="AJ257"/>
  <c r="CT257"/>
  <c r="CV257"/>
  <c r="CX257"/>
  <c r="FR257"/>
  <c r="GL257"/>
  <c r="GO257"/>
  <c r="GP257"/>
  <c r="GV257"/>
  <c r="HC257"/>
  <c r="U258"/>
  <c r="AC258"/>
  <c r="AE258"/>
  <c r="AF258"/>
  <c r="AG258"/>
  <c r="CU258" s="1"/>
  <c r="T258" s="1"/>
  <c r="AH258"/>
  <c r="AI258"/>
  <c r="CW258" s="1"/>
  <c r="V258" s="1"/>
  <c r="AJ258"/>
  <c r="CT258"/>
  <c r="S258" s="1"/>
  <c r="CV258"/>
  <c r="CX258"/>
  <c r="W258" s="1"/>
  <c r="FR258"/>
  <c r="GL258"/>
  <c r="GO258"/>
  <c r="GP258"/>
  <c r="GV258"/>
  <c r="GX258"/>
  <c r="HC258"/>
  <c r="HG258"/>
  <c r="C259"/>
  <c r="D259"/>
  <c r="I259"/>
  <c r="K259"/>
  <c r="AC259"/>
  <c r="AD259"/>
  <c r="CR259" s="1"/>
  <c r="Q259" s="1"/>
  <c r="AE259"/>
  <c r="AF259"/>
  <c r="CT259" s="1"/>
  <c r="S259" s="1"/>
  <c r="AG259"/>
  <c r="AH259"/>
  <c r="CV259" s="1"/>
  <c r="U259" s="1"/>
  <c r="AI259"/>
  <c r="AJ259"/>
  <c r="CX259" s="1"/>
  <c r="W259" s="1"/>
  <c r="CQ259"/>
  <c r="P259" s="1"/>
  <c r="CP259" s="1"/>
  <c r="O259" s="1"/>
  <c r="CS259"/>
  <c r="R259" s="1"/>
  <c r="HI259" s="1"/>
  <c r="CU259"/>
  <c r="T259" s="1"/>
  <c r="CW259"/>
  <c r="V259" s="1"/>
  <c r="FR259"/>
  <c r="GL259"/>
  <c r="GO259"/>
  <c r="GP259"/>
  <c r="GV259"/>
  <c r="HC259"/>
  <c r="GX259" s="1"/>
  <c r="C260"/>
  <c r="D260"/>
  <c r="I260"/>
  <c r="K260"/>
  <c r="AC260"/>
  <c r="AD260"/>
  <c r="CR260" s="1"/>
  <c r="Q260" s="1"/>
  <c r="AE260"/>
  <c r="AF260"/>
  <c r="CT260" s="1"/>
  <c r="S260" s="1"/>
  <c r="AG260"/>
  <c r="AH260"/>
  <c r="CV260" s="1"/>
  <c r="U260" s="1"/>
  <c r="AI260"/>
  <c r="AJ260"/>
  <c r="CX260" s="1"/>
  <c r="W260" s="1"/>
  <c r="CQ260"/>
  <c r="P260" s="1"/>
  <c r="CP260" s="1"/>
  <c r="O260" s="1"/>
  <c r="CS260"/>
  <c r="R260" s="1"/>
  <c r="HI260" s="1"/>
  <c r="CU260"/>
  <c r="T260" s="1"/>
  <c r="CW260"/>
  <c r="V260" s="1"/>
  <c r="FR260"/>
  <c r="GL260"/>
  <c r="GO260"/>
  <c r="GP260"/>
  <c r="GV260"/>
  <c r="HC260"/>
  <c r="GX260" s="1"/>
  <c r="C261"/>
  <c r="D261"/>
  <c r="I261"/>
  <c r="K261"/>
  <c r="AC261"/>
  <c r="AD261"/>
  <c r="CR261" s="1"/>
  <c r="Q261" s="1"/>
  <c r="AE261"/>
  <c r="AF261"/>
  <c r="CT261" s="1"/>
  <c r="S261" s="1"/>
  <c r="AG261"/>
  <c r="AH261"/>
  <c r="CV261" s="1"/>
  <c r="U261" s="1"/>
  <c r="AI261"/>
  <c r="AJ261"/>
  <c r="CX261" s="1"/>
  <c r="W261" s="1"/>
  <c r="CQ261"/>
  <c r="P261" s="1"/>
  <c r="CP261" s="1"/>
  <c r="O261" s="1"/>
  <c r="CS261"/>
  <c r="R261" s="1"/>
  <c r="HI261" s="1"/>
  <c r="CU261"/>
  <c r="T261" s="1"/>
  <c r="CW261"/>
  <c r="V261" s="1"/>
  <c r="FR261"/>
  <c r="GL261"/>
  <c r="GO261"/>
  <c r="GP261"/>
  <c r="GV261"/>
  <c r="HC261"/>
  <c r="GX261" s="1"/>
  <c r="C262"/>
  <c r="D262"/>
  <c r="I262"/>
  <c r="K262"/>
  <c r="AC262"/>
  <c r="AD262"/>
  <c r="CR262" s="1"/>
  <c r="Q262" s="1"/>
  <c r="AE262"/>
  <c r="AF262"/>
  <c r="CT262" s="1"/>
  <c r="S262" s="1"/>
  <c r="AG262"/>
  <c r="AH262"/>
  <c r="CV262" s="1"/>
  <c r="U262" s="1"/>
  <c r="AI262"/>
  <c r="AJ262"/>
  <c r="CX262" s="1"/>
  <c r="W262" s="1"/>
  <c r="CQ262"/>
  <c r="P262" s="1"/>
  <c r="CP262" s="1"/>
  <c r="O262" s="1"/>
  <c r="CS262"/>
  <c r="R262" s="1"/>
  <c r="HI262" s="1"/>
  <c r="CU262"/>
  <c r="T262" s="1"/>
  <c r="CW262"/>
  <c r="V262" s="1"/>
  <c r="FR262"/>
  <c r="GL262"/>
  <c r="GO262"/>
  <c r="GP262"/>
  <c r="GV262"/>
  <c r="HC262"/>
  <c r="GX262" s="1"/>
  <c r="C263"/>
  <c r="D263"/>
  <c r="I263"/>
  <c r="K263"/>
  <c r="AC263"/>
  <c r="AD263"/>
  <c r="CR263" s="1"/>
  <c r="Q263" s="1"/>
  <c r="AE263"/>
  <c r="AF263"/>
  <c r="CT263" s="1"/>
  <c r="S263" s="1"/>
  <c r="AG263"/>
  <c r="AH263"/>
  <c r="CV263" s="1"/>
  <c r="U263" s="1"/>
  <c r="AI263"/>
  <c r="AJ263"/>
  <c r="CX263" s="1"/>
  <c r="W263" s="1"/>
  <c r="CQ263"/>
  <c r="P263" s="1"/>
  <c r="CP263" s="1"/>
  <c r="O263" s="1"/>
  <c r="CS263"/>
  <c r="R263" s="1"/>
  <c r="HI263" s="1"/>
  <c r="CU263"/>
  <c r="T263" s="1"/>
  <c r="CW263"/>
  <c r="V263" s="1"/>
  <c r="FR263"/>
  <c r="GL263"/>
  <c r="GO263"/>
  <c r="GP263"/>
  <c r="GV263"/>
  <c r="HC263"/>
  <c r="GX263" s="1"/>
  <c r="C264"/>
  <c r="D264"/>
  <c r="I264"/>
  <c r="K264"/>
  <c r="AC264"/>
  <c r="AD264"/>
  <c r="CR264" s="1"/>
  <c r="Q264" s="1"/>
  <c r="AE264"/>
  <c r="AF264"/>
  <c r="CT264" s="1"/>
  <c r="S264" s="1"/>
  <c r="AG264"/>
  <c r="AH264"/>
  <c r="CV264" s="1"/>
  <c r="U264" s="1"/>
  <c r="AI264"/>
  <c r="AJ264"/>
  <c r="CX264" s="1"/>
  <c r="W264" s="1"/>
  <c r="CQ264"/>
  <c r="P264" s="1"/>
  <c r="CP264" s="1"/>
  <c r="O264" s="1"/>
  <c r="CS264"/>
  <c r="R264" s="1"/>
  <c r="HI264" s="1"/>
  <c r="CU264"/>
  <c r="T264" s="1"/>
  <c r="CW264"/>
  <c r="V264" s="1"/>
  <c r="FR264"/>
  <c r="GL264"/>
  <c r="GO264"/>
  <c r="GP264"/>
  <c r="GV264"/>
  <c r="HC264"/>
  <c r="GX264" s="1"/>
  <c r="I265"/>
  <c r="K265"/>
  <c r="AC265"/>
  <c r="AD265"/>
  <c r="CR265" s="1"/>
  <c r="Q265" s="1"/>
  <c r="AE265"/>
  <c r="AF265"/>
  <c r="CT265" s="1"/>
  <c r="S265" s="1"/>
  <c r="AG265"/>
  <c r="AH265"/>
  <c r="CV265" s="1"/>
  <c r="U265" s="1"/>
  <c r="AI265"/>
  <c r="AJ265"/>
  <c r="CX265" s="1"/>
  <c r="W265" s="1"/>
  <c r="CQ265"/>
  <c r="P265" s="1"/>
  <c r="CP265" s="1"/>
  <c r="O265" s="1"/>
  <c r="CS265"/>
  <c r="R265" s="1"/>
  <c r="HI265" s="1"/>
  <c r="CU265"/>
  <c r="T265" s="1"/>
  <c r="CW265"/>
  <c r="V265" s="1"/>
  <c r="FR265"/>
  <c r="GL265"/>
  <c r="GO265"/>
  <c r="GP265"/>
  <c r="GV265"/>
  <c r="HC265"/>
  <c r="GX265" s="1"/>
  <c r="AC266"/>
  <c r="AD266"/>
  <c r="CR266" s="1"/>
  <c r="Q266" s="1"/>
  <c r="AE266"/>
  <c r="AF266"/>
  <c r="CT266" s="1"/>
  <c r="S266" s="1"/>
  <c r="AG266"/>
  <c r="AH266"/>
  <c r="CV266" s="1"/>
  <c r="U266" s="1"/>
  <c r="AI266"/>
  <c r="AJ266"/>
  <c r="CX266" s="1"/>
  <c r="W266" s="1"/>
  <c r="CQ266"/>
  <c r="P266" s="1"/>
  <c r="CP266" s="1"/>
  <c r="O266" s="1"/>
  <c r="CS266"/>
  <c r="R266" s="1"/>
  <c r="HI266" s="1"/>
  <c r="CU266"/>
  <c r="T266" s="1"/>
  <c r="CW266"/>
  <c r="V266" s="1"/>
  <c r="FR266"/>
  <c r="GL266"/>
  <c r="GO266"/>
  <c r="GP266"/>
  <c r="GV266"/>
  <c r="HC266"/>
  <c r="GX266" s="1"/>
  <c r="C267"/>
  <c r="D267"/>
  <c r="I267"/>
  <c r="K267"/>
  <c r="AC267"/>
  <c r="AD267"/>
  <c r="CR267" s="1"/>
  <c r="Q267" s="1"/>
  <c r="AE267"/>
  <c r="AF267"/>
  <c r="CT267" s="1"/>
  <c r="S267" s="1"/>
  <c r="AG267"/>
  <c r="AH267"/>
  <c r="CV267" s="1"/>
  <c r="U267" s="1"/>
  <c r="AI267"/>
  <c r="AJ267"/>
  <c r="CX267" s="1"/>
  <c r="W267" s="1"/>
  <c r="CQ267"/>
  <c r="P267" s="1"/>
  <c r="CP267" s="1"/>
  <c r="O267" s="1"/>
  <c r="CS267"/>
  <c r="R267" s="1"/>
  <c r="HI267" s="1"/>
  <c r="CU267"/>
  <c r="T267" s="1"/>
  <c r="CW267"/>
  <c r="V267" s="1"/>
  <c r="FR267"/>
  <c r="GL267"/>
  <c r="GO267"/>
  <c r="GP267"/>
  <c r="GV267"/>
  <c r="HC267"/>
  <c r="GX267" s="1"/>
  <c r="C268"/>
  <c r="D268"/>
  <c r="I268"/>
  <c r="K268"/>
  <c r="AC268"/>
  <c r="AD268"/>
  <c r="CR268" s="1"/>
  <c r="Q268" s="1"/>
  <c r="AE268"/>
  <c r="AF268"/>
  <c r="CT268" s="1"/>
  <c r="S268" s="1"/>
  <c r="AG268"/>
  <c r="AH268"/>
  <c r="CV268" s="1"/>
  <c r="U268" s="1"/>
  <c r="AI268"/>
  <c r="AJ268"/>
  <c r="CX268" s="1"/>
  <c r="W268" s="1"/>
  <c r="CQ268"/>
  <c r="P268" s="1"/>
  <c r="CP268" s="1"/>
  <c r="O268" s="1"/>
  <c r="CS268"/>
  <c r="R268" s="1"/>
  <c r="HI268" s="1"/>
  <c r="CU268"/>
  <c r="T268" s="1"/>
  <c r="CW268"/>
  <c r="V268" s="1"/>
  <c r="FR268"/>
  <c r="GL268"/>
  <c r="GO268"/>
  <c r="GP268"/>
  <c r="GV268"/>
  <c r="HC268"/>
  <c r="GX268" s="1"/>
  <c r="I269"/>
  <c r="K269"/>
  <c r="AC269"/>
  <c r="AD269"/>
  <c r="CR269" s="1"/>
  <c r="Q269" s="1"/>
  <c r="AE269"/>
  <c r="AF269"/>
  <c r="CT269" s="1"/>
  <c r="S269" s="1"/>
  <c r="AG269"/>
  <c r="AH269"/>
  <c r="CV269" s="1"/>
  <c r="U269" s="1"/>
  <c r="AI269"/>
  <c r="AJ269"/>
  <c r="CX269" s="1"/>
  <c r="W269" s="1"/>
  <c r="CQ269"/>
  <c r="P269" s="1"/>
  <c r="CP269" s="1"/>
  <c r="O269" s="1"/>
  <c r="CS269"/>
  <c r="R269" s="1"/>
  <c r="HI269" s="1"/>
  <c r="CU269"/>
  <c r="T269" s="1"/>
  <c r="CW269"/>
  <c r="V269" s="1"/>
  <c r="FR269"/>
  <c r="GL269"/>
  <c r="GN269"/>
  <c r="GP269"/>
  <c r="GV269"/>
  <c r="HC269" s="1"/>
  <c r="GX269" s="1"/>
  <c r="HJ269"/>
  <c r="AC270"/>
  <c r="AD270"/>
  <c r="CR270" s="1"/>
  <c r="Q270" s="1"/>
  <c r="AE270"/>
  <c r="AF270"/>
  <c r="CT270" s="1"/>
  <c r="S270" s="1"/>
  <c r="AG270"/>
  <c r="AH270"/>
  <c r="CV270" s="1"/>
  <c r="U270" s="1"/>
  <c r="AI270"/>
  <c r="AJ270"/>
  <c r="CX270" s="1"/>
  <c r="W270" s="1"/>
  <c r="CQ270"/>
  <c r="P270" s="1"/>
  <c r="CP270" s="1"/>
  <c r="O270" s="1"/>
  <c r="CS270"/>
  <c r="R270" s="1"/>
  <c r="CU270"/>
  <c r="T270" s="1"/>
  <c r="CW270"/>
  <c r="V270" s="1"/>
  <c r="FR270"/>
  <c r="GL270"/>
  <c r="GN270"/>
  <c r="GP270"/>
  <c r="GV270"/>
  <c r="HC270"/>
  <c r="GX270" s="1"/>
  <c r="HJ270"/>
  <c r="C271"/>
  <c r="D271"/>
  <c r="I271"/>
  <c r="K271"/>
  <c r="AC271"/>
  <c r="AD271"/>
  <c r="CR271" s="1"/>
  <c r="Q271" s="1"/>
  <c r="AE271"/>
  <c r="AF271"/>
  <c r="CT271" s="1"/>
  <c r="S271" s="1"/>
  <c r="AG271"/>
  <c r="AH271"/>
  <c r="CV271" s="1"/>
  <c r="U271" s="1"/>
  <c r="AI271"/>
  <c r="AJ271"/>
  <c r="CX271" s="1"/>
  <c r="W271" s="1"/>
  <c r="CQ271"/>
  <c r="P271" s="1"/>
  <c r="CP271" s="1"/>
  <c r="O271" s="1"/>
  <c r="CS271"/>
  <c r="R271" s="1"/>
  <c r="HI271" s="1"/>
  <c r="CU271"/>
  <c r="T271" s="1"/>
  <c r="CW271"/>
  <c r="V271" s="1"/>
  <c r="FR271"/>
  <c r="GL271"/>
  <c r="GO271"/>
  <c r="GP271"/>
  <c r="GV271"/>
  <c r="HC271"/>
  <c r="GX271" s="1"/>
  <c r="C272"/>
  <c r="D272"/>
  <c r="I272"/>
  <c r="K272"/>
  <c r="AC272"/>
  <c r="AD272"/>
  <c r="CR272" s="1"/>
  <c r="Q272" s="1"/>
  <c r="AE272"/>
  <c r="AF272"/>
  <c r="CT272" s="1"/>
  <c r="S272" s="1"/>
  <c r="AG272"/>
  <c r="AH272"/>
  <c r="CV272" s="1"/>
  <c r="U272" s="1"/>
  <c r="AI272"/>
  <c r="AJ272"/>
  <c r="CX272" s="1"/>
  <c r="W272" s="1"/>
  <c r="CQ272"/>
  <c r="P272" s="1"/>
  <c r="CP272" s="1"/>
  <c r="O272" s="1"/>
  <c r="CS272"/>
  <c r="R272" s="1"/>
  <c r="HI272" s="1"/>
  <c r="CU272"/>
  <c r="T272" s="1"/>
  <c r="CW272"/>
  <c r="V272" s="1"/>
  <c r="FR272"/>
  <c r="GL272"/>
  <c r="GO272"/>
  <c r="GP272"/>
  <c r="GV272"/>
  <c r="HC272"/>
  <c r="GX272" s="1"/>
  <c r="C273"/>
  <c r="D273"/>
  <c r="I273"/>
  <c r="K273"/>
  <c r="AC273"/>
  <c r="AD273"/>
  <c r="CR273" s="1"/>
  <c r="Q273" s="1"/>
  <c r="AE273"/>
  <c r="AF273"/>
  <c r="CT273" s="1"/>
  <c r="S273" s="1"/>
  <c r="AG273"/>
  <c r="AH273"/>
  <c r="CV273" s="1"/>
  <c r="U273" s="1"/>
  <c r="AI273"/>
  <c r="AJ273"/>
  <c r="CX273" s="1"/>
  <c r="W273" s="1"/>
  <c r="CQ273"/>
  <c r="P273" s="1"/>
  <c r="CP273" s="1"/>
  <c r="O273" s="1"/>
  <c r="CS273"/>
  <c r="R273" s="1"/>
  <c r="HI273" s="1"/>
  <c r="CU273"/>
  <c r="T273" s="1"/>
  <c r="CW273"/>
  <c r="V273" s="1"/>
  <c r="FR273"/>
  <c r="GL273"/>
  <c r="GO273"/>
  <c r="GP273"/>
  <c r="GV273"/>
  <c r="HC273"/>
  <c r="GX273" s="1"/>
  <c r="C274"/>
  <c r="D274"/>
  <c r="I274"/>
  <c r="K274"/>
  <c r="AC274"/>
  <c r="AD274"/>
  <c r="CR274" s="1"/>
  <c r="Q274" s="1"/>
  <c r="AE274"/>
  <c r="AF274"/>
  <c r="CT274" s="1"/>
  <c r="S274" s="1"/>
  <c r="AG274"/>
  <c r="AH274"/>
  <c r="CV274" s="1"/>
  <c r="U274" s="1"/>
  <c r="AI274"/>
  <c r="AJ274"/>
  <c r="CX274" s="1"/>
  <c r="W274" s="1"/>
  <c r="CQ274"/>
  <c r="P274" s="1"/>
  <c r="CP274" s="1"/>
  <c r="O274" s="1"/>
  <c r="CS274"/>
  <c r="R274" s="1"/>
  <c r="HI274" s="1"/>
  <c r="CU274"/>
  <c r="T274" s="1"/>
  <c r="CW274"/>
  <c r="V274" s="1"/>
  <c r="FR274"/>
  <c r="GL274"/>
  <c r="GO274"/>
  <c r="GP274"/>
  <c r="GV274"/>
  <c r="HC274"/>
  <c r="GX274" s="1"/>
  <c r="AC275"/>
  <c r="AD275"/>
  <c r="CR275" s="1"/>
  <c r="Q275" s="1"/>
  <c r="AE275"/>
  <c r="AF275"/>
  <c r="CT275" s="1"/>
  <c r="S275" s="1"/>
  <c r="AG275"/>
  <c r="AH275"/>
  <c r="CV275" s="1"/>
  <c r="U275" s="1"/>
  <c r="AI275"/>
  <c r="AJ275"/>
  <c r="CX275" s="1"/>
  <c r="W275" s="1"/>
  <c r="CQ275"/>
  <c r="P275" s="1"/>
  <c r="CP275" s="1"/>
  <c r="O275" s="1"/>
  <c r="CS275"/>
  <c r="R275" s="1"/>
  <c r="HI275" s="1"/>
  <c r="CU275"/>
  <c r="T275" s="1"/>
  <c r="CW275"/>
  <c r="V275" s="1"/>
  <c r="FR275"/>
  <c r="GL275"/>
  <c r="GO275"/>
  <c r="GP275"/>
  <c r="GV275"/>
  <c r="HC275"/>
  <c r="GX275" s="1"/>
  <c r="C276"/>
  <c r="D276"/>
  <c r="I276"/>
  <c r="K276"/>
  <c r="AC276"/>
  <c r="AD276"/>
  <c r="CR276" s="1"/>
  <c r="Q276" s="1"/>
  <c r="AE276"/>
  <c r="AF276"/>
  <c r="CT276" s="1"/>
  <c r="S276" s="1"/>
  <c r="AG276"/>
  <c r="AH276"/>
  <c r="CV276" s="1"/>
  <c r="U276" s="1"/>
  <c r="AI276"/>
  <c r="AJ276"/>
  <c r="CX276" s="1"/>
  <c r="W276" s="1"/>
  <c r="CQ276"/>
  <c r="P276" s="1"/>
  <c r="CP276" s="1"/>
  <c r="O276" s="1"/>
  <c r="CS276"/>
  <c r="R276" s="1"/>
  <c r="HI276" s="1"/>
  <c r="CU276"/>
  <c r="T276" s="1"/>
  <c r="CW276"/>
  <c r="V276" s="1"/>
  <c r="FR276"/>
  <c r="GL276"/>
  <c r="GO276"/>
  <c r="GP276"/>
  <c r="GV276"/>
  <c r="HC276"/>
  <c r="GX276" s="1"/>
  <c r="AC277"/>
  <c r="AD277"/>
  <c r="CR277" s="1"/>
  <c r="Q277" s="1"/>
  <c r="AE277"/>
  <c r="AF277"/>
  <c r="CT277" s="1"/>
  <c r="S277" s="1"/>
  <c r="AG277"/>
  <c r="AH277"/>
  <c r="CV277" s="1"/>
  <c r="U277" s="1"/>
  <c r="AI277"/>
  <c r="AJ277"/>
  <c r="CX277" s="1"/>
  <c r="W277" s="1"/>
  <c r="CQ277"/>
  <c r="P277" s="1"/>
  <c r="CP277" s="1"/>
  <c r="O277" s="1"/>
  <c r="CS277"/>
  <c r="R277" s="1"/>
  <c r="HI277" s="1"/>
  <c r="CU277"/>
  <c r="T277" s="1"/>
  <c r="CW277"/>
  <c r="V277" s="1"/>
  <c r="FR277"/>
  <c r="GL277"/>
  <c r="GO277"/>
  <c r="GP277"/>
  <c r="GV277"/>
  <c r="HC277"/>
  <c r="GX277" s="1"/>
  <c r="C279"/>
  <c r="D279"/>
  <c r="I279"/>
  <c r="K279"/>
  <c r="AC279"/>
  <c r="AD279"/>
  <c r="CR279" s="1"/>
  <c r="Q279" s="1"/>
  <c r="AE279"/>
  <c r="AF279"/>
  <c r="CT279" s="1"/>
  <c r="S279" s="1"/>
  <c r="AG279"/>
  <c r="AH279"/>
  <c r="CV279" s="1"/>
  <c r="U279" s="1"/>
  <c r="AI279"/>
  <c r="AJ279"/>
  <c r="CX279" s="1"/>
  <c r="W279" s="1"/>
  <c r="CQ279"/>
  <c r="P279" s="1"/>
  <c r="CP279" s="1"/>
  <c r="O279" s="1"/>
  <c r="CS279"/>
  <c r="R279" s="1"/>
  <c r="HI279" s="1"/>
  <c r="CU279"/>
  <c r="T279" s="1"/>
  <c r="CW279"/>
  <c r="V279" s="1"/>
  <c r="FR279"/>
  <c r="GL279"/>
  <c r="GN279"/>
  <c r="GP279"/>
  <c r="GV279"/>
  <c r="HC279" s="1"/>
  <c r="GX279" s="1"/>
  <c r="HJ279"/>
  <c r="C280"/>
  <c r="D280"/>
  <c r="I280"/>
  <c r="K280"/>
  <c r="AC280"/>
  <c r="AD280"/>
  <c r="CR280" s="1"/>
  <c r="Q280" s="1"/>
  <c r="AE280"/>
  <c r="AF280"/>
  <c r="CT280" s="1"/>
  <c r="S280" s="1"/>
  <c r="AG280"/>
  <c r="AH280"/>
  <c r="CV280" s="1"/>
  <c r="U280" s="1"/>
  <c r="AI280"/>
  <c r="AJ280"/>
  <c r="CX280" s="1"/>
  <c r="W280" s="1"/>
  <c r="CQ280"/>
  <c r="P280" s="1"/>
  <c r="CP280" s="1"/>
  <c r="O280" s="1"/>
  <c r="CS280"/>
  <c r="R280" s="1"/>
  <c r="CU280"/>
  <c r="T280" s="1"/>
  <c r="CW280"/>
  <c r="V280" s="1"/>
  <c r="FR280"/>
  <c r="GL280"/>
  <c r="GN280"/>
  <c r="GP280"/>
  <c r="GV280"/>
  <c r="HC280"/>
  <c r="GX280" s="1"/>
  <c r="HJ280"/>
  <c r="C281"/>
  <c r="D281"/>
  <c r="I281"/>
  <c r="K281"/>
  <c r="AC281"/>
  <c r="AD281"/>
  <c r="CR281" s="1"/>
  <c r="Q281" s="1"/>
  <c r="AE281"/>
  <c r="AF281"/>
  <c r="CT281" s="1"/>
  <c r="S281" s="1"/>
  <c r="AG281"/>
  <c r="AH281"/>
  <c r="CV281" s="1"/>
  <c r="U281" s="1"/>
  <c r="AI281"/>
  <c r="AJ281"/>
  <c r="CX281" s="1"/>
  <c r="W281" s="1"/>
  <c r="CQ281"/>
  <c r="P281" s="1"/>
  <c r="CP281" s="1"/>
  <c r="O281" s="1"/>
  <c r="CS281"/>
  <c r="R281" s="1"/>
  <c r="HI281" s="1"/>
  <c r="CU281"/>
  <c r="T281" s="1"/>
  <c r="CW281"/>
  <c r="V281" s="1"/>
  <c r="FR281"/>
  <c r="GL281"/>
  <c r="GN281"/>
  <c r="GP281"/>
  <c r="GV281"/>
  <c r="HC281" s="1"/>
  <c r="GX281" s="1"/>
  <c r="HJ281"/>
  <c r="C282"/>
  <c r="D282"/>
  <c r="I282"/>
  <c r="K282"/>
  <c r="AC282"/>
  <c r="AD282"/>
  <c r="CR282" s="1"/>
  <c r="Q282" s="1"/>
  <c r="AE282"/>
  <c r="AF282"/>
  <c r="CT282" s="1"/>
  <c r="S282" s="1"/>
  <c r="AG282"/>
  <c r="AH282"/>
  <c r="CV282" s="1"/>
  <c r="U282" s="1"/>
  <c r="AI282"/>
  <c r="AJ282"/>
  <c r="CX282" s="1"/>
  <c r="W282" s="1"/>
  <c r="CQ282"/>
  <c r="P282" s="1"/>
  <c r="CP282" s="1"/>
  <c r="O282" s="1"/>
  <c r="CS282"/>
  <c r="R282" s="1"/>
  <c r="CU282"/>
  <c r="T282" s="1"/>
  <c r="CW282"/>
  <c r="V282" s="1"/>
  <c r="FR282"/>
  <c r="GL282"/>
  <c r="GN282"/>
  <c r="GP282"/>
  <c r="GV282"/>
  <c r="HC282"/>
  <c r="GX282" s="1"/>
  <c r="HJ282"/>
  <c r="C283"/>
  <c r="D283"/>
  <c r="I283"/>
  <c r="K283"/>
  <c r="AC283"/>
  <c r="AD283"/>
  <c r="CR283" s="1"/>
  <c r="Q283" s="1"/>
  <c r="AE283"/>
  <c r="AF283"/>
  <c r="CT283" s="1"/>
  <c r="S283" s="1"/>
  <c r="AG283"/>
  <c r="AH283"/>
  <c r="CV283" s="1"/>
  <c r="U283" s="1"/>
  <c r="AI283"/>
  <c r="AJ283"/>
  <c r="CX283" s="1"/>
  <c r="W283" s="1"/>
  <c r="CQ283"/>
  <c r="P283" s="1"/>
  <c r="CP283" s="1"/>
  <c r="O283" s="1"/>
  <c r="CS283"/>
  <c r="R283" s="1"/>
  <c r="HI283" s="1"/>
  <c r="CU283"/>
  <c r="T283" s="1"/>
  <c r="CW283"/>
  <c r="V283" s="1"/>
  <c r="FR283"/>
  <c r="GL283"/>
  <c r="GN283"/>
  <c r="GP283"/>
  <c r="GV283"/>
  <c r="HC283" s="1"/>
  <c r="GX283" s="1"/>
  <c r="HJ283"/>
  <c r="I285"/>
  <c r="K285"/>
  <c r="AC285"/>
  <c r="AD285"/>
  <c r="CR285" s="1"/>
  <c r="Q285" s="1"/>
  <c r="AE285"/>
  <c r="AF285"/>
  <c r="CT285" s="1"/>
  <c r="S285" s="1"/>
  <c r="AG285"/>
  <c r="AH285"/>
  <c r="CV285" s="1"/>
  <c r="U285" s="1"/>
  <c r="AI285"/>
  <c r="AJ285"/>
  <c r="CX285" s="1"/>
  <c r="W285" s="1"/>
  <c r="CQ285"/>
  <c r="P285" s="1"/>
  <c r="CP285" s="1"/>
  <c r="O285" s="1"/>
  <c r="CS285"/>
  <c r="R285" s="1"/>
  <c r="CU285"/>
  <c r="T285" s="1"/>
  <c r="CW285"/>
  <c r="V285" s="1"/>
  <c r="FR285"/>
  <c r="GL285"/>
  <c r="GN285"/>
  <c r="GP285"/>
  <c r="GV285"/>
  <c r="HC285"/>
  <c r="GX285" s="1"/>
  <c r="HJ285"/>
  <c r="I286"/>
  <c r="K286"/>
  <c r="AC286"/>
  <c r="AD286"/>
  <c r="CR286" s="1"/>
  <c r="Q286" s="1"/>
  <c r="AE286"/>
  <c r="AF286"/>
  <c r="CT286" s="1"/>
  <c r="S286" s="1"/>
  <c r="AG286"/>
  <c r="AH286"/>
  <c r="CV286" s="1"/>
  <c r="U286" s="1"/>
  <c r="AI286"/>
  <c r="AJ286"/>
  <c r="CX286" s="1"/>
  <c r="W286" s="1"/>
  <c r="CQ286"/>
  <c r="P286" s="1"/>
  <c r="CP286" s="1"/>
  <c r="O286" s="1"/>
  <c r="CS286"/>
  <c r="R286" s="1"/>
  <c r="HI286" s="1"/>
  <c r="CU286"/>
  <c r="T286" s="1"/>
  <c r="CW286"/>
  <c r="V286" s="1"/>
  <c r="FR286"/>
  <c r="GL286"/>
  <c r="GN286"/>
  <c r="GP286"/>
  <c r="GV286"/>
  <c r="HC286" s="1"/>
  <c r="GX286" s="1"/>
  <c r="HJ286"/>
  <c r="I287"/>
  <c r="K287"/>
  <c r="AC287"/>
  <c r="AD287"/>
  <c r="CR287" s="1"/>
  <c r="Q287" s="1"/>
  <c r="AE287"/>
  <c r="AF287"/>
  <c r="CT287" s="1"/>
  <c r="S287" s="1"/>
  <c r="AG287"/>
  <c r="AH287"/>
  <c r="CV287" s="1"/>
  <c r="U287" s="1"/>
  <c r="AI287"/>
  <c r="AJ287"/>
  <c r="CX287" s="1"/>
  <c r="W287" s="1"/>
  <c r="CQ287"/>
  <c r="P287" s="1"/>
  <c r="CP287" s="1"/>
  <c r="O287" s="1"/>
  <c r="CS287"/>
  <c r="R287" s="1"/>
  <c r="CU287"/>
  <c r="T287" s="1"/>
  <c r="CW287"/>
  <c r="V287" s="1"/>
  <c r="FR287"/>
  <c r="GL287"/>
  <c r="GN287"/>
  <c r="GP287"/>
  <c r="GV287"/>
  <c r="HC287"/>
  <c r="GX287" s="1"/>
  <c r="HJ287"/>
  <c r="I288"/>
  <c r="K288"/>
  <c r="AC288"/>
  <c r="AD288"/>
  <c r="CR288" s="1"/>
  <c r="Q288" s="1"/>
  <c r="AE288"/>
  <c r="AF288"/>
  <c r="CT288" s="1"/>
  <c r="S288" s="1"/>
  <c r="AG288"/>
  <c r="AH288"/>
  <c r="CV288" s="1"/>
  <c r="U288" s="1"/>
  <c r="AI288"/>
  <c r="AJ288"/>
  <c r="CX288" s="1"/>
  <c r="W288" s="1"/>
  <c r="CQ288"/>
  <c r="P288" s="1"/>
  <c r="CP288" s="1"/>
  <c r="O288" s="1"/>
  <c r="CS288"/>
  <c r="R288" s="1"/>
  <c r="HI288" s="1"/>
  <c r="CU288"/>
  <c r="T288" s="1"/>
  <c r="CW288"/>
  <c r="V288" s="1"/>
  <c r="FR288"/>
  <c r="GL288"/>
  <c r="GN288"/>
  <c r="GP288"/>
  <c r="GV288"/>
  <c r="HC288" s="1"/>
  <c r="GX288" s="1"/>
  <c r="HJ288"/>
  <c r="I289"/>
  <c r="K289"/>
  <c r="AC289"/>
  <c r="AD289"/>
  <c r="CR289" s="1"/>
  <c r="Q289" s="1"/>
  <c r="AE289"/>
  <c r="AF289"/>
  <c r="CT289" s="1"/>
  <c r="S289" s="1"/>
  <c r="AG289"/>
  <c r="AH289"/>
  <c r="CV289" s="1"/>
  <c r="U289" s="1"/>
  <c r="AI289"/>
  <c r="AJ289"/>
  <c r="CX289" s="1"/>
  <c r="W289" s="1"/>
  <c r="CQ289"/>
  <c r="P289" s="1"/>
  <c r="CP289" s="1"/>
  <c r="O289" s="1"/>
  <c r="CS289"/>
  <c r="R289" s="1"/>
  <c r="CU289"/>
  <c r="T289" s="1"/>
  <c r="CW289"/>
  <c r="V289" s="1"/>
  <c r="FR289"/>
  <c r="GL289"/>
  <c r="GN289"/>
  <c r="GP289"/>
  <c r="GV289"/>
  <c r="HC289"/>
  <c r="GX289" s="1"/>
  <c r="HJ289"/>
  <c r="B291"/>
  <c r="B221" s="1"/>
  <c r="C291"/>
  <c r="C221" s="1"/>
  <c r="D291"/>
  <c r="D221" s="1"/>
  <c r="F291"/>
  <c r="F221" s="1"/>
  <c r="G291"/>
  <c r="BC291"/>
  <c r="BC221" s="1"/>
  <c r="BX291"/>
  <c r="BZ291"/>
  <c r="BZ221" s="1"/>
  <c r="CD291"/>
  <c r="CD221" s="1"/>
  <c r="CK291"/>
  <c r="CK221" s="1"/>
  <c r="CL291"/>
  <c r="CL221" s="1"/>
  <c r="CM291"/>
  <c r="CM221" s="1"/>
  <c r="F307"/>
  <c r="B324"/>
  <c r="B22" s="1"/>
  <c r="C324"/>
  <c r="C22" s="1"/>
  <c r="D324"/>
  <c r="D22" s="1"/>
  <c r="F324"/>
  <c r="F22" s="1"/>
  <c r="G324"/>
  <c r="G22" s="1"/>
  <c r="B357"/>
  <c r="B18" s="1"/>
  <c r="C357"/>
  <c r="C18" s="1"/>
  <c r="D357"/>
  <c r="D18" s="1"/>
  <c r="F357"/>
  <c r="F18" s="1"/>
  <c r="G357"/>
  <c r="G18" s="1"/>
  <c r="E18" i="2"/>
  <c r="F18"/>
  <c r="G18"/>
  <c r="H18"/>
  <c r="I18"/>
  <c r="J18"/>
  <c r="J1665" i="5" l="1"/>
  <c r="J1648"/>
  <c r="X1049"/>
  <c r="AP1049"/>
  <c r="AB1049"/>
  <c r="AO1049"/>
  <c r="BS1280"/>
  <c r="P1280"/>
  <c r="BS1352"/>
  <c r="P1352"/>
  <c r="AS996"/>
  <c r="I1005"/>
  <c r="O1005" s="1"/>
  <c r="AN1005"/>
  <c r="AQ1005"/>
  <c r="Q1005"/>
  <c r="J1002" s="1"/>
  <c r="L1004"/>
  <c r="AT1006"/>
  <c r="J1011"/>
  <c r="R1015"/>
  <c r="AS1016"/>
  <c r="J1022"/>
  <c r="R1026"/>
  <c r="X1026"/>
  <c r="AS1027"/>
  <c r="I1037"/>
  <c r="O1037" s="1"/>
  <c r="AN1037"/>
  <c r="AQ1037"/>
  <c r="Q1037"/>
  <c r="J1034" s="1"/>
  <c r="AP1037"/>
  <c r="AO1037"/>
  <c r="L1036"/>
  <c r="AT1038"/>
  <c r="R1049"/>
  <c r="J1045"/>
  <c r="Q1049"/>
  <c r="J1046" s="1"/>
  <c r="AQ1049"/>
  <c r="AN1049"/>
  <c r="I1049"/>
  <c r="O1049" s="1"/>
  <c r="J1001"/>
  <c r="AS1006"/>
  <c r="I1015"/>
  <c r="O1015" s="1"/>
  <c r="AN1015"/>
  <c r="AQ1015"/>
  <c r="AT1016"/>
  <c r="I1026"/>
  <c r="O1026" s="1"/>
  <c r="AN1026"/>
  <c r="AQ1026"/>
  <c r="J1033"/>
  <c r="AS1038"/>
  <c r="AB1475"/>
  <c r="AY1475"/>
  <c r="O1475"/>
  <c r="AT1050"/>
  <c r="I1063"/>
  <c r="O1063" s="1"/>
  <c r="AN1063"/>
  <c r="AQ1063"/>
  <c r="Q1063"/>
  <c r="J1060" s="1"/>
  <c r="AP1063"/>
  <c r="AO1063"/>
  <c r="L1061"/>
  <c r="AS1067"/>
  <c r="J1074"/>
  <c r="R1078"/>
  <c r="X1078"/>
  <c r="AS1079"/>
  <c r="I1090"/>
  <c r="O1090" s="1"/>
  <c r="AN1090"/>
  <c r="AQ1090"/>
  <c r="Q1090"/>
  <c r="J1087" s="1"/>
  <c r="AP1090"/>
  <c r="L1089"/>
  <c r="AT1091"/>
  <c r="I1103"/>
  <c r="O1103" s="1"/>
  <c r="AN1103"/>
  <c r="AQ1103"/>
  <c r="Q1103"/>
  <c r="J1100" s="1"/>
  <c r="AP1103"/>
  <c r="L1101"/>
  <c r="AT1104"/>
  <c r="I1116"/>
  <c r="O1116" s="1"/>
  <c r="AN1116"/>
  <c r="AQ1116"/>
  <c r="Q1116"/>
  <c r="J1113" s="1"/>
  <c r="AP1116"/>
  <c r="L1114"/>
  <c r="AT1117"/>
  <c r="I1129"/>
  <c r="O1129" s="1"/>
  <c r="AN1129"/>
  <c r="AQ1129"/>
  <c r="Q1129"/>
  <c r="J1126" s="1"/>
  <c r="AP1129"/>
  <c r="L1127"/>
  <c r="AT1130"/>
  <c r="I1142"/>
  <c r="O1142" s="1"/>
  <c r="AN1142"/>
  <c r="AQ1142"/>
  <c r="Q1142"/>
  <c r="J1139" s="1"/>
  <c r="AP1142"/>
  <c r="L1140"/>
  <c r="AT1143"/>
  <c r="I1155"/>
  <c r="O1155" s="1"/>
  <c r="AN1155"/>
  <c r="AQ1155"/>
  <c r="Q1155"/>
  <c r="J1152" s="1"/>
  <c r="AP1155"/>
  <c r="L1153"/>
  <c r="AT1156"/>
  <c r="I1168"/>
  <c r="O1168" s="1"/>
  <c r="AN1168"/>
  <c r="AQ1168"/>
  <c r="Q1168"/>
  <c r="J1165" s="1"/>
  <c r="AP1168"/>
  <c r="L1166"/>
  <c r="AT1169"/>
  <c r="I1181"/>
  <c r="O1181" s="1"/>
  <c r="AN1181"/>
  <c r="AQ1181"/>
  <c r="Q1181"/>
  <c r="J1178" s="1"/>
  <c r="AP1181"/>
  <c r="L1179"/>
  <c r="AT1182"/>
  <c r="I1195"/>
  <c r="O1195" s="1"/>
  <c r="AN1195"/>
  <c r="AQ1195"/>
  <c r="Q1195"/>
  <c r="J1192" s="1"/>
  <c r="AP1195"/>
  <c r="AO1195"/>
  <c r="L1193"/>
  <c r="AT1196"/>
  <c r="I1209"/>
  <c r="O1209" s="1"/>
  <c r="AN1209"/>
  <c r="AQ1209"/>
  <c r="Q1209"/>
  <c r="J1206" s="1"/>
  <c r="AP1209"/>
  <c r="AO1209"/>
  <c r="L1207"/>
  <c r="AT1210"/>
  <c r="I1223"/>
  <c r="O1223" s="1"/>
  <c r="AN1223"/>
  <c r="AQ1223"/>
  <c r="Q1223"/>
  <c r="J1220" s="1"/>
  <c r="AP1223"/>
  <c r="AO1223"/>
  <c r="L1221"/>
  <c r="AT1224"/>
  <c r="I1235"/>
  <c r="O1235" s="1"/>
  <c r="AN1235"/>
  <c r="AQ1235"/>
  <c r="Q1235"/>
  <c r="J1232" s="1"/>
  <c r="AP1235"/>
  <c r="AO1235"/>
  <c r="L1233"/>
  <c r="I1239"/>
  <c r="AS1243"/>
  <c r="J1249"/>
  <c r="R1253"/>
  <c r="X1253"/>
  <c r="AS1254"/>
  <c r="J1260"/>
  <c r="R1264"/>
  <c r="X1264"/>
  <c r="AS1265"/>
  <c r="I1277"/>
  <c r="O1277" s="1"/>
  <c r="AN1277"/>
  <c r="AQ1277"/>
  <c r="Q1277"/>
  <c r="J1274" s="1"/>
  <c r="AP1277"/>
  <c r="AO1277"/>
  <c r="L1276"/>
  <c r="AT1281"/>
  <c r="J1289"/>
  <c r="R1293"/>
  <c r="X1293"/>
  <c r="I1304"/>
  <c r="I1308"/>
  <c r="AT1309"/>
  <c r="J1317"/>
  <c r="R1321"/>
  <c r="X1321"/>
  <c r="AS1322"/>
  <c r="I1331"/>
  <c r="O1331" s="1"/>
  <c r="AN1331"/>
  <c r="AQ1331"/>
  <c r="Q1331"/>
  <c r="J1328" s="1"/>
  <c r="L1330"/>
  <c r="AT1332"/>
  <c r="I1345"/>
  <c r="O1345" s="1"/>
  <c r="AN1345"/>
  <c r="AQ1345"/>
  <c r="Q1345"/>
  <c r="J1342" s="1"/>
  <c r="AP1345"/>
  <c r="AO1345"/>
  <c r="L1343"/>
  <c r="I1349"/>
  <c r="AT1353"/>
  <c r="I1366"/>
  <c r="O1366" s="1"/>
  <c r="AN1366"/>
  <c r="AQ1366"/>
  <c r="Q1366"/>
  <c r="J1363" s="1"/>
  <c r="AP1366"/>
  <c r="AO1366"/>
  <c r="J1059"/>
  <c r="I1066"/>
  <c r="AT1067"/>
  <c r="I1078"/>
  <c r="O1078" s="1"/>
  <c r="AN1078"/>
  <c r="AQ1078"/>
  <c r="AO1078"/>
  <c r="J1086"/>
  <c r="J1099"/>
  <c r="J1112"/>
  <c r="J1125"/>
  <c r="J1138"/>
  <c r="J1151"/>
  <c r="J1164"/>
  <c r="J1177"/>
  <c r="J1191"/>
  <c r="J1205"/>
  <c r="J1219"/>
  <c r="J1231"/>
  <c r="I1242"/>
  <c r="AT1243"/>
  <c r="I1253"/>
  <c r="O1253" s="1"/>
  <c r="AN1253"/>
  <c r="AQ1253"/>
  <c r="AT1254"/>
  <c r="I1264"/>
  <c r="O1264" s="1"/>
  <c r="AN1264"/>
  <c r="AQ1264"/>
  <c r="J1273"/>
  <c r="I1280"/>
  <c r="AS1281"/>
  <c r="I1293"/>
  <c r="O1293" s="1"/>
  <c r="AN1293"/>
  <c r="AQ1293"/>
  <c r="AO1293"/>
  <c r="I1297"/>
  <c r="I1301"/>
  <c r="AS1309"/>
  <c r="I1321"/>
  <c r="O1321" s="1"/>
  <c r="AN1321"/>
  <c r="AQ1321"/>
  <c r="AO1321"/>
  <c r="J1327"/>
  <c r="J1341"/>
  <c r="I1352"/>
  <c r="AS1353"/>
  <c r="J1362"/>
  <c r="AT1367"/>
  <c r="I1380"/>
  <c r="O1380" s="1"/>
  <c r="AN1380"/>
  <c r="AQ1380"/>
  <c r="Q1380"/>
  <c r="J1377" s="1"/>
  <c r="AP1380"/>
  <c r="AO1380"/>
  <c r="L1378"/>
  <c r="AT1381"/>
  <c r="I1394"/>
  <c r="O1394" s="1"/>
  <c r="AN1394"/>
  <c r="AQ1394"/>
  <c r="Q1394"/>
  <c r="J1391" s="1"/>
  <c r="AP1394"/>
  <c r="AO1394"/>
  <c r="L1392"/>
  <c r="AT1395"/>
  <c r="I1408"/>
  <c r="O1408" s="1"/>
  <c r="AN1408"/>
  <c r="AQ1408"/>
  <c r="Q1408"/>
  <c r="J1405" s="1"/>
  <c r="AP1408"/>
  <c r="AO1408"/>
  <c r="L1406"/>
  <c r="AT1409"/>
  <c r="I1422"/>
  <c r="O1422" s="1"/>
  <c r="AN1422"/>
  <c r="AQ1422"/>
  <c r="Q1422"/>
  <c r="J1419" s="1"/>
  <c r="AP1422"/>
  <c r="AO1422"/>
  <c r="L1420"/>
  <c r="AT1423"/>
  <c r="I1436"/>
  <c r="O1436" s="1"/>
  <c r="AN1436"/>
  <c r="AQ1436"/>
  <c r="Q1436"/>
  <c r="J1433" s="1"/>
  <c r="AP1436"/>
  <c r="AO1436"/>
  <c r="L1434"/>
  <c r="I1440"/>
  <c r="AS1444"/>
  <c r="J1453"/>
  <c r="R1457"/>
  <c r="X1457"/>
  <c r="AS1458"/>
  <c r="J1467"/>
  <c r="R1471"/>
  <c r="X1471"/>
  <c r="AB1478"/>
  <c r="AT1479"/>
  <c r="I1492"/>
  <c r="O1492" s="1"/>
  <c r="AN1492"/>
  <c r="AQ1492"/>
  <c r="Q1492"/>
  <c r="J1489" s="1"/>
  <c r="AP1492"/>
  <c r="AO1492"/>
  <c r="L1490"/>
  <c r="AT1493"/>
  <c r="I1506"/>
  <c r="O1506" s="1"/>
  <c r="AN1506"/>
  <c r="AQ1506"/>
  <c r="Q1506"/>
  <c r="J1503" s="1"/>
  <c r="AP1506"/>
  <c r="AO1506"/>
  <c r="L1504"/>
  <c r="AT1507"/>
  <c r="I1520"/>
  <c r="O1520" s="1"/>
  <c r="AN1520"/>
  <c r="AQ1520"/>
  <c r="Q1520"/>
  <c r="J1517" s="1"/>
  <c r="AP1520"/>
  <c r="AO1520"/>
  <c r="L1518"/>
  <c r="AT1521"/>
  <c r="I1534"/>
  <c r="O1534" s="1"/>
  <c r="AN1534"/>
  <c r="AQ1534"/>
  <c r="Q1534"/>
  <c r="J1531" s="1"/>
  <c r="AP1534"/>
  <c r="AO1534"/>
  <c r="L1532"/>
  <c r="AS1538"/>
  <c r="J1547"/>
  <c r="R1551"/>
  <c r="X1551"/>
  <c r="I1554"/>
  <c r="BC1556"/>
  <c r="J1565"/>
  <c r="AX1569"/>
  <c r="BA1569"/>
  <c r="R1569"/>
  <c r="X1569"/>
  <c r="AY1569"/>
  <c r="BC1570"/>
  <c r="J1579"/>
  <c r="AX1583"/>
  <c r="BA1583"/>
  <c r="R1583"/>
  <c r="X1583"/>
  <c r="AY1583"/>
  <c r="BC1584"/>
  <c r="J1593"/>
  <c r="AX1597"/>
  <c r="BA1597"/>
  <c r="R1597"/>
  <c r="X1597"/>
  <c r="AY1597"/>
  <c r="BC1598"/>
  <c r="J1607"/>
  <c r="AX1611"/>
  <c r="BA1611"/>
  <c r="R1611"/>
  <c r="X1611"/>
  <c r="AY1611"/>
  <c r="BC1612"/>
  <c r="J1621"/>
  <c r="AX1625"/>
  <c r="BA1625"/>
  <c r="R1625"/>
  <c r="X1625"/>
  <c r="AY1625"/>
  <c r="I1630"/>
  <c r="I1634"/>
  <c r="I1638"/>
  <c r="I1642"/>
  <c r="I1646"/>
  <c r="J1376"/>
  <c r="J1390"/>
  <c r="J1404"/>
  <c r="J1418"/>
  <c r="J1432"/>
  <c r="I1443"/>
  <c r="AT1444"/>
  <c r="I1457"/>
  <c r="O1457" s="1"/>
  <c r="AN1457"/>
  <c r="AQ1457"/>
  <c r="AO1457"/>
  <c r="AT1458"/>
  <c r="I1471"/>
  <c r="O1471" s="1"/>
  <c r="AN1471"/>
  <c r="AQ1471"/>
  <c r="AO1471"/>
  <c r="O1478"/>
  <c r="J1488"/>
  <c r="J1502"/>
  <c r="J1516"/>
  <c r="J1530"/>
  <c r="I1537"/>
  <c r="AT1538"/>
  <c r="I1551"/>
  <c r="O1551" s="1"/>
  <c r="AN1551"/>
  <c r="AQ1551"/>
  <c r="AO1551"/>
  <c r="BD1556"/>
  <c r="I1569"/>
  <c r="O1569" s="1"/>
  <c r="BD1570"/>
  <c r="I1583"/>
  <c r="O1583" s="1"/>
  <c r="BD1584"/>
  <c r="I1597"/>
  <c r="O1597" s="1"/>
  <c r="BD1598"/>
  <c r="I1611"/>
  <c r="O1611" s="1"/>
  <c r="BD1612"/>
  <c r="I1625"/>
  <c r="O1625" s="1"/>
  <c r="J979"/>
  <c r="BS111"/>
  <c r="P111"/>
  <c r="BS137"/>
  <c r="P137"/>
  <c r="BS213"/>
  <c r="P213"/>
  <c r="BS246"/>
  <c r="P246"/>
  <c r="BS134"/>
  <c r="P134"/>
  <c r="BS187"/>
  <c r="P187"/>
  <c r="BS210"/>
  <c r="P210"/>
  <c r="AN413"/>
  <c r="I413"/>
  <c r="BS479"/>
  <c r="P479"/>
  <c r="BS506"/>
  <c r="P506"/>
  <c r="AS92"/>
  <c r="J99"/>
  <c r="R103"/>
  <c r="X103"/>
  <c r="AT112"/>
  <c r="I123"/>
  <c r="O123" s="1"/>
  <c r="AN123"/>
  <c r="AQ123"/>
  <c r="Q123"/>
  <c r="J120" s="1"/>
  <c r="AP123"/>
  <c r="AO123"/>
  <c r="L121"/>
  <c r="I127"/>
  <c r="I131"/>
  <c r="AT138"/>
  <c r="I151"/>
  <c r="O151" s="1"/>
  <c r="AN151"/>
  <c r="AQ151"/>
  <c r="Q151"/>
  <c r="J148" s="1"/>
  <c r="AP151"/>
  <c r="AO151"/>
  <c r="L149"/>
  <c r="I155"/>
  <c r="I159"/>
  <c r="I163"/>
  <c r="AS167"/>
  <c r="J176"/>
  <c r="R180"/>
  <c r="X180"/>
  <c r="I187"/>
  <c r="AS188"/>
  <c r="J195"/>
  <c r="R199"/>
  <c r="X199"/>
  <c r="I210"/>
  <c r="I213"/>
  <c r="AS214"/>
  <c r="J223"/>
  <c r="R227"/>
  <c r="X227"/>
  <c r="AS228"/>
  <c r="J235"/>
  <c r="R239"/>
  <c r="X239"/>
  <c r="I246"/>
  <c r="AT248"/>
  <c r="J255"/>
  <c r="R259"/>
  <c r="X259"/>
  <c r="AS260"/>
  <c r="I272"/>
  <c r="O272" s="1"/>
  <c r="AN272"/>
  <c r="AQ272"/>
  <c r="Q272"/>
  <c r="J269" s="1"/>
  <c r="AP272"/>
  <c r="AO272"/>
  <c r="L271"/>
  <c r="I276"/>
  <c r="I280"/>
  <c r="AS288"/>
  <c r="I300"/>
  <c r="O300" s="1"/>
  <c r="AN300"/>
  <c r="AQ300"/>
  <c r="Q300"/>
  <c r="J297" s="1"/>
  <c r="AP300"/>
  <c r="AO300"/>
  <c r="L299"/>
  <c r="I304"/>
  <c r="I308"/>
  <c r="AS316"/>
  <c r="J325"/>
  <c r="R329"/>
  <c r="X329"/>
  <c r="I340"/>
  <c r="I344"/>
  <c r="AT345"/>
  <c r="I358"/>
  <c r="O358" s="1"/>
  <c r="AN358"/>
  <c r="AQ358"/>
  <c r="Q358"/>
  <c r="J355" s="1"/>
  <c r="AP358"/>
  <c r="AO358"/>
  <c r="L356"/>
  <c r="I362"/>
  <c r="I366"/>
  <c r="AS374"/>
  <c r="J383"/>
  <c r="R387"/>
  <c r="X387"/>
  <c r="AT389"/>
  <c r="I402"/>
  <c r="O402" s="1"/>
  <c r="AN402"/>
  <c r="AQ402"/>
  <c r="Q402"/>
  <c r="J399" s="1"/>
  <c r="AP402"/>
  <c r="AO402"/>
  <c r="L400"/>
  <c r="I406"/>
  <c r="I410"/>
  <c r="BS503"/>
  <c r="P503"/>
  <c r="BS530"/>
  <c r="P530"/>
  <c r="AT92"/>
  <c r="I103"/>
  <c r="O103" s="1"/>
  <c r="AN103"/>
  <c r="AQ103"/>
  <c r="AO103"/>
  <c r="I107"/>
  <c r="I111"/>
  <c r="J119"/>
  <c r="I134"/>
  <c r="I137"/>
  <c r="J147"/>
  <c r="I166"/>
  <c r="AT167"/>
  <c r="I180"/>
  <c r="O180" s="1"/>
  <c r="AN180"/>
  <c r="AQ180"/>
  <c r="AO180"/>
  <c r="I184"/>
  <c r="AT188"/>
  <c r="I199"/>
  <c r="O199" s="1"/>
  <c r="AN199"/>
  <c r="AQ199"/>
  <c r="AO199"/>
  <c r="I203"/>
  <c r="I207"/>
  <c r="AT214"/>
  <c r="I227"/>
  <c r="O227" s="1"/>
  <c r="AN227"/>
  <c r="AQ227"/>
  <c r="AO227"/>
  <c r="AT228"/>
  <c r="I239"/>
  <c r="O239" s="1"/>
  <c r="AN239"/>
  <c r="AQ239"/>
  <c r="AO239"/>
  <c r="I243"/>
  <c r="AS248"/>
  <c r="I259"/>
  <c r="O259" s="1"/>
  <c r="AN259"/>
  <c r="AQ259"/>
  <c r="J268"/>
  <c r="I283"/>
  <c r="I287"/>
  <c r="J296"/>
  <c r="I311"/>
  <c r="I315"/>
  <c r="AT316"/>
  <c r="I329"/>
  <c r="O329" s="1"/>
  <c r="AN329"/>
  <c r="AQ329"/>
  <c r="AO329"/>
  <c r="I333"/>
  <c r="I337"/>
  <c r="J354"/>
  <c r="I369"/>
  <c r="I373"/>
  <c r="AT374"/>
  <c r="I387"/>
  <c r="O387" s="1"/>
  <c r="AN387"/>
  <c r="AQ387"/>
  <c r="AO387"/>
  <c r="J398"/>
  <c r="AS418"/>
  <c r="J426"/>
  <c r="R430"/>
  <c r="X430"/>
  <c r="I437"/>
  <c r="AT438"/>
  <c r="J446"/>
  <c r="R450"/>
  <c r="X450"/>
  <c r="AS459"/>
  <c r="J468"/>
  <c r="R472"/>
  <c r="X472"/>
  <c r="I479"/>
  <c r="I482"/>
  <c r="AT483"/>
  <c r="I496"/>
  <c r="O496" s="1"/>
  <c r="AN496"/>
  <c r="AQ496"/>
  <c r="Q496"/>
  <c r="J493" s="1"/>
  <c r="AP496"/>
  <c r="AO496"/>
  <c r="L494"/>
  <c r="I500"/>
  <c r="AS510"/>
  <c r="J519"/>
  <c r="R523"/>
  <c r="X523"/>
  <c r="I530"/>
  <c r="AS531"/>
  <c r="J540"/>
  <c r="R544"/>
  <c r="X544"/>
  <c r="AS545"/>
  <c r="J554"/>
  <c r="R558"/>
  <c r="X558"/>
  <c r="AT560"/>
  <c r="J565"/>
  <c r="R569"/>
  <c r="AS570"/>
  <c r="J578"/>
  <c r="R582"/>
  <c r="X582"/>
  <c r="AT584"/>
  <c r="I597"/>
  <c r="O597" s="1"/>
  <c r="AN597"/>
  <c r="AQ597"/>
  <c r="Q597"/>
  <c r="J594" s="1"/>
  <c r="AP597"/>
  <c r="AO597"/>
  <c r="L595"/>
  <c r="AT598"/>
  <c r="I611"/>
  <c r="O611" s="1"/>
  <c r="AN611"/>
  <c r="AQ611"/>
  <c r="Q611"/>
  <c r="J608" s="1"/>
  <c r="AP611"/>
  <c r="AO611"/>
  <c r="L609"/>
  <c r="AT612"/>
  <c r="I625"/>
  <c r="O625" s="1"/>
  <c r="AN625"/>
  <c r="AQ625"/>
  <c r="Q625"/>
  <c r="J622" s="1"/>
  <c r="AP625"/>
  <c r="AO625"/>
  <c r="L623"/>
  <c r="AS627"/>
  <c r="J636"/>
  <c r="R640"/>
  <c r="X640"/>
  <c r="AS641"/>
  <c r="J650"/>
  <c r="R654"/>
  <c r="X654"/>
  <c r="AS655"/>
  <c r="J664"/>
  <c r="R668"/>
  <c r="X668"/>
  <c r="AT670"/>
  <c r="I683"/>
  <c r="O683" s="1"/>
  <c r="AN683"/>
  <c r="AQ683"/>
  <c r="Q683"/>
  <c r="J680" s="1"/>
  <c r="AP683"/>
  <c r="AO683"/>
  <c r="BS946"/>
  <c r="P946"/>
  <c r="I417"/>
  <c r="AT418"/>
  <c r="I430"/>
  <c r="O430" s="1"/>
  <c r="AN430"/>
  <c r="AQ430"/>
  <c r="AO430"/>
  <c r="I434"/>
  <c r="AS438"/>
  <c r="I450"/>
  <c r="O450" s="1"/>
  <c r="AN450"/>
  <c r="AQ450"/>
  <c r="AO450"/>
  <c r="I454"/>
  <c r="I458"/>
  <c r="AT459"/>
  <c r="I472"/>
  <c r="O472" s="1"/>
  <c r="AN472"/>
  <c r="AQ472"/>
  <c r="AO472"/>
  <c r="I476"/>
  <c r="J492"/>
  <c r="I503"/>
  <c r="I506"/>
  <c r="I509"/>
  <c r="AT510"/>
  <c r="I523"/>
  <c r="O523" s="1"/>
  <c r="AN523"/>
  <c r="AQ523"/>
  <c r="AO523"/>
  <c r="I527"/>
  <c r="AT531"/>
  <c r="I544"/>
  <c r="O544" s="1"/>
  <c r="AN544"/>
  <c r="AQ544"/>
  <c r="AO544"/>
  <c r="AT545"/>
  <c r="I558"/>
  <c r="O558" s="1"/>
  <c r="AN558"/>
  <c r="AQ558"/>
  <c r="AO558"/>
  <c r="AS560"/>
  <c r="I569"/>
  <c r="O569" s="1"/>
  <c r="AN569"/>
  <c r="AQ569"/>
  <c r="AT570"/>
  <c r="I582"/>
  <c r="O582" s="1"/>
  <c r="AN582"/>
  <c r="AQ582"/>
  <c r="J593"/>
  <c r="J607"/>
  <c r="J621"/>
  <c r="AT627"/>
  <c r="I640"/>
  <c r="O640" s="1"/>
  <c r="AN640"/>
  <c r="AQ640"/>
  <c r="AO640"/>
  <c r="AT641"/>
  <c r="I654"/>
  <c r="O654" s="1"/>
  <c r="AN654"/>
  <c r="AQ654"/>
  <c r="AO654"/>
  <c r="AT655"/>
  <c r="I668"/>
  <c r="O668" s="1"/>
  <c r="AN668"/>
  <c r="AQ668"/>
  <c r="AO668"/>
  <c r="AS670"/>
  <c r="J679"/>
  <c r="AT684"/>
  <c r="I697"/>
  <c r="O697" s="1"/>
  <c r="AN697"/>
  <c r="AQ697"/>
  <c r="Q697"/>
  <c r="J694" s="1"/>
  <c r="AP697"/>
  <c r="AO697"/>
  <c r="L695"/>
  <c r="AT698"/>
  <c r="I711"/>
  <c r="O711" s="1"/>
  <c r="AN711"/>
  <c r="AQ711"/>
  <c r="Q711"/>
  <c r="J708" s="1"/>
  <c r="AP711"/>
  <c r="AO711"/>
  <c r="L709"/>
  <c r="AS713"/>
  <c r="J722"/>
  <c r="R726"/>
  <c r="X726"/>
  <c r="AS727"/>
  <c r="J736"/>
  <c r="R740"/>
  <c r="X740"/>
  <c r="AS741"/>
  <c r="J750"/>
  <c r="R754"/>
  <c r="X754"/>
  <c r="AT756"/>
  <c r="I769"/>
  <c r="O769" s="1"/>
  <c r="AN769"/>
  <c r="AQ769"/>
  <c r="Q769"/>
  <c r="J766" s="1"/>
  <c r="AP769"/>
  <c r="AO769"/>
  <c r="L767"/>
  <c r="AT770"/>
  <c r="I783"/>
  <c r="O783" s="1"/>
  <c r="AN783"/>
  <c r="AQ783"/>
  <c r="Q783"/>
  <c r="J780" s="1"/>
  <c r="AP783"/>
  <c r="AO783"/>
  <c r="L781"/>
  <c r="AT784"/>
  <c r="I797"/>
  <c r="O797" s="1"/>
  <c r="AN797"/>
  <c r="AQ797"/>
  <c r="Q797"/>
  <c r="J794" s="1"/>
  <c r="AP797"/>
  <c r="AO797"/>
  <c r="L795"/>
  <c r="AT798"/>
  <c r="I811"/>
  <c r="O811" s="1"/>
  <c r="AN811"/>
  <c r="AQ811"/>
  <c r="Q811"/>
  <c r="J808" s="1"/>
  <c r="AP811"/>
  <c r="AO811"/>
  <c r="L809"/>
  <c r="AS813"/>
  <c r="J822"/>
  <c r="R826"/>
  <c r="X826"/>
  <c r="AS827"/>
  <c r="J836"/>
  <c r="R840"/>
  <c r="X840"/>
  <c r="AS841"/>
  <c r="J850"/>
  <c r="R854"/>
  <c r="X854"/>
  <c r="AS855"/>
  <c r="J864"/>
  <c r="R868"/>
  <c r="X868"/>
  <c r="AT870"/>
  <c r="I883"/>
  <c r="O883" s="1"/>
  <c r="AN883"/>
  <c r="AQ883"/>
  <c r="Q883"/>
  <c r="J880" s="1"/>
  <c r="AP883"/>
  <c r="AO883"/>
  <c r="L881"/>
  <c r="AT884"/>
  <c r="I897"/>
  <c r="O897" s="1"/>
  <c r="AN897"/>
  <c r="AQ897"/>
  <c r="Q897"/>
  <c r="J894" s="1"/>
  <c r="AP897"/>
  <c r="AO897"/>
  <c r="L895"/>
  <c r="AT898"/>
  <c r="I911"/>
  <c r="O911" s="1"/>
  <c r="AN911"/>
  <c r="AQ911"/>
  <c r="Q911"/>
  <c r="J908" s="1"/>
  <c r="AP911"/>
  <c r="AO911"/>
  <c r="L909"/>
  <c r="AT912"/>
  <c r="I925"/>
  <c r="O925" s="1"/>
  <c r="AN925"/>
  <c r="AQ925"/>
  <c r="Q925"/>
  <c r="J922" s="1"/>
  <c r="AP925"/>
  <c r="AO925"/>
  <c r="L923"/>
  <c r="AT926"/>
  <c r="I939"/>
  <c r="O939" s="1"/>
  <c r="AN939"/>
  <c r="AQ939"/>
  <c r="Q939"/>
  <c r="J936" s="1"/>
  <c r="AP939"/>
  <c r="AO939"/>
  <c r="L937"/>
  <c r="I943"/>
  <c r="AT951"/>
  <c r="I960"/>
  <c r="O960" s="1"/>
  <c r="AN960"/>
  <c r="AQ960"/>
  <c r="Q960"/>
  <c r="J957" s="1"/>
  <c r="AO960"/>
  <c r="L958"/>
  <c r="AS961"/>
  <c r="J968"/>
  <c r="R972"/>
  <c r="I977"/>
  <c r="O977" s="1"/>
  <c r="AR977"/>
  <c r="J693"/>
  <c r="J707"/>
  <c r="AT713"/>
  <c r="I726"/>
  <c r="O726" s="1"/>
  <c r="AN726"/>
  <c r="AQ726"/>
  <c r="AO726"/>
  <c r="AT727"/>
  <c r="I740"/>
  <c r="O740" s="1"/>
  <c r="AN740"/>
  <c r="AQ740"/>
  <c r="AO740"/>
  <c r="AT741"/>
  <c r="I754"/>
  <c r="O754" s="1"/>
  <c r="AN754"/>
  <c r="AQ754"/>
  <c r="AO754"/>
  <c r="J765"/>
  <c r="J779"/>
  <c r="J793"/>
  <c r="J807"/>
  <c r="AT813"/>
  <c r="I826"/>
  <c r="O826" s="1"/>
  <c r="AN826"/>
  <c r="AQ826"/>
  <c r="AO826"/>
  <c r="AT827"/>
  <c r="I840"/>
  <c r="O840" s="1"/>
  <c r="AN840"/>
  <c r="AQ840"/>
  <c r="AO840"/>
  <c r="AT841"/>
  <c r="I854"/>
  <c r="O854" s="1"/>
  <c r="AN854"/>
  <c r="AQ854"/>
  <c r="AO854"/>
  <c r="AT855"/>
  <c r="I868"/>
  <c r="O868" s="1"/>
  <c r="AN868"/>
  <c r="AQ868"/>
  <c r="AO868"/>
  <c r="J879"/>
  <c r="J893"/>
  <c r="J907"/>
  <c r="J921"/>
  <c r="J935"/>
  <c r="I946"/>
  <c r="I949"/>
  <c r="J956"/>
  <c r="AT961"/>
  <c r="I972"/>
  <c r="O972" s="1"/>
  <c r="AR972"/>
  <c r="AQ972"/>
  <c r="J976"/>
  <c r="J74"/>
  <c r="L58"/>
  <c r="AT49"/>
  <c r="I61"/>
  <c r="O61" s="1"/>
  <c r="AN61"/>
  <c r="AP61"/>
  <c r="AT62"/>
  <c r="I72"/>
  <c r="O72" s="1"/>
  <c r="AN72"/>
  <c r="Q72"/>
  <c r="J69" s="1"/>
  <c r="AP72"/>
  <c r="L70"/>
  <c r="J57"/>
  <c r="J68"/>
  <c r="HI287" i="1"/>
  <c r="HL287" s="1"/>
  <c r="CY287"/>
  <c r="X287" s="1"/>
  <c r="GM287" s="1"/>
  <c r="HI282"/>
  <c r="HL282" s="1"/>
  <c r="CY282"/>
  <c r="X282" s="1"/>
  <c r="GM282" s="1"/>
  <c r="HI270"/>
  <c r="HL270" s="1"/>
  <c r="CY270"/>
  <c r="X270" s="1"/>
  <c r="GM270" s="1"/>
  <c r="CZ258"/>
  <c r="Y258" s="1"/>
  <c r="HJ258"/>
  <c r="CY255"/>
  <c r="X255" s="1"/>
  <c r="HJ255"/>
  <c r="CZ255"/>
  <c r="Y255" s="1"/>
  <c r="HJ251"/>
  <c r="CY249"/>
  <c r="X249" s="1"/>
  <c r="HJ249"/>
  <c r="CZ249"/>
  <c r="Y249" s="1"/>
  <c r="CP248"/>
  <c r="O248" s="1"/>
  <c r="HI289"/>
  <c r="HL289" s="1"/>
  <c r="CY289"/>
  <c r="X289" s="1"/>
  <c r="GM289" s="1"/>
  <c r="GO287"/>
  <c r="HI285"/>
  <c r="HL285" s="1"/>
  <c r="CY285"/>
  <c r="X285" s="1"/>
  <c r="GM285" s="1"/>
  <c r="GO282"/>
  <c r="HI280"/>
  <c r="HL280" s="1"/>
  <c r="CY280"/>
  <c r="X280" s="1"/>
  <c r="GM280" s="1"/>
  <c r="GO270"/>
  <c r="HJ253"/>
  <c r="HI248"/>
  <c r="CY248"/>
  <c r="X248" s="1"/>
  <c r="U257"/>
  <c r="AD258"/>
  <c r="CR258" s="1"/>
  <c r="Q258" s="1"/>
  <c r="CS258"/>
  <c r="R258" s="1"/>
  <c r="HI258" s="1"/>
  <c r="CQ257"/>
  <c r="CQ256"/>
  <c r="P256" s="1"/>
  <c r="CY256"/>
  <c r="X256" s="1"/>
  <c r="HJ256"/>
  <c r="CX580" i="3"/>
  <c r="CX582"/>
  <c r="CX584"/>
  <c r="CX586"/>
  <c r="CX581"/>
  <c r="CX583"/>
  <c r="CX585"/>
  <c r="K257" i="1"/>
  <c r="AD255"/>
  <c r="CR255" s="1"/>
  <c r="Q255" s="1"/>
  <c r="CS255"/>
  <c r="R255" s="1"/>
  <c r="HI255" s="1"/>
  <c r="CQ254"/>
  <c r="P254" s="1"/>
  <c r="CY254"/>
  <c r="X254" s="1"/>
  <c r="HJ254"/>
  <c r="AD253"/>
  <c r="CR253" s="1"/>
  <c r="Q253" s="1"/>
  <c r="CS253"/>
  <c r="R253" s="1"/>
  <c r="HI253" s="1"/>
  <c r="CQ252"/>
  <c r="P252" s="1"/>
  <c r="CY252"/>
  <c r="X252" s="1"/>
  <c r="HJ252"/>
  <c r="AD251"/>
  <c r="CR251" s="1"/>
  <c r="Q251" s="1"/>
  <c r="CS251"/>
  <c r="R251" s="1"/>
  <c r="HI251" s="1"/>
  <c r="CQ250"/>
  <c r="P250" s="1"/>
  <c r="CY250"/>
  <c r="X250" s="1"/>
  <c r="HJ250"/>
  <c r="AD249"/>
  <c r="CR249" s="1"/>
  <c r="Q249" s="1"/>
  <c r="AD291" s="1"/>
  <c r="CS249"/>
  <c r="R249" s="1"/>
  <c r="HI249" s="1"/>
  <c r="CZ247"/>
  <c r="Y247" s="1"/>
  <c r="CY247"/>
  <c r="X247" s="1"/>
  <c r="HJ247"/>
  <c r="CZ246"/>
  <c r="Y246" s="1"/>
  <c r="CY246"/>
  <c r="X246" s="1"/>
  <c r="HJ246"/>
  <c r="CZ245"/>
  <c r="Y245" s="1"/>
  <c r="CY245"/>
  <c r="X245" s="1"/>
  <c r="HJ245"/>
  <c r="CZ244"/>
  <c r="Y244" s="1"/>
  <c r="CY244"/>
  <c r="X244" s="1"/>
  <c r="HJ244"/>
  <c r="CZ243"/>
  <c r="Y243" s="1"/>
  <c r="CY243"/>
  <c r="X243" s="1"/>
  <c r="HJ243"/>
  <c r="CZ242"/>
  <c r="Y242" s="1"/>
  <c r="CY242"/>
  <c r="X242" s="1"/>
  <c r="HJ242"/>
  <c r="CZ241"/>
  <c r="Y241" s="1"/>
  <c r="CY241"/>
  <c r="X241" s="1"/>
  <c r="HJ241"/>
  <c r="CZ240"/>
  <c r="Y240" s="1"/>
  <c r="CY240"/>
  <c r="X240" s="1"/>
  <c r="HJ240"/>
  <c r="CZ239"/>
  <c r="Y239" s="1"/>
  <c r="CY239"/>
  <c r="X239" s="1"/>
  <c r="HJ239"/>
  <c r="CZ238"/>
  <c r="Y238" s="1"/>
  <c r="CY238"/>
  <c r="X238" s="1"/>
  <c r="HJ238"/>
  <c r="CZ237"/>
  <c r="Y237" s="1"/>
  <c r="CY237"/>
  <c r="X237" s="1"/>
  <c r="HJ237"/>
  <c r="CZ236"/>
  <c r="Y236" s="1"/>
  <c r="CY236"/>
  <c r="X236" s="1"/>
  <c r="HJ236"/>
  <c r="CZ235"/>
  <c r="Y235" s="1"/>
  <c r="CY235"/>
  <c r="X235" s="1"/>
  <c r="HJ235"/>
  <c r="CZ234"/>
  <c r="Y234" s="1"/>
  <c r="CY234"/>
  <c r="X234" s="1"/>
  <c r="HJ234"/>
  <c r="CZ233"/>
  <c r="Y233" s="1"/>
  <c r="CY233"/>
  <c r="X233" s="1"/>
  <c r="HJ233"/>
  <c r="CZ232"/>
  <c r="Y232" s="1"/>
  <c r="CY232"/>
  <c r="X232" s="1"/>
  <c r="HJ232"/>
  <c r="CZ231"/>
  <c r="Y231" s="1"/>
  <c r="CY231"/>
  <c r="X231" s="1"/>
  <c r="HJ231"/>
  <c r="CZ230"/>
  <c r="Y230" s="1"/>
  <c r="CY230"/>
  <c r="X230" s="1"/>
  <c r="HJ230"/>
  <c r="CZ229"/>
  <c r="Y229" s="1"/>
  <c r="CY229"/>
  <c r="X229" s="1"/>
  <c r="HJ229"/>
  <c r="CZ228"/>
  <c r="Y228" s="1"/>
  <c r="CY228"/>
  <c r="X228" s="1"/>
  <c r="HJ228"/>
  <c r="CZ227"/>
  <c r="Y227" s="1"/>
  <c r="CY227"/>
  <c r="X227" s="1"/>
  <c r="HJ227"/>
  <c r="CZ226"/>
  <c r="Y226" s="1"/>
  <c r="CY226"/>
  <c r="X226" s="1"/>
  <c r="HJ226"/>
  <c r="CZ225"/>
  <c r="Y225" s="1"/>
  <c r="CY225"/>
  <c r="X225" s="1"/>
  <c r="HJ225"/>
  <c r="CZ224"/>
  <c r="Y224" s="1"/>
  <c r="CY224"/>
  <c r="X224" s="1"/>
  <c r="HJ224"/>
  <c r="CZ223"/>
  <c r="Y223" s="1"/>
  <c r="CY223"/>
  <c r="X223" s="1"/>
  <c r="HJ223"/>
  <c r="HJ184"/>
  <c r="CZ183"/>
  <c r="Y183" s="1"/>
  <c r="HJ183"/>
  <c r="CY183"/>
  <c r="X183" s="1"/>
  <c r="CZ182"/>
  <c r="Y182" s="1"/>
  <c r="CY182"/>
  <c r="X182" s="1"/>
  <c r="HJ182"/>
  <c r="CZ180"/>
  <c r="Y180" s="1"/>
  <c r="CY180"/>
  <c r="X180" s="1"/>
  <c r="HJ180"/>
  <c r="HJ179"/>
  <c r="HJ176"/>
  <c r="CY174"/>
  <c r="X174" s="1"/>
  <c r="HJ174"/>
  <c r="CZ174"/>
  <c r="Y174" s="1"/>
  <c r="BY66"/>
  <c r="AP186"/>
  <c r="CI186"/>
  <c r="GN130"/>
  <c r="GN128"/>
  <c r="GN126"/>
  <c r="GN124"/>
  <c r="GN122"/>
  <c r="GN120"/>
  <c r="GN118"/>
  <c r="GN115"/>
  <c r="GN113"/>
  <c r="GN111"/>
  <c r="GN109"/>
  <c r="GN107"/>
  <c r="GN105"/>
  <c r="GN103"/>
  <c r="GN101"/>
  <c r="GN99"/>
  <c r="CG291"/>
  <c r="BX221"/>
  <c r="AB258"/>
  <c r="CQ258"/>
  <c r="P258" s="1"/>
  <c r="AD257"/>
  <c r="CR257" s="1"/>
  <c r="Q257" s="1"/>
  <c r="CS257"/>
  <c r="AD256"/>
  <c r="CR256" s="1"/>
  <c r="Q256" s="1"/>
  <c r="CS256"/>
  <c r="R256" s="1"/>
  <c r="AB255"/>
  <c r="CQ255"/>
  <c r="P255" s="1"/>
  <c r="AD254"/>
  <c r="CR254" s="1"/>
  <c r="Q254" s="1"/>
  <c r="CS254"/>
  <c r="R254" s="1"/>
  <c r="AB253"/>
  <c r="CQ253"/>
  <c r="P253" s="1"/>
  <c r="AD252"/>
  <c r="CR252" s="1"/>
  <c r="Q252" s="1"/>
  <c r="CS252"/>
  <c r="R252" s="1"/>
  <c r="AB251"/>
  <c r="CQ251"/>
  <c r="P251" s="1"/>
  <c r="AD250"/>
  <c r="CR250" s="1"/>
  <c r="Q250" s="1"/>
  <c r="CS250"/>
  <c r="R250" s="1"/>
  <c r="AB249"/>
  <c r="CQ249"/>
  <c r="P249" s="1"/>
  <c r="CZ248"/>
  <c r="Y248" s="1"/>
  <c r="HJ248"/>
  <c r="HJ178"/>
  <c r="HJ177"/>
  <c r="CY175"/>
  <c r="X175" s="1"/>
  <c r="HJ175"/>
  <c r="CZ175"/>
  <c r="Y175" s="1"/>
  <c r="CC66"/>
  <c r="AT186"/>
  <c r="GM131"/>
  <c r="GM129"/>
  <c r="GM127"/>
  <c r="GM125"/>
  <c r="GM123"/>
  <c r="GM121"/>
  <c r="GM119"/>
  <c r="GM116"/>
  <c r="GM114"/>
  <c r="GM112"/>
  <c r="GM110"/>
  <c r="GM108"/>
  <c r="GM106"/>
  <c r="GM104"/>
  <c r="GM102"/>
  <c r="GM100"/>
  <c r="GM98"/>
  <c r="AU291"/>
  <c r="AQ291"/>
  <c r="HK288"/>
  <c r="CZ288"/>
  <c r="Y288" s="1"/>
  <c r="GO288" s="1"/>
  <c r="AB288"/>
  <c r="HK286"/>
  <c r="CZ286"/>
  <c r="Y286" s="1"/>
  <c r="AB286"/>
  <c r="HK283"/>
  <c r="CZ283"/>
  <c r="Y283" s="1"/>
  <c r="GO283" s="1"/>
  <c r="AB283"/>
  <c r="HK281"/>
  <c r="CZ281"/>
  <c r="Y281" s="1"/>
  <c r="AB281"/>
  <c r="HK279"/>
  <c r="CZ279"/>
  <c r="Y279" s="1"/>
  <c r="GO279" s="1"/>
  <c r="AB279"/>
  <c r="CZ277"/>
  <c r="Y277" s="1"/>
  <c r="GM277" s="1"/>
  <c r="AB277"/>
  <c r="CZ276"/>
  <c r="Y276" s="1"/>
  <c r="GM276" s="1"/>
  <c r="AB276"/>
  <c r="CZ275"/>
  <c r="Y275" s="1"/>
  <c r="GM275" s="1"/>
  <c r="AB275"/>
  <c r="CZ274"/>
  <c r="Y274" s="1"/>
  <c r="GM274" s="1"/>
  <c r="AB274"/>
  <c r="CZ273"/>
  <c r="Y273" s="1"/>
  <c r="GM273" s="1"/>
  <c r="AB273"/>
  <c r="CZ272"/>
  <c r="Y272" s="1"/>
  <c r="GM272" s="1"/>
  <c r="AB272"/>
  <c r="CZ271"/>
  <c r="Y271" s="1"/>
  <c r="GM271" s="1"/>
  <c r="AB271"/>
  <c r="HK269"/>
  <c r="CZ269"/>
  <c r="Y269" s="1"/>
  <c r="AB269"/>
  <c r="CZ268"/>
  <c r="Y268" s="1"/>
  <c r="AB268"/>
  <c r="CZ267"/>
  <c r="Y267" s="1"/>
  <c r="AB267"/>
  <c r="CZ266"/>
  <c r="Y266" s="1"/>
  <c r="AB266"/>
  <c r="CZ265"/>
  <c r="Y265" s="1"/>
  <c r="AB265"/>
  <c r="CZ264"/>
  <c r="Y264" s="1"/>
  <c r="AB264"/>
  <c r="CZ263"/>
  <c r="Y263" s="1"/>
  <c r="AB263"/>
  <c r="CZ262"/>
  <c r="Y262" s="1"/>
  <c r="AB262"/>
  <c r="CZ261"/>
  <c r="Y261" s="1"/>
  <c r="AB261"/>
  <c r="CZ260"/>
  <c r="Y260" s="1"/>
  <c r="AB260"/>
  <c r="CZ259"/>
  <c r="Y259" s="1"/>
  <c r="AB259"/>
  <c r="AH291"/>
  <c r="AO291"/>
  <c r="HK289"/>
  <c r="CZ289"/>
  <c r="Y289" s="1"/>
  <c r="AB289"/>
  <c r="HL288"/>
  <c r="CY288"/>
  <c r="X288" s="1"/>
  <c r="GM288" s="1"/>
  <c r="HK287"/>
  <c r="CZ287"/>
  <c r="Y287" s="1"/>
  <c r="AB287"/>
  <c r="HL286"/>
  <c r="CY286"/>
  <c r="X286" s="1"/>
  <c r="GM286" s="1"/>
  <c r="HK285"/>
  <c r="CZ285"/>
  <c r="Y285" s="1"/>
  <c r="AB285"/>
  <c r="HL283"/>
  <c r="CY283"/>
  <c r="X283" s="1"/>
  <c r="GM283" s="1"/>
  <c r="HK282"/>
  <c r="CZ282"/>
  <c r="Y282" s="1"/>
  <c r="AB282"/>
  <c r="HL281"/>
  <c r="CY281"/>
  <c r="X281" s="1"/>
  <c r="GM281" s="1"/>
  <c r="HK280"/>
  <c r="CZ280"/>
  <c r="Y280" s="1"/>
  <c r="AB280"/>
  <c r="HL279"/>
  <c r="CY279"/>
  <c r="X279" s="1"/>
  <c r="GM279" s="1"/>
  <c r="HJ277"/>
  <c r="CY277"/>
  <c r="X277" s="1"/>
  <c r="GN277" s="1"/>
  <c r="HJ276"/>
  <c r="CY276"/>
  <c r="X276" s="1"/>
  <c r="GN276" s="1"/>
  <c r="HJ275"/>
  <c r="CY275"/>
  <c r="X275" s="1"/>
  <c r="GN275" s="1"/>
  <c r="HJ274"/>
  <c r="CY274"/>
  <c r="X274" s="1"/>
  <c r="GN274" s="1"/>
  <c r="HJ273"/>
  <c r="CY273"/>
  <c r="X273" s="1"/>
  <c r="GN273" s="1"/>
  <c r="HJ272"/>
  <c r="CY272"/>
  <c r="X272" s="1"/>
  <c r="GN272" s="1"/>
  <c r="HJ271"/>
  <c r="CY271"/>
  <c r="X271" s="1"/>
  <c r="GN271" s="1"/>
  <c r="HK270"/>
  <c r="CZ270"/>
  <c r="Y270" s="1"/>
  <c r="AB270"/>
  <c r="HL269"/>
  <c r="CY269"/>
  <c r="X269" s="1"/>
  <c r="GM269" s="1"/>
  <c r="HJ268"/>
  <c r="CY268"/>
  <c r="X268" s="1"/>
  <c r="GN268" s="1"/>
  <c r="HJ267"/>
  <c r="CY267"/>
  <c r="X267" s="1"/>
  <c r="GN267" s="1"/>
  <c r="HJ266"/>
  <c r="CY266"/>
  <c r="X266" s="1"/>
  <c r="GN266" s="1"/>
  <c r="HJ265"/>
  <c r="CY265"/>
  <c r="X265" s="1"/>
  <c r="GN265" s="1"/>
  <c r="HJ264"/>
  <c r="CY264"/>
  <c r="X264" s="1"/>
  <c r="GN264" s="1"/>
  <c r="HJ263"/>
  <c r="CY263"/>
  <c r="X263" s="1"/>
  <c r="GN263" s="1"/>
  <c r="HJ262"/>
  <c r="CY262"/>
  <c r="X262" s="1"/>
  <c r="GN262" s="1"/>
  <c r="HJ261"/>
  <c r="CY261"/>
  <c r="X261" s="1"/>
  <c r="GN261" s="1"/>
  <c r="HJ260"/>
  <c r="CY260"/>
  <c r="X260" s="1"/>
  <c r="GN260" s="1"/>
  <c r="HJ259"/>
  <c r="CY259"/>
  <c r="X259" s="1"/>
  <c r="GN259" s="1"/>
  <c r="T257"/>
  <c r="I257"/>
  <c r="GX256"/>
  <c r="V256"/>
  <c r="T256"/>
  <c r="V250"/>
  <c r="T250"/>
  <c r="AG291" s="1"/>
  <c r="AB248"/>
  <c r="CP247"/>
  <c r="O247" s="1"/>
  <c r="CP246"/>
  <c r="O246" s="1"/>
  <c r="CP245"/>
  <c r="O245" s="1"/>
  <c r="CP244"/>
  <c r="O244" s="1"/>
  <c r="CP243"/>
  <c r="O243" s="1"/>
  <c r="CP242"/>
  <c r="O242" s="1"/>
  <c r="CP241"/>
  <c r="O241" s="1"/>
  <c r="CP240"/>
  <c r="O240" s="1"/>
  <c r="CP239"/>
  <c r="O239" s="1"/>
  <c r="CP238"/>
  <c r="O238" s="1"/>
  <c r="CP237"/>
  <c r="O237" s="1"/>
  <c r="CP236"/>
  <c r="O236" s="1"/>
  <c r="CP235"/>
  <c r="O235" s="1"/>
  <c r="CP234"/>
  <c r="O234" s="1"/>
  <c r="CP233"/>
  <c r="O233" s="1"/>
  <c r="CP232"/>
  <c r="O232" s="1"/>
  <c r="CP231"/>
  <c r="O231" s="1"/>
  <c r="CP230"/>
  <c r="O230" s="1"/>
  <c r="CP229"/>
  <c r="O229" s="1"/>
  <c r="CP228"/>
  <c r="O228" s="1"/>
  <c r="CP227"/>
  <c r="O227" s="1"/>
  <c r="CP226"/>
  <c r="O226" s="1"/>
  <c r="CP225"/>
  <c r="O225" s="1"/>
  <c r="CP224"/>
  <c r="O224" s="1"/>
  <c r="BY291"/>
  <c r="CP223"/>
  <c r="O223" s="1"/>
  <c r="AB184"/>
  <c r="CP183"/>
  <c r="O183" s="1"/>
  <c r="CP182"/>
  <c r="O182" s="1"/>
  <c r="CP180"/>
  <c r="O180" s="1"/>
  <c r="AB179"/>
  <c r="AB176"/>
  <c r="AB174"/>
  <c r="CX379" i="3"/>
  <c r="CX381"/>
  <c r="CX383"/>
  <c r="CX385"/>
  <c r="CX387"/>
  <c r="CX389"/>
  <c r="CX391"/>
  <c r="CX393"/>
  <c r="CX380"/>
  <c r="CX384"/>
  <c r="CX388"/>
  <c r="CX392"/>
  <c r="CX382"/>
  <c r="CX386"/>
  <c r="CX390"/>
  <c r="CX394"/>
  <c r="CX371"/>
  <c r="CX373"/>
  <c r="CX375"/>
  <c r="CX377"/>
  <c r="CX372"/>
  <c r="CX376"/>
  <c r="CX374"/>
  <c r="CX378"/>
  <c r="CX361"/>
  <c r="CX363"/>
  <c r="CX365"/>
  <c r="CX367"/>
  <c r="CX369"/>
  <c r="CX364"/>
  <c r="CX368"/>
  <c r="CX362"/>
  <c r="CX366"/>
  <c r="CX370"/>
  <c r="CX355"/>
  <c r="CX357"/>
  <c r="CX359"/>
  <c r="CX356"/>
  <c r="CX360"/>
  <c r="CX354"/>
  <c r="CX358"/>
  <c r="CZ168" i="1"/>
  <c r="Y168" s="1"/>
  <c r="HI168"/>
  <c r="HL168" s="1"/>
  <c r="AB140"/>
  <c r="CQ140"/>
  <c r="P140" s="1"/>
  <c r="HG140"/>
  <c r="AD139"/>
  <c r="CR139" s="1"/>
  <c r="Q139" s="1"/>
  <c r="CS139"/>
  <c r="R139" s="1"/>
  <c r="HI139" s="1"/>
  <c r="AD138"/>
  <c r="CR138" s="1"/>
  <c r="Q138" s="1"/>
  <c r="CS138"/>
  <c r="R138" s="1"/>
  <c r="HI138" s="1"/>
  <c r="CQ137"/>
  <c r="P137" s="1"/>
  <c r="CP137" s="1"/>
  <c r="O137" s="1"/>
  <c r="HJ137"/>
  <c r="CZ135"/>
  <c r="Y135" s="1"/>
  <c r="HJ135"/>
  <c r="AB134"/>
  <c r="CQ134"/>
  <c r="AB133"/>
  <c r="CQ133"/>
  <c r="P133" s="1"/>
  <c r="HJ133"/>
  <c r="AD132"/>
  <c r="CR132" s="1"/>
  <c r="Q132" s="1"/>
  <c r="CS132"/>
  <c r="R132" s="1"/>
  <c r="HI132" s="1"/>
  <c r="HK130"/>
  <c r="HL130"/>
  <c r="HK129"/>
  <c r="HL129"/>
  <c r="HK128"/>
  <c r="HL128"/>
  <c r="HK127"/>
  <c r="HL127"/>
  <c r="HK126"/>
  <c r="HL126"/>
  <c r="HK125"/>
  <c r="HL125"/>
  <c r="HK124"/>
  <c r="HL124"/>
  <c r="HK123"/>
  <c r="HL123"/>
  <c r="HK122"/>
  <c r="HL122"/>
  <c r="HK121"/>
  <c r="HL121"/>
  <c r="HK120"/>
  <c r="HL120"/>
  <c r="HK119"/>
  <c r="HL119"/>
  <c r="HK118"/>
  <c r="HL118"/>
  <c r="HK116"/>
  <c r="HL116"/>
  <c r="HK115"/>
  <c r="HL115"/>
  <c r="HK114"/>
  <c r="HL114"/>
  <c r="HK113"/>
  <c r="HL113"/>
  <c r="HK112"/>
  <c r="HL112"/>
  <c r="HK111"/>
  <c r="HL111"/>
  <c r="HK110"/>
  <c r="HL110"/>
  <c r="HK109"/>
  <c r="HL109"/>
  <c r="HK108"/>
  <c r="HL108"/>
  <c r="HK107"/>
  <c r="HL107"/>
  <c r="HK106"/>
  <c r="HL106"/>
  <c r="HK105"/>
  <c r="HL105"/>
  <c r="HK104"/>
  <c r="HL104"/>
  <c r="HK103"/>
  <c r="HL103"/>
  <c r="HK102"/>
  <c r="HL102"/>
  <c r="HK101"/>
  <c r="HL101"/>
  <c r="HK100"/>
  <c r="HL100"/>
  <c r="HK99"/>
  <c r="HL99"/>
  <c r="HK98"/>
  <c r="HL98"/>
  <c r="CX758" i="3"/>
  <c r="CX760"/>
  <c r="CX762"/>
  <c r="CX764"/>
  <c r="CX766"/>
  <c r="CX757"/>
  <c r="CX759"/>
  <c r="CX761"/>
  <c r="CX763"/>
  <c r="CX765"/>
  <c r="CX748"/>
  <c r="CX750"/>
  <c r="CX752"/>
  <c r="CX754"/>
  <c r="CX756"/>
  <c r="CX747"/>
  <c r="CX749"/>
  <c r="CX751"/>
  <c r="CX753"/>
  <c r="CX755"/>
  <c r="CX738"/>
  <c r="CX740"/>
  <c r="CX742"/>
  <c r="CX744"/>
  <c r="CX746"/>
  <c r="CX737"/>
  <c r="CX739"/>
  <c r="CX741"/>
  <c r="CX743"/>
  <c r="CX745"/>
  <c r="CX730"/>
  <c r="CX732"/>
  <c r="CX734"/>
  <c r="CX736"/>
  <c r="CX731"/>
  <c r="CX733"/>
  <c r="CX735"/>
  <c r="CX724"/>
  <c r="CX726"/>
  <c r="CX728"/>
  <c r="CX723"/>
  <c r="CX725"/>
  <c r="CX727"/>
  <c r="CX729"/>
  <c r="CX712"/>
  <c r="CX714"/>
  <c r="CX716"/>
  <c r="CX718"/>
  <c r="CX720"/>
  <c r="CX722"/>
  <c r="CX711"/>
  <c r="CX713"/>
  <c r="CX715"/>
  <c r="CX717"/>
  <c r="CX719"/>
  <c r="CX721"/>
  <c r="CX698"/>
  <c r="CX700"/>
  <c r="CX702"/>
  <c r="CX704"/>
  <c r="CX706"/>
  <c r="CX708"/>
  <c r="CX710"/>
  <c r="CX699"/>
  <c r="CX701"/>
  <c r="CX703"/>
  <c r="CX705"/>
  <c r="CX707"/>
  <c r="CX709"/>
  <c r="CX682"/>
  <c r="CX684"/>
  <c r="CX686"/>
  <c r="CX688"/>
  <c r="CX690"/>
  <c r="CX692"/>
  <c r="CX694"/>
  <c r="CX696"/>
  <c r="CX683"/>
  <c r="CX685"/>
  <c r="CX687"/>
  <c r="CX689"/>
  <c r="CX691"/>
  <c r="CX693"/>
  <c r="CX695"/>
  <c r="CX697"/>
  <c r="CX672"/>
  <c r="CX674"/>
  <c r="CX676"/>
  <c r="CX678"/>
  <c r="CX680"/>
  <c r="CX671"/>
  <c r="CX673"/>
  <c r="CX675"/>
  <c r="CX677"/>
  <c r="CX679"/>
  <c r="CX681"/>
  <c r="CX660"/>
  <c r="CX662"/>
  <c r="CX664"/>
  <c r="CX666"/>
  <c r="CX668"/>
  <c r="CX670"/>
  <c r="CX661"/>
  <c r="CX663"/>
  <c r="CX665"/>
  <c r="CX667"/>
  <c r="CX669"/>
  <c r="CX644"/>
  <c r="CX646"/>
  <c r="CX648"/>
  <c r="CX650"/>
  <c r="CX652"/>
  <c r="CX654"/>
  <c r="CX656"/>
  <c r="CX658"/>
  <c r="CX645"/>
  <c r="CX647"/>
  <c r="CX649"/>
  <c r="CX651"/>
  <c r="CX653"/>
  <c r="CX655"/>
  <c r="CX657"/>
  <c r="CX659"/>
  <c r="CX630"/>
  <c r="CX632"/>
  <c r="CX634"/>
  <c r="CX636"/>
  <c r="CX638"/>
  <c r="CX640"/>
  <c r="CX642"/>
  <c r="CX631"/>
  <c r="CX633"/>
  <c r="CX635"/>
  <c r="CX637"/>
  <c r="CX639"/>
  <c r="CX641"/>
  <c r="CX643"/>
  <c r="CX620"/>
  <c r="CX622"/>
  <c r="CX624"/>
  <c r="CX626"/>
  <c r="CX628"/>
  <c r="CX621"/>
  <c r="CX623"/>
  <c r="CX625"/>
  <c r="CX627"/>
  <c r="CX629"/>
  <c r="CX616"/>
  <c r="CX618"/>
  <c r="CX615"/>
  <c r="CX617"/>
  <c r="CX619"/>
  <c r="CX610"/>
  <c r="CX612"/>
  <c r="CX614"/>
  <c r="CX609"/>
  <c r="CX611"/>
  <c r="CX613"/>
  <c r="CX598"/>
  <c r="CX600"/>
  <c r="CX602"/>
  <c r="CX604"/>
  <c r="CX606"/>
  <c r="CX608"/>
  <c r="CX599"/>
  <c r="CX601"/>
  <c r="CX603"/>
  <c r="CX605"/>
  <c r="CX607"/>
  <c r="CX594"/>
  <c r="CX596"/>
  <c r="CX593"/>
  <c r="CX595"/>
  <c r="CX597"/>
  <c r="CX588"/>
  <c r="CX590"/>
  <c r="CX592"/>
  <c r="CX587"/>
  <c r="CX589"/>
  <c r="CX591"/>
  <c r="CX559"/>
  <c r="CX558"/>
  <c r="CX560"/>
  <c r="CX555"/>
  <c r="CX557"/>
  <c r="CX556"/>
  <c r="CX545"/>
  <c r="CX547"/>
  <c r="CX549"/>
  <c r="CX551"/>
  <c r="CX553"/>
  <c r="CX546"/>
  <c r="CX550"/>
  <c r="CX554"/>
  <c r="CX548"/>
  <c r="CX552"/>
  <c r="CX541"/>
  <c r="CX543"/>
  <c r="CX542"/>
  <c r="CX540"/>
  <c r="CX544"/>
  <c r="CX533"/>
  <c r="CX535"/>
  <c r="CX537"/>
  <c r="CX539"/>
  <c r="CX534"/>
  <c r="CX538"/>
  <c r="CX532"/>
  <c r="CX536"/>
  <c r="CX519"/>
  <c r="CX521"/>
  <c r="CX523"/>
  <c r="CX525"/>
  <c r="CX527"/>
  <c r="CX529"/>
  <c r="CX531"/>
  <c r="CX518"/>
  <c r="CX522"/>
  <c r="CX526"/>
  <c r="CX530"/>
  <c r="CX520"/>
  <c r="CX524"/>
  <c r="CX528"/>
  <c r="CX515"/>
  <c r="CX517"/>
  <c r="CX514"/>
  <c r="CX516"/>
  <c r="CX511"/>
  <c r="CX513"/>
  <c r="CX512"/>
  <c r="CX501"/>
  <c r="CX503"/>
  <c r="CX505"/>
  <c r="CX507"/>
  <c r="CX509"/>
  <c r="CX502"/>
  <c r="CX506"/>
  <c r="CX510"/>
  <c r="CX500"/>
  <c r="CX504"/>
  <c r="CX508"/>
  <c r="CX489"/>
  <c r="CX491"/>
  <c r="CX493"/>
  <c r="CX495"/>
  <c r="CX497"/>
  <c r="CX499"/>
  <c r="CX490"/>
  <c r="CX494"/>
  <c r="CX498"/>
  <c r="CX492"/>
  <c r="CX496"/>
  <c r="CX473"/>
  <c r="CX475"/>
  <c r="CX477"/>
  <c r="CX479"/>
  <c r="CX481"/>
  <c r="CX483"/>
  <c r="CX485"/>
  <c r="CX487"/>
  <c r="CX474"/>
  <c r="CX478"/>
  <c r="CX482"/>
  <c r="CX486"/>
  <c r="CX472"/>
  <c r="CX476"/>
  <c r="CX480"/>
  <c r="CX484"/>
  <c r="CX488"/>
  <c r="CX469"/>
  <c r="CX471"/>
  <c r="CX470"/>
  <c r="CX447"/>
  <c r="CX449"/>
  <c r="CX451"/>
  <c r="CX453"/>
  <c r="CX455"/>
  <c r="CX457"/>
  <c r="CX459"/>
  <c r="CX461"/>
  <c r="CX463"/>
  <c r="CX465"/>
  <c r="CX467"/>
  <c r="CX450"/>
  <c r="CX454"/>
  <c r="CX458"/>
  <c r="CX462"/>
  <c r="CX466"/>
  <c r="CX448"/>
  <c r="CX452"/>
  <c r="CX456"/>
  <c r="CX460"/>
  <c r="CX464"/>
  <c r="CX468"/>
  <c r="CX439"/>
  <c r="CX441"/>
  <c r="CX438"/>
  <c r="CX442"/>
  <c r="CX440"/>
  <c r="CX431"/>
  <c r="CX433"/>
  <c r="CX435"/>
  <c r="CX437"/>
  <c r="CX430"/>
  <c r="CX434"/>
  <c r="CX432"/>
  <c r="CX436"/>
  <c r="CX421"/>
  <c r="CX423"/>
  <c r="CX425"/>
  <c r="CX427"/>
  <c r="CX429"/>
  <c r="CX422"/>
  <c r="CX426"/>
  <c r="CX424"/>
  <c r="CX428"/>
  <c r="CX405"/>
  <c r="CX407"/>
  <c r="CX406"/>
  <c r="CX403"/>
  <c r="CX404"/>
  <c r="CX401"/>
  <c r="CX402"/>
  <c r="HK166" i="1"/>
  <c r="HL166"/>
  <c r="HK165"/>
  <c r="HL165"/>
  <c r="HK164"/>
  <c r="HL164"/>
  <c r="HK163"/>
  <c r="HL163"/>
  <c r="HK161"/>
  <c r="HL161"/>
  <c r="HK160"/>
  <c r="HL160"/>
  <c r="HK159"/>
  <c r="HL159"/>
  <c r="HK157"/>
  <c r="HL157"/>
  <c r="HK156"/>
  <c r="HL156"/>
  <c r="HK155"/>
  <c r="HL155"/>
  <c r="HK153"/>
  <c r="HL153"/>
  <c r="HK152"/>
  <c r="HL152"/>
  <c r="HK151"/>
  <c r="HL151"/>
  <c r="HK149"/>
  <c r="HL149"/>
  <c r="HK148"/>
  <c r="HL148"/>
  <c r="HK147"/>
  <c r="HL147"/>
  <c r="HK145"/>
  <c r="HL145"/>
  <c r="HK144"/>
  <c r="HL144"/>
  <c r="HK142"/>
  <c r="HL142"/>
  <c r="HK141"/>
  <c r="HL141"/>
  <c r="HJ139"/>
  <c r="CY138"/>
  <c r="X138" s="1"/>
  <c r="HJ138"/>
  <c r="CZ138"/>
  <c r="Y138" s="1"/>
  <c r="CZ136"/>
  <c r="Y136" s="1"/>
  <c r="HJ136"/>
  <c r="CY136"/>
  <c r="X136" s="1"/>
  <c r="GM136" s="1"/>
  <c r="AD135"/>
  <c r="CR135" s="1"/>
  <c r="Q135" s="1"/>
  <c r="CS135"/>
  <c r="R135" s="1"/>
  <c r="HI135" s="1"/>
  <c r="CX125" i="3"/>
  <c r="CX127"/>
  <c r="CX129"/>
  <c r="CX131"/>
  <c r="CX133"/>
  <c r="CX135"/>
  <c r="CX137"/>
  <c r="CX139"/>
  <c r="CX124"/>
  <c r="CX128"/>
  <c r="CX132"/>
  <c r="CX136"/>
  <c r="CX126"/>
  <c r="CX130"/>
  <c r="CX134"/>
  <c r="CX138"/>
  <c r="K134" i="1"/>
  <c r="GX133"/>
  <c r="I134"/>
  <c r="CY132"/>
  <c r="X132" s="1"/>
  <c r="HJ132"/>
  <c r="CZ132"/>
  <c r="Y132" s="1"/>
  <c r="AB247"/>
  <c r="AB246"/>
  <c r="AB245"/>
  <c r="AB244"/>
  <c r="AB243"/>
  <c r="AB242"/>
  <c r="AB241"/>
  <c r="AB240"/>
  <c r="AB239"/>
  <c r="AB238"/>
  <c r="AB237"/>
  <c r="AB236"/>
  <c r="AB235"/>
  <c r="AB234"/>
  <c r="AB233"/>
  <c r="AB232"/>
  <c r="AB231"/>
  <c r="AB230"/>
  <c r="AB229"/>
  <c r="AB228"/>
  <c r="AB227"/>
  <c r="AB226"/>
  <c r="AB225"/>
  <c r="AB224"/>
  <c r="AB223"/>
  <c r="BC186"/>
  <c r="AU186"/>
  <c r="AQ186"/>
  <c r="AO186"/>
  <c r="AB183"/>
  <c r="AB182"/>
  <c r="AB180"/>
  <c r="CZ171"/>
  <c r="Y171" s="1"/>
  <c r="GM171" s="1"/>
  <c r="AB171"/>
  <c r="CZ170"/>
  <c r="Y170" s="1"/>
  <c r="GM170" s="1"/>
  <c r="AB170"/>
  <c r="CZ169"/>
  <c r="Y169" s="1"/>
  <c r="GM169" s="1"/>
  <c r="AB169"/>
  <c r="GN168"/>
  <c r="GN136"/>
  <c r="BD291"/>
  <c r="BB291"/>
  <c r="CG186"/>
  <c r="BB186"/>
  <c r="CS184"/>
  <c r="R184" s="1"/>
  <c r="HI184" s="1"/>
  <c r="CQ184"/>
  <c r="P184" s="1"/>
  <c r="CP184" s="1"/>
  <c r="O184" s="1"/>
  <c r="CS179"/>
  <c r="R179" s="1"/>
  <c r="HI179" s="1"/>
  <c r="CQ179"/>
  <c r="P179" s="1"/>
  <c r="CP179" s="1"/>
  <c r="O179" s="1"/>
  <c r="CS178"/>
  <c r="R178" s="1"/>
  <c r="HI178" s="1"/>
  <c r="CQ178"/>
  <c r="P178" s="1"/>
  <c r="CP178" s="1"/>
  <c r="O178" s="1"/>
  <c r="K178"/>
  <c r="CS177"/>
  <c r="R177" s="1"/>
  <c r="HI177" s="1"/>
  <c r="CQ177"/>
  <c r="P177" s="1"/>
  <c r="CP177" s="1"/>
  <c r="O177" s="1"/>
  <c r="CS176"/>
  <c r="R176" s="1"/>
  <c r="HI176" s="1"/>
  <c r="CQ176"/>
  <c r="P176" s="1"/>
  <c r="CP176" s="1"/>
  <c r="O176" s="1"/>
  <c r="CS175"/>
  <c r="R175" s="1"/>
  <c r="HI175" s="1"/>
  <c r="CQ175"/>
  <c r="P175" s="1"/>
  <c r="CP175" s="1"/>
  <c r="O175" s="1"/>
  <c r="CS174"/>
  <c r="R174" s="1"/>
  <c r="HI174" s="1"/>
  <c r="CQ174"/>
  <c r="P174" s="1"/>
  <c r="CP174" s="1"/>
  <c r="O174" s="1"/>
  <c r="HJ173"/>
  <c r="CS173"/>
  <c r="R173" s="1"/>
  <c r="CQ173"/>
  <c r="P173" s="1"/>
  <c r="CP173" s="1"/>
  <c r="O173" s="1"/>
  <c r="HJ171"/>
  <c r="CY171"/>
  <c r="X171" s="1"/>
  <c r="GN171" s="1"/>
  <c r="HJ170"/>
  <c r="CY170"/>
  <c r="X170" s="1"/>
  <c r="GN170" s="1"/>
  <c r="HJ169"/>
  <c r="CY169"/>
  <c r="X169" s="1"/>
  <c r="GN169" s="1"/>
  <c r="HK168"/>
  <c r="CY168"/>
  <c r="X168" s="1"/>
  <c r="CY166"/>
  <c r="X166" s="1"/>
  <c r="GM166" s="1"/>
  <c r="CY165"/>
  <c r="X165" s="1"/>
  <c r="GM165" s="1"/>
  <c r="CY164"/>
  <c r="X164" s="1"/>
  <c r="GM164" s="1"/>
  <c r="CY163"/>
  <c r="X163" s="1"/>
  <c r="GM163" s="1"/>
  <c r="CY161"/>
  <c r="X161" s="1"/>
  <c r="GM161" s="1"/>
  <c r="CY160"/>
  <c r="X160" s="1"/>
  <c r="GM160" s="1"/>
  <c r="CY159"/>
  <c r="X159" s="1"/>
  <c r="GM159" s="1"/>
  <c r="CY157"/>
  <c r="X157" s="1"/>
  <c r="GM157" s="1"/>
  <c r="CY156"/>
  <c r="X156" s="1"/>
  <c r="GM156" s="1"/>
  <c r="CY155"/>
  <c r="X155" s="1"/>
  <c r="GM155" s="1"/>
  <c r="CY153"/>
  <c r="X153" s="1"/>
  <c r="GM153" s="1"/>
  <c r="CY152"/>
  <c r="X152" s="1"/>
  <c r="GM152" s="1"/>
  <c r="CY151"/>
  <c r="X151" s="1"/>
  <c r="GM151" s="1"/>
  <c r="CY149"/>
  <c r="X149" s="1"/>
  <c r="GM149" s="1"/>
  <c r="CY148"/>
  <c r="X148" s="1"/>
  <c r="GM148" s="1"/>
  <c r="CY147"/>
  <c r="X147" s="1"/>
  <c r="GM147" s="1"/>
  <c r="CY145"/>
  <c r="X145" s="1"/>
  <c r="GM145" s="1"/>
  <c r="CY144"/>
  <c r="X144" s="1"/>
  <c r="GM144" s="1"/>
  <c r="CY142"/>
  <c r="X142" s="1"/>
  <c r="GM142" s="1"/>
  <c r="CY141"/>
  <c r="X141" s="1"/>
  <c r="GM141" s="1"/>
  <c r="HJ140"/>
  <c r="AB136"/>
  <c r="U134"/>
  <c r="CX345" i="3"/>
  <c r="CX347"/>
  <c r="CX349"/>
  <c r="CX351"/>
  <c r="CX353"/>
  <c r="CX344"/>
  <c r="CX348"/>
  <c r="CX352"/>
  <c r="CX346"/>
  <c r="CX350"/>
  <c r="CX337"/>
  <c r="CX339"/>
  <c r="CX341"/>
  <c r="CX343"/>
  <c r="CX336"/>
  <c r="CX340"/>
  <c r="CX338"/>
  <c r="CX342"/>
  <c r="CX327"/>
  <c r="CX329"/>
  <c r="CX331"/>
  <c r="CX333"/>
  <c r="CX335"/>
  <c r="CX328"/>
  <c r="CX332"/>
  <c r="CX326"/>
  <c r="CX330"/>
  <c r="CX334"/>
  <c r="CX319"/>
  <c r="CX321"/>
  <c r="CX323"/>
  <c r="CX325"/>
  <c r="CX320"/>
  <c r="CX324"/>
  <c r="CX322"/>
  <c r="AD140" i="1"/>
  <c r="CR140" s="1"/>
  <c r="Q140" s="1"/>
  <c r="CS140"/>
  <c r="R140" s="1"/>
  <c r="HI140" s="1"/>
  <c r="AB139"/>
  <c r="CQ139"/>
  <c r="P139" s="1"/>
  <c r="CP139" s="1"/>
  <c r="O139" s="1"/>
  <c r="AB138"/>
  <c r="CQ138"/>
  <c r="P138" s="1"/>
  <c r="CP138" s="1"/>
  <c r="O138" s="1"/>
  <c r="CX141" i="3"/>
  <c r="CX143"/>
  <c r="CX145"/>
  <c r="CX147"/>
  <c r="CX149"/>
  <c r="CX151"/>
  <c r="CX140"/>
  <c r="CX144"/>
  <c r="CX148"/>
  <c r="CX152"/>
  <c r="CX142"/>
  <c r="CX146"/>
  <c r="CX150"/>
  <c r="K139" i="1"/>
  <c r="AD137"/>
  <c r="CR137" s="1"/>
  <c r="Q137" s="1"/>
  <c r="CS137"/>
  <c r="R137" s="1"/>
  <c r="HI137" s="1"/>
  <c r="CQ135"/>
  <c r="P135" s="1"/>
  <c r="CP135" s="1"/>
  <c r="O135" s="1"/>
  <c r="AD134"/>
  <c r="CR134" s="1"/>
  <c r="CS134"/>
  <c r="R134" s="1"/>
  <c r="HI134" s="1"/>
  <c r="AD133"/>
  <c r="CR133" s="1"/>
  <c r="Q133" s="1"/>
  <c r="CS133"/>
  <c r="R133" s="1"/>
  <c r="HI133" s="1"/>
  <c r="CQ132"/>
  <c r="P132" s="1"/>
  <c r="CP132" s="1"/>
  <c r="O132" s="1"/>
  <c r="CZ131"/>
  <c r="Y131" s="1"/>
  <c r="GN131" s="1"/>
  <c r="HJ131"/>
  <c r="HJ95"/>
  <c r="CZ88"/>
  <c r="Y88" s="1"/>
  <c r="HJ88"/>
  <c r="CY88"/>
  <c r="X88" s="1"/>
  <c r="CZ87"/>
  <c r="Y87" s="1"/>
  <c r="CY87"/>
  <c r="X87" s="1"/>
  <c r="HJ87"/>
  <c r="CZ86"/>
  <c r="Y86" s="1"/>
  <c r="CY86"/>
  <c r="X86" s="1"/>
  <c r="HJ86"/>
  <c r="CZ85"/>
  <c r="Y85" s="1"/>
  <c r="CY85"/>
  <c r="X85" s="1"/>
  <c r="HJ85"/>
  <c r="CY84"/>
  <c r="X84" s="1"/>
  <c r="HJ84"/>
  <c r="HJ82"/>
  <c r="CY80"/>
  <c r="X80" s="1"/>
  <c r="HJ80"/>
  <c r="CZ80"/>
  <c r="Y80" s="1"/>
  <c r="CZ76"/>
  <c r="Y76" s="1"/>
  <c r="HJ76"/>
  <c r="CY76"/>
  <c r="X76" s="1"/>
  <c r="CI26"/>
  <c r="AZ31"/>
  <c r="CG26"/>
  <c r="AX31"/>
  <c r="CZ29"/>
  <c r="Y29" s="1"/>
  <c r="CY29"/>
  <c r="X29" s="1"/>
  <c r="HJ29"/>
  <c r="HI28"/>
  <c r="AE31"/>
  <c r="CZ28"/>
  <c r="Y28" s="1"/>
  <c r="AF31"/>
  <c r="CY28"/>
  <c r="X28" s="1"/>
  <c r="AK31" s="1"/>
  <c r="HJ28"/>
  <c r="AB168"/>
  <c r="CZ166"/>
  <c r="Y166" s="1"/>
  <c r="AB166"/>
  <c r="CZ165"/>
  <c r="Y165" s="1"/>
  <c r="GN165" s="1"/>
  <c r="AB165"/>
  <c r="CZ164"/>
  <c r="Y164" s="1"/>
  <c r="AB164"/>
  <c r="CZ163"/>
  <c r="Y163" s="1"/>
  <c r="GN163" s="1"/>
  <c r="AB163"/>
  <c r="CZ161"/>
  <c r="Y161" s="1"/>
  <c r="AB161"/>
  <c r="CZ160"/>
  <c r="Y160" s="1"/>
  <c r="GN160" s="1"/>
  <c r="AB160"/>
  <c r="CZ159"/>
  <c r="Y159" s="1"/>
  <c r="AB159"/>
  <c r="CZ157"/>
  <c r="Y157" s="1"/>
  <c r="GN157" s="1"/>
  <c r="AB157"/>
  <c r="CZ156"/>
  <c r="Y156" s="1"/>
  <c r="AB156"/>
  <c r="CZ155"/>
  <c r="Y155" s="1"/>
  <c r="GN155" s="1"/>
  <c r="AB155"/>
  <c r="CZ153"/>
  <c r="Y153" s="1"/>
  <c r="AB153"/>
  <c r="CZ152"/>
  <c r="Y152" s="1"/>
  <c r="GN152" s="1"/>
  <c r="AB152"/>
  <c r="CZ151"/>
  <c r="Y151" s="1"/>
  <c r="AB151"/>
  <c r="CZ149"/>
  <c r="Y149" s="1"/>
  <c r="GN149" s="1"/>
  <c r="AB149"/>
  <c r="CZ148"/>
  <c r="Y148" s="1"/>
  <c r="AB148"/>
  <c r="CZ147"/>
  <c r="Y147" s="1"/>
  <c r="GN147" s="1"/>
  <c r="AB147"/>
  <c r="CZ145"/>
  <c r="Y145" s="1"/>
  <c r="AB145"/>
  <c r="CZ144"/>
  <c r="Y144" s="1"/>
  <c r="GN144" s="1"/>
  <c r="AB144"/>
  <c r="CZ142"/>
  <c r="Y142" s="1"/>
  <c r="AB142"/>
  <c r="CZ141"/>
  <c r="Y141" s="1"/>
  <c r="GN141" s="1"/>
  <c r="AB141"/>
  <c r="V134"/>
  <c r="V133"/>
  <c r="AI186" s="1"/>
  <c r="T133"/>
  <c r="AB131"/>
  <c r="CZ130"/>
  <c r="Y130" s="1"/>
  <c r="GM130" s="1"/>
  <c r="AB130"/>
  <c r="CZ129"/>
  <c r="Y129" s="1"/>
  <c r="GN129" s="1"/>
  <c r="AB129"/>
  <c r="CZ128"/>
  <c r="Y128" s="1"/>
  <c r="GM128" s="1"/>
  <c r="AB128"/>
  <c r="CZ127"/>
  <c r="Y127" s="1"/>
  <c r="GN127" s="1"/>
  <c r="AB127"/>
  <c r="CZ126"/>
  <c r="Y126" s="1"/>
  <c r="GM126" s="1"/>
  <c r="AB126"/>
  <c r="CZ125"/>
  <c r="Y125" s="1"/>
  <c r="GN125" s="1"/>
  <c r="AB125"/>
  <c r="CZ124"/>
  <c r="Y124" s="1"/>
  <c r="GM124" s="1"/>
  <c r="AB124"/>
  <c r="CZ123"/>
  <c r="Y123" s="1"/>
  <c r="GN123" s="1"/>
  <c r="AB123"/>
  <c r="CZ122"/>
  <c r="Y122" s="1"/>
  <c r="GM122" s="1"/>
  <c r="AB122"/>
  <c r="CZ121"/>
  <c r="Y121" s="1"/>
  <c r="GN121" s="1"/>
  <c r="AB121"/>
  <c r="CZ120"/>
  <c r="Y120" s="1"/>
  <c r="GM120" s="1"/>
  <c r="AB120"/>
  <c r="CZ119"/>
  <c r="Y119" s="1"/>
  <c r="GN119" s="1"/>
  <c r="AB119"/>
  <c r="CZ118"/>
  <c r="Y118" s="1"/>
  <c r="GM118" s="1"/>
  <c r="AB118"/>
  <c r="CZ116"/>
  <c r="Y116" s="1"/>
  <c r="GN116" s="1"/>
  <c r="AB116"/>
  <c r="CZ115"/>
  <c r="Y115" s="1"/>
  <c r="GM115" s="1"/>
  <c r="AB115"/>
  <c r="CZ114"/>
  <c r="Y114" s="1"/>
  <c r="GN114" s="1"/>
  <c r="AB114"/>
  <c r="CZ113"/>
  <c r="Y113" s="1"/>
  <c r="GM113" s="1"/>
  <c r="AB113"/>
  <c r="CZ112"/>
  <c r="Y112" s="1"/>
  <c r="GN112" s="1"/>
  <c r="AB112"/>
  <c r="CZ111"/>
  <c r="Y111" s="1"/>
  <c r="GM111" s="1"/>
  <c r="AB111"/>
  <c r="CZ110"/>
  <c r="Y110" s="1"/>
  <c r="GN110" s="1"/>
  <c r="AB110"/>
  <c r="CZ109"/>
  <c r="Y109" s="1"/>
  <c r="GM109" s="1"/>
  <c r="AB109"/>
  <c r="CZ108"/>
  <c r="Y108" s="1"/>
  <c r="GN108" s="1"/>
  <c r="AB108"/>
  <c r="CZ107"/>
  <c r="Y107" s="1"/>
  <c r="GM107" s="1"/>
  <c r="AB107"/>
  <c r="CZ106"/>
  <c r="Y106" s="1"/>
  <c r="GN106" s="1"/>
  <c r="AB106"/>
  <c r="CZ105"/>
  <c r="Y105" s="1"/>
  <c r="GM105" s="1"/>
  <c r="AB105"/>
  <c r="CZ104"/>
  <c r="Y104" s="1"/>
  <c r="GN104" s="1"/>
  <c r="AB104"/>
  <c r="CZ103"/>
  <c r="Y103" s="1"/>
  <c r="GM103" s="1"/>
  <c r="AB103"/>
  <c r="CZ102"/>
  <c r="Y102" s="1"/>
  <c r="GN102" s="1"/>
  <c r="AB102"/>
  <c r="CZ101"/>
  <c r="Y101" s="1"/>
  <c r="GM101" s="1"/>
  <c r="AB101"/>
  <c r="CZ100"/>
  <c r="Y100" s="1"/>
  <c r="GN100" s="1"/>
  <c r="AB100"/>
  <c r="CZ99"/>
  <c r="Y99" s="1"/>
  <c r="GM99" s="1"/>
  <c r="AB99"/>
  <c r="CZ98"/>
  <c r="Y98" s="1"/>
  <c r="GN98" s="1"/>
  <c r="AB98"/>
  <c r="W97"/>
  <c r="U97"/>
  <c r="AH186" s="1"/>
  <c r="S97"/>
  <c r="Q97"/>
  <c r="CP97" s="1"/>
  <c r="O97" s="1"/>
  <c r="AB97"/>
  <c r="CP76"/>
  <c r="O76" s="1"/>
  <c r="CP74"/>
  <c r="O74" s="1"/>
  <c r="CP72"/>
  <c r="O72" s="1"/>
  <c r="CJ31"/>
  <c r="AI31"/>
  <c r="AJ31"/>
  <c r="AH31"/>
  <c r="AD31"/>
  <c r="CX309" i="3"/>
  <c r="CX311"/>
  <c r="CX313"/>
  <c r="CX315"/>
  <c r="CX317"/>
  <c r="CX312"/>
  <c r="CX316"/>
  <c r="CX310"/>
  <c r="CX314"/>
  <c r="CX318"/>
  <c r="CX301"/>
  <c r="CX303"/>
  <c r="CX305"/>
  <c r="CX307"/>
  <c r="CX304"/>
  <c r="CX308"/>
  <c r="CX302"/>
  <c r="CX306"/>
  <c r="CX291"/>
  <c r="CX293"/>
  <c r="CX295"/>
  <c r="CX297"/>
  <c r="CX299"/>
  <c r="CX292"/>
  <c r="CX296"/>
  <c r="CX300"/>
  <c r="CX294"/>
  <c r="CX298"/>
  <c r="CX285"/>
  <c r="CX287"/>
  <c r="CX289"/>
  <c r="CX284"/>
  <c r="CX288"/>
  <c r="CX286"/>
  <c r="CX290"/>
  <c r="CX275"/>
  <c r="CX277"/>
  <c r="CX279"/>
  <c r="CX281"/>
  <c r="CX283"/>
  <c r="CX276"/>
  <c r="CX280"/>
  <c r="CX274"/>
  <c r="CX278"/>
  <c r="CX282"/>
  <c r="CX267"/>
  <c r="CX269"/>
  <c r="CX271"/>
  <c r="CX273"/>
  <c r="CX268"/>
  <c r="CX272"/>
  <c r="CX266"/>
  <c r="CX270"/>
  <c r="CX259"/>
  <c r="CX261"/>
  <c r="CX263"/>
  <c r="CX265"/>
  <c r="CX260"/>
  <c r="CX264"/>
  <c r="CX262"/>
  <c r="CX249"/>
  <c r="CX251"/>
  <c r="CX253"/>
  <c r="CX255"/>
  <c r="CX257"/>
  <c r="CX252"/>
  <c r="CX256"/>
  <c r="CX250"/>
  <c r="CX254"/>
  <c r="CX258"/>
  <c r="CX241"/>
  <c r="CX243"/>
  <c r="CX245"/>
  <c r="CX247"/>
  <c r="CX244"/>
  <c r="CX248"/>
  <c r="CX242"/>
  <c r="CX246"/>
  <c r="CX235"/>
  <c r="CX237"/>
  <c r="CX239"/>
  <c r="CX236"/>
  <c r="CX240"/>
  <c r="CX234"/>
  <c r="CX238"/>
  <c r="CX225"/>
  <c r="CX227"/>
  <c r="CX229"/>
  <c r="CX231"/>
  <c r="CX233"/>
  <c r="CX224"/>
  <c r="CX228"/>
  <c r="CX232"/>
  <c r="CX226"/>
  <c r="CX230"/>
  <c r="CX217"/>
  <c r="CX219"/>
  <c r="CX221"/>
  <c r="CX223"/>
  <c r="CX216"/>
  <c r="CX220"/>
  <c r="CX218"/>
  <c r="CX222"/>
  <c r="CX209"/>
  <c r="CX211"/>
  <c r="CX213"/>
  <c r="CX215"/>
  <c r="CX212"/>
  <c r="CX210"/>
  <c r="CX214"/>
  <c r="CX199"/>
  <c r="CX201"/>
  <c r="CX203"/>
  <c r="CX205"/>
  <c r="CX207"/>
  <c r="CX200"/>
  <c r="CX204"/>
  <c r="CX208"/>
  <c r="CX202"/>
  <c r="CX206"/>
  <c r="CX191"/>
  <c r="CX193"/>
  <c r="CX195"/>
  <c r="CX197"/>
  <c r="CX192"/>
  <c r="CX196"/>
  <c r="CX194"/>
  <c r="CX198"/>
  <c r="CX185"/>
  <c r="CX187"/>
  <c r="CX189"/>
  <c r="CX184"/>
  <c r="CX188"/>
  <c r="CX186"/>
  <c r="CX190"/>
  <c r="CX175"/>
  <c r="CX177"/>
  <c r="CX179"/>
  <c r="CX181"/>
  <c r="CX183"/>
  <c r="CX176"/>
  <c r="CX180"/>
  <c r="CX174"/>
  <c r="CX178"/>
  <c r="CX182"/>
  <c r="CX171"/>
  <c r="CX173"/>
  <c r="CX172"/>
  <c r="CX163"/>
  <c r="CX165"/>
  <c r="CX167"/>
  <c r="CX169"/>
  <c r="CX164"/>
  <c r="CX168"/>
  <c r="CX166"/>
  <c r="CX153"/>
  <c r="CX155"/>
  <c r="CX157"/>
  <c r="CX159"/>
  <c r="CX161"/>
  <c r="CX156"/>
  <c r="CX160"/>
  <c r="CX154"/>
  <c r="CX158"/>
  <c r="CX162"/>
  <c r="CX109"/>
  <c r="CX111"/>
  <c r="CX113"/>
  <c r="CX115"/>
  <c r="CX117"/>
  <c r="CX119"/>
  <c r="CX121"/>
  <c r="CX123"/>
  <c r="CX108"/>
  <c r="CX112"/>
  <c r="CX116"/>
  <c r="CX120"/>
  <c r="CX110"/>
  <c r="CX114"/>
  <c r="CX118"/>
  <c r="CX122"/>
  <c r="CX95"/>
  <c r="CX97"/>
  <c r="CX94"/>
  <c r="CX96"/>
  <c r="CX89"/>
  <c r="CX91"/>
  <c r="CX93"/>
  <c r="CX90"/>
  <c r="CX88"/>
  <c r="CX92"/>
  <c r="CX83"/>
  <c r="CX85"/>
  <c r="CX87"/>
  <c r="CX86"/>
  <c r="CX84"/>
  <c r="CX79"/>
  <c r="CX81"/>
  <c r="CX78"/>
  <c r="CX82"/>
  <c r="CX80"/>
  <c r="HJ96" i="1"/>
  <c r="CZ93"/>
  <c r="Y93" s="1"/>
  <c r="HJ93"/>
  <c r="CY93"/>
  <c r="X93" s="1"/>
  <c r="GM93" s="1"/>
  <c r="CZ92"/>
  <c r="Y92" s="1"/>
  <c r="CY92"/>
  <c r="X92" s="1"/>
  <c r="GM92" s="1"/>
  <c r="HJ92"/>
  <c r="CZ91"/>
  <c r="Y91" s="1"/>
  <c r="GN91" s="1"/>
  <c r="CY91"/>
  <c r="X91" s="1"/>
  <c r="GM91" s="1"/>
  <c r="HJ91"/>
  <c r="CZ90"/>
  <c r="Y90" s="1"/>
  <c r="CY90"/>
  <c r="X90" s="1"/>
  <c r="GM90" s="1"/>
  <c r="HJ90"/>
  <c r="CY89"/>
  <c r="X89" s="1"/>
  <c r="HJ89"/>
  <c r="HJ83"/>
  <c r="CY81"/>
  <c r="X81" s="1"/>
  <c r="HJ81"/>
  <c r="CZ81"/>
  <c r="Y81" s="1"/>
  <c r="CY79"/>
  <c r="X79" s="1"/>
  <c r="HJ79"/>
  <c r="CZ79"/>
  <c r="Y79" s="1"/>
  <c r="CY78"/>
  <c r="X78" s="1"/>
  <c r="GM78" s="1"/>
  <c r="HJ78"/>
  <c r="CZ78"/>
  <c r="Y78" s="1"/>
  <c r="CY77"/>
  <c r="X77" s="1"/>
  <c r="HJ77"/>
  <c r="CZ77"/>
  <c r="Y77" s="1"/>
  <c r="AB77"/>
  <c r="CR77"/>
  <c r="Q77" s="1"/>
  <c r="CY75"/>
  <c r="X75" s="1"/>
  <c r="CZ75"/>
  <c r="Y75" s="1"/>
  <c r="HJ75"/>
  <c r="CY74"/>
  <c r="X74" s="1"/>
  <c r="HJ74"/>
  <c r="CZ74"/>
  <c r="Y74" s="1"/>
  <c r="CY73"/>
  <c r="X73" s="1"/>
  <c r="HJ73"/>
  <c r="CZ73"/>
  <c r="Y73" s="1"/>
  <c r="CY72"/>
  <c r="X72" s="1"/>
  <c r="HJ72"/>
  <c r="CZ72"/>
  <c r="Y72" s="1"/>
  <c r="CZ71"/>
  <c r="Y71" s="1"/>
  <c r="HJ71"/>
  <c r="CY71"/>
  <c r="X71" s="1"/>
  <c r="GM71" s="1"/>
  <c r="CZ70"/>
  <c r="Y70" s="1"/>
  <c r="CY70"/>
  <c r="X70" s="1"/>
  <c r="GM70" s="1"/>
  <c r="HJ70"/>
  <c r="CZ69"/>
  <c r="Y69" s="1"/>
  <c r="CY69"/>
  <c r="X69" s="1"/>
  <c r="HJ69"/>
  <c r="CP28"/>
  <c r="O28" s="1"/>
  <c r="AC31"/>
  <c r="AB95"/>
  <c r="CP88"/>
  <c r="O88" s="1"/>
  <c r="CP87"/>
  <c r="O87" s="1"/>
  <c r="CP86"/>
  <c r="O86" s="1"/>
  <c r="CP85"/>
  <c r="O85" s="1"/>
  <c r="AB84"/>
  <c r="AB82"/>
  <c r="AB80"/>
  <c r="CP79"/>
  <c r="O79" s="1"/>
  <c r="CP77"/>
  <c r="O77" s="1"/>
  <c r="AB76"/>
  <c r="CP29"/>
  <c r="O29" s="1"/>
  <c r="AG31"/>
  <c r="CX37" i="3"/>
  <c r="CX39"/>
  <c r="CX36"/>
  <c r="CX40"/>
  <c r="CX38"/>
  <c r="CX31"/>
  <c r="CX33"/>
  <c r="CX35"/>
  <c r="CX32"/>
  <c r="CX34"/>
  <c r="CX25"/>
  <c r="CX27"/>
  <c r="CX29"/>
  <c r="CX28"/>
  <c r="CX26"/>
  <c r="CX30"/>
  <c r="AB93" i="1"/>
  <c r="AB92"/>
  <c r="AB91"/>
  <c r="AB90"/>
  <c r="AB88"/>
  <c r="AB87"/>
  <c r="AB86"/>
  <c r="AB85"/>
  <c r="CR75"/>
  <c r="Q75" s="1"/>
  <c r="CP75" s="1"/>
  <c r="O75" s="1"/>
  <c r="CR74"/>
  <c r="Q74" s="1"/>
  <c r="CR73"/>
  <c r="Q73" s="1"/>
  <c r="CP73" s="1"/>
  <c r="O73" s="1"/>
  <c r="CR72"/>
  <c r="Q72" s="1"/>
  <c r="AB70"/>
  <c r="AB69"/>
  <c r="BC31"/>
  <c r="AU31"/>
  <c r="AQ31"/>
  <c r="AO31"/>
  <c r="AB29"/>
  <c r="AB28"/>
  <c r="BZ26"/>
  <c r="BX26"/>
  <c r="CX55" i="3"/>
  <c r="CX57"/>
  <c r="CX59"/>
  <c r="CX56"/>
  <c r="CX54"/>
  <c r="CX58"/>
  <c r="CX47"/>
  <c r="CX49"/>
  <c r="CX51"/>
  <c r="CX53"/>
  <c r="CX48"/>
  <c r="CX52"/>
  <c r="CX50"/>
  <c r="CX41"/>
  <c r="CX43"/>
  <c r="CX45"/>
  <c r="CX44"/>
  <c r="CX42"/>
  <c r="CX46"/>
  <c r="CX21"/>
  <c r="CX23"/>
  <c r="CX24"/>
  <c r="CX22"/>
  <c r="CX19"/>
  <c r="CX20"/>
  <c r="CX18"/>
  <c r="CX1"/>
  <c r="CX3"/>
  <c r="CX5"/>
  <c r="CX7"/>
  <c r="CX9"/>
  <c r="CX11"/>
  <c r="CX13"/>
  <c r="CX15"/>
  <c r="CX17"/>
  <c r="CX4"/>
  <c r="CX8"/>
  <c r="CX12"/>
  <c r="CX16"/>
  <c r="CX2"/>
  <c r="CX6"/>
  <c r="CX10"/>
  <c r="CX14"/>
  <c r="CS96" i="1"/>
  <c r="R96" s="1"/>
  <c r="HI96" s="1"/>
  <c r="CQ96"/>
  <c r="P96" s="1"/>
  <c r="CP96" s="1"/>
  <c r="O96" s="1"/>
  <c r="CS95"/>
  <c r="R95" s="1"/>
  <c r="HI95" s="1"/>
  <c r="CQ95"/>
  <c r="P95" s="1"/>
  <c r="CP95" s="1"/>
  <c r="O95" s="1"/>
  <c r="CS89"/>
  <c r="R89" s="1"/>
  <c r="HI89" s="1"/>
  <c r="CQ89"/>
  <c r="P89" s="1"/>
  <c r="CP89" s="1"/>
  <c r="O89" s="1"/>
  <c r="CS84"/>
  <c r="R84" s="1"/>
  <c r="HI84" s="1"/>
  <c r="CQ84"/>
  <c r="P84" s="1"/>
  <c r="CP84" s="1"/>
  <c r="O84" s="1"/>
  <c r="CS83"/>
  <c r="R83" s="1"/>
  <c r="HI83" s="1"/>
  <c r="CQ83"/>
  <c r="P83" s="1"/>
  <c r="CP83" s="1"/>
  <c r="O83" s="1"/>
  <c r="CS82"/>
  <c r="R82" s="1"/>
  <c r="HI82" s="1"/>
  <c r="CQ82"/>
  <c r="P82" s="1"/>
  <c r="CP82" s="1"/>
  <c r="O82" s="1"/>
  <c r="CS81"/>
  <c r="R81" s="1"/>
  <c r="HI81" s="1"/>
  <c r="CQ81"/>
  <c r="P81" s="1"/>
  <c r="CP81" s="1"/>
  <c r="O81" s="1"/>
  <c r="CS80"/>
  <c r="R80" s="1"/>
  <c r="CQ80"/>
  <c r="P80" s="1"/>
  <c r="BD31"/>
  <c r="BB31"/>
  <c r="AT31"/>
  <c r="AP31"/>
  <c r="AB1537" i="5" l="1"/>
  <c r="AO1537"/>
  <c r="O1537"/>
  <c r="AB1443"/>
  <c r="AO1443"/>
  <c r="O1443"/>
  <c r="AY1646"/>
  <c r="O1646"/>
  <c r="AB1646"/>
  <c r="AY1638"/>
  <c r="O1638"/>
  <c r="AB1638"/>
  <c r="AY1630"/>
  <c r="O1630"/>
  <c r="AB1630"/>
  <c r="O1554"/>
  <c r="AB1554"/>
  <c r="AO1554"/>
  <c r="O1440"/>
  <c r="AB1440"/>
  <c r="AO1440"/>
  <c r="AB1297"/>
  <c r="AO1297"/>
  <c r="O1297"/>
  <c r="AB1280"/>
  <c r="AO1280"/>
  <c r="BQ1280"/>
  <c r="O1280"/>
  <c r="AB1242"/>
  <c r="AO1242"/>
  <c r="O1242"/>
  <c r="AB1066"/>
  <c r="AO1066"/>
  <c r="O1066"/>
  <c r="O1308"/>
  <c r="AB1308"/>
  <c r="AO1308"/>
  <c r="O1239"/>
  <c r="AB1239"/>
  <c r="AO1239"/>
  <c r="AY1642"/>
  <c r="O1642"/>
  <c r="AB1642"/>
  <c r="AY1634"/>
  <c r="O1634"/>
  <c r="AB1634"/>
  <c r="AB1352"/>
  <c r="AO1352"/>
  <c r="BQ1352"/>
  <c r="O1352"/>
  <c r="AB1301"/>
  <c r="AO1301"/>
  <c r="O1301"/>
  <c r="O1349"/>
  <c r="AB1349"/>
  <c r="AO1349"/>
  <c r="O1304"/>
  <c r="AB1304"/>
  <c r="AO1304"/>
  <c r="AB949"/>
  <c r="AO949"/>
  <c r="O949"/>
  <c r="O943"/>
  <c r="AB943"/>
  <c r="AO943"/>
  <c r="AB506"/>
  <c r="AO506"/>
  <c r="BQ506"/>
  <c r="O506"/>
  <c r="AB454"/>
  <c r="AO454"/>
  <c r="O454"/>
  <c r="AB434"/>
  <c r="AO434"/>
  <c r="O434"/>
  <c r="AB417"/>
  <c r="AO417"/>
  <c r="O417"/>
  <c r="O500"/>
  <c r="AB500"/>
  <c r="AO500"/>
  <c r="BQ479"/>
  <c r="O479"/>
  <c r="AB479"/>
  <c r="AO479"/>
  <c r="AB373"/>
  <c r="AO373"/>
  <c r="O373"/>
  <c r="AB333"/>
  <c r="AO333"/>
  <c r="O333"/>
  <c r="AB315"/>
  <c r="AO315"/>
  <c r="O315"/>
  <c r="AB283"/>
  <c r="AO283"/>
  <c r="O283"/>
  <c r="AB243"/>
  <c r="AO243"/>
  <c r="O243"/>
  <c r="AB203"/>
  <c r="AO203"/>
  <c r="O203"/>
  <c r="AB184"/>
  <c r="AO184"/>
  <c r="O184"/>
  <c r="AB166"/>
  <c r="AO166"/>
  <c r="O166"/>
  <c r="AB137"/>
  <c r="AO137"/>
  <c r="BQ137"/>
  <c r="O137"/>
  <c r="AB107"/>
  <c r="AO107"/>
  <c r="O107"/>
  <c r="O410"/>
  <c r="AB410"/>
  <c r="AO410"/>
  <c r="O366"/>
  <c r="AB366"/>
  <c r="AO366"/>
  <c r="O344"/>
  <c r="AB344"/>
  <c r="AO344"/>
  <c r="O308"/>
  <c r="AB308"/>
  <c r="AO308"/>
  <c r="O280"/>
  <c r="AB280"/>
  <c r="AO280"/>
  <c r="BQ246"/>
  <c r="O246"/>
  <c r="AB246"/>
  <c r="AO246"/>
  <c r="BQ210"/>
  <c r="O210"/>
  <c r="AB210"/>
  <c r="AO210"/>
  <c r="O163"/>
  <c r="AB163"/>
  <c r="AO163"/>
  <c r="O155"/>
  <c r="AB155"/>
  <c r="AO155"/>
  <c r="O127"/>
  <c r="AB127"/>
  <c r="AO127"/>
  <c r="AB946"/>
  <c r="AO946"/>
  <c r="BQ946"/>
  <c r="O946"/>
  <c r="AB527"/>
  <c r="AO527"/>
  <c r="O527"/>
  <c r="AB509"/>
  <c r="AO509"/>
  <c r="O509"/>
  <c r="AB503"/>
  <c r="AO503"/>
  <c r="BQ503"/>
  <c r="O503"/>
  <c r="AB476"/>
  <c r="AO476"/>
  <c r="O476"/>
  <c r="AB458"/>
  <c r="AO458"/>
  <c r="O458"/>
  <c r="BQ530"/>
  <c r="O530"/>
  <c r="AB530"/>
  <c r="AO530"/>
  <c r="O482"/>
  <c r="AB482"/>
  <c r="AO482"/>
  <c r="O437"/>
  <c r="AB437"/>
  <c r="AO437"/>
  <c r="AB369"/>
  <c r="AO369"/>
  <c r="O369"/>
  <c r="AB337"/>
  <c r="AO337"/>
  <c r="O337"/>
  <c r="AB311"/>
  <c r="AO311"/>
  <c r="O311"/>
  <c r="AB287"/>
  <c r="AO287"/>
  <c r="O287"/>
  <c r="AB207"/>
  <c r="AO207"/>
  <c r="O207"/>
  <c r="AB134"/>
  <c r="AO134"/>
  <c r="BQ134"/>
  <c r="O134"/>
  <c r="AB111"/>
  <c r="AO111"/>
  <c r="BQ111"/>
  <c r="O111"/>
  <c r="O406"/>
  <c r="AB406"/>
  <c r="AO406"/>
  <c r="O362"/>
  <c r="AB362"/>
  <c r="AO362"/>
  <c r="O340"/>
  <c r="AB340"/>
  <c r="AO340"/>
  <c r="O304"/>
  <c r="AB304"/>
  <c r="AO304"/>
  <c r="O276"/>
  <c r="AB276"/>
  <c r="AO276"/>
  <c r="BQ213"/>
  <c r="O213"/>
  <c r="AB213"/>
  <c r="AO213"/>
  <c r="BQ187"/>
  <c r="O187"/>
  <c r="AB187"/>
  <c r="AO187"/>
  <c r="O159"/>
  <c r="AB159"/>
  <c r="AO159"/>
  <c r="O131"/>
  <c r="AB131"/>
  <c r="AO131"/>
  <c r="AB413"/>
  <c r="AO413"/>
  <c r="O413"/>
  <c r="AD221" i="1"/>
  <c r="Q291"/>
  <c r="GM73"/>
  <c r="GN73"/>
  <c r="GM75"/>
  <c r="GN75"/>
  <c r="AG221"/>
  <c r="T291"/>
  <c r="CJ291"/>
  <c r="F40"/>
  <c r="AP26"/>
  <c r="F44"/>
  <c r="BB26"/>
  <c r="BB324"/>
  <c r="CP80"/>
  <c r="O80" s="1"/>
  <c r="AC186"/>
  <c r="GM81"/>
  <c r="GN81"/>
  <c r="GN84"/>
  <c r="AQ26"/>
  <c r="F41"/>
  <c r="AQ324"/>
  <c r="BC26"/>
  <c r="F47"/>
  <c r="BC324"/>
  <c r="GN29"/>
  <c r="GM29"/>
  <c r="GM77"/>
  <c r="GN77"/>
  <c r="GN86"/>
  <c r="GM86"/>
  <c r="GN88"/>
  <c r="GM88"/>
  <c r="AC26"/>
  <c r="P31"/>
  <c r="CE31"/>
  <c r="CF31"/>
  <c r="CH31"/>
  <c r="HK69"/>
  <c r="HL69"/>
  <c r="HL72"/>
  <c r="HK72"/>
  <c r="HL74"/>
  <c r="HK74"/>
  <c r="HK75"/>
  <c r="HL75"/>
  <c r="HL77"/>
  <c r="HK77"/>
  <c r="HL79"/>
  <c r="HK79"/>
  <c r="HL83"/>
  <c r="HK83"/>
  <c r="HK89"/>
  <c r="HL89"/>
  <c r="HK91"/>
  <c r="HL91"/>
  <c r="HL96"/>
  <c r="HK96"/>
  <c r="AH26"/>
  <c r="U31"/>
  <c r="AI26"/>
  <c r="V31"/>
  <c r="GM72"/>
  <c r="GN72"/>
  <c r="GM74"/>
  <c r="GN74"/>
  <c r="GN76"/>
  <c r="GM76"/>
  <c r="AH66"/>
  <c r="U186"/>
  <c r="AI66"/>
  <c r="V186"/>
  <c r="HK28"/>
  <c r="HL28"/>
  <c r="AF26"/>
  <c r="S31"/>
  <c r="AE26"/>
  <c r="R31"/>
  <c r="HK29"/>
  <c r="HL29"/>
  <c r="HL76"/>
  <c r="HK76"/>
  <c r="HL82"/>
  <c r="HK82"/>
  <c r="HK84"/>
  <c r="HL84"/>
  <c r="HK86"/>
  <c r="HL86"/>
  <c r="HL95"/>
  <c r="HK95"/>
  <c r="HL131"/>
  <c r="HK131"/>
  <c r="GM132"/>
  <c r="GN132"/>
  <c r="GM138"/>
  <c r="GN138"/>
  <c r="HK140"/>
  <c r="HL140"/>
  <c r="HK169"/>
  <c r="HL169"/>
  <c r="HK170"/>
  <c r="HL170"/>
  <c r="HK171"/>
  <c r="HL171"/>
  <c r="CZ173"/>
  <c r="Y173" s="1"/>
  <c r="HI173"/>
  <c r="HK173" s="1"/>
  <c r="GM174"/>
  <c r="GN174"/>
  <c r="GM175"/>
  <c r="GN175"/>
  <c r="CG66"/>
  <c r="AX186"/>
  <c r="F316"/>
  <c r="BD221"/>
  <c r="AO66"/>
  <c r="F190"/>
  <c r="AU66"/>
  <c r="F205"/>
  <c r="HL132"/>
  <c r="HK132"/>
  <c r="GX134"/>
  <c r="W134"/>
  <c r="AJ186" s="1"/>
  <c r="S134"/>
  <c r="HL136"/>
  <c r="HK136"/>
  <c r="HL139"/>
  <c r="HK139"/>
  <c r="HL137"/>
  <c r="HK137"/>
  <c r="GN180"/>
  <c r="GM180"/>
  <c r="GN183"/>
  <c r="GM183"/>
  <c r="HD183" s="1"/>
  <c r="GN223"/>
  <c r="GM223"/>
  <c r="GN225"/>
  <c r="GM225"/>
  <c r="GN227"/>
  <c r="GM227"/>
  <c r="GN229"/>
  <c r="GM229"/>
  <c r="GN231"/>
  <c r="GM231"/>
  <c r="GN233"/>
  <c r="GM233"/>
  <c r="GN235"/>
  <c r="GM235"/>
  <c r="GN237"/>
  <c r="GM237"/>
  <c r="GN239"/>
  <c r="GM239"/>
  <c r="GN241"/>
  <c r="GM241"/>
  <c r="GN243"/>
  <c r="GM243"/>
  <c r="GN245"/>
  <c r="GM245"/>
  <c r="GN247"/>
  <c r="GM247"/>
  <c r="HK271"/>
  <c r="HL271"/>
  <c r="HK272"/>
  <c r="HL272"/>
  <c r="HK273"/>
  <c r="HL273"/>
  <c r="HK274"/>
  <c r="HL274"/>
  <c r="HK275"/>
  <c r="HL275"/>
  <c r="HK276"/>
  <c r="HL276"/>
  <c r="HK277"/>
  <c r="HL277"/>
  <c r="AH221"/>
  <c r="U291"/>
  <c r="AQ221"/>
  <c r="F301"/>
  <c r="AT66"/>
  <c r="F204"/>
  <c r="HL177"/>
  <c r="HK177"/>
  <c r="CG221"/>
  <c r="AX291"/>
  <c r="AP66"/>
  <c r="F195"/>
  <c r="HL176"/>
  <c r="HK176"/>
  <c r="HK179"/>
  <c r="HL179"/>
  <c r="HK182"/>
  <c r="HL182"/>
  <c r="HL183"/>
  <c r="HK183"/>
  <c r="HK184"/>
  <c r="HL184"/>
  <c r="HK225"/>
  <c r="HL225"/>
  <c r="HK227"/>
  <c r="HL227"/>
  <c r="HK229"/>
  <c r="HL229"/>
  <c r="HK231"/>
  <c r="HL231"/>
  <c r="HK233"/>
  <c r="HL233"/>
  <c r="HK235"/>
  <c r="HL235"/>
  <c r="HK237"/>
  <c r="HL237"/>
  <c r="HK239"/>
  <c r="HL239"/>
  <c r="HK241"/>
  <c r="HL241"/>
  <c r="HK243"/>
  <c r="HL243"/>
  <c r="HK245"/>
  <c r="HL245"/>
  <c r="HK247"/>
  <c r="HL247"/>
  <c r="HL253"/>
  <c r="HK253"/>
  <c r="HL251"/>
  <c r="HK251"/>
  <c r="AT26"/>
  <c r="F49"/>
  <c r="F56"/>
  <c r="BD26"/>
  <c r="HI80"/>
  <c r="AE186"/>
  <c r="AO26"/>
  <c r="F35"/>
  <c r="AO324"/>
  <c r="AU26"/>
  <c r="F50"/>
  <c r="AU324"/>
  <c r="AG26"/>
  <c r="T31"/>
  <c r="GM79"/>
  <c r="GN79"/>
  <c r="GN85"/>
  <c r="GM85"/>
  <c r="GN87"/>
  <c r="GM87"/>
  <c r="GN28"/>
  <c r="CB31" s="1"/>
  <c r="AB31"/>
  <c r="GM28"/>
  <c r="HK70"/>
  <c r="HL70"/>
  <c r="HL71"/>
  <c r="HK71"/>
  <c r="HL73"/>
  <c r="HK73"/>
  <c r="HL78"/>
  <c r="HK78"/>
  <c r="HL81"/>
  <c r="HK81"/>
  <c r="HK90"/>
  <c r="HL90"/>
  <c r="HK92"/>
  <c r="HL92"/>
  <c r="HL93"/>
  <c r="HK93"/>
  <c r="AD26"/>
  <c r="Q31"/>
  <c r="AJ26"/>
  <c r="W31"/>
  <c r="CJ26"/>
  <c r="BA31"/>
  <c r="CZ97"/>
  <c r="Y97" s="1"/>
  <c r="AF186"/>
  <c r="CY97"/>
  <c r="X97" s="1"/>
  <c r="GN97" s="1"/>
  <c r="HJ97"/>
  <c r="AK26"/>
  <c r="X31"/>
  <c r="F38"/>
  <c r="AX26"/>
  <c r="AX324"/>
  <c r="F42"/>
  <c r="AZ26"/>
  <c r="HL80"/>
  <c r="HK80"/>
  <c r="HK85"/>
  <c r="HL85"/>
  <c r="HK87"/>
  <c r="HL87"/>
  <c r="HL88"/>
  <c r="HK88"/>
  <c r="HL173"/>
  <c r="GM179"/>
  <c r="BB66"/>
  <c r="F199"/>
  <c r="F304"/>
  <c r="BB221"/>
  <c r="AQ66"/>
  <c r="F196"/>
  <c r="BC66"/>
  <c r="F202"/>
  <c r="HL138"/>
  <c r="HK138"/>
  <c r="HL133"/>
  <c r="HK133"/>
  <c r="HK135"/>
  <c r="HL135"/>
  <c r="GN182"/>
  <c r="GM182"/>
  <c r="BY221"/>
  <c r="AP291"/>
  <c r="CI291"/>
  <c r="GN224"/>
  <c r="GM224"/>
  <c r="GN226"/>
  <c r="GM226"/>
  <c r="GN228"/>
  <c r="GM228"/>
  <c r="GN230"/>
  <c r="GM230"/>
  <c r="GN232"/>
  <c r="GM232"/>
  <c r="GN234"/>
  <c r="GM234"/>
  <c r="GN236"/>
  <c r="GM236"/>
  <c r="GN238"/>
  <c r="GM238"/>
  <c r="GN240"/>
  <c r="GM240"/>
  <c r="GN242"/>
  <c r="GM242"/>
  <c r="GN244"/>
  <c r="GM244"/>
  <c r="GN246"/>
  <c r="GM246"/>
  <c r="GX257"/>
  <c r="S257"/>
  <c r="W257"/>
  <c r="AJ291" s="1"/>
  <c r="HK259"/>
  <c r="HL259"/>
  <c r="HK260"/>
  <c r="HL260"/>
  <c r="HK261"/>
  <c r="HL261"/>
  <c r="HK262"/>
  <c r="HL262"/>
  <c r="HK263"/>
  <c r="HL263"/>
  <c r="HK264"/>
  <c r="HL264"/>
  <c r="HK265"/>
  <c r="HL265"/>
  <c r="HK266"/>
  <c r="HL266"/>
  <c r="HK267"/>
  <c r="HL267"/>
  <c r="HK268"/>
  <c r="HL268"/>
  <c r="AO221"/>
  <c r="F295"/>
  <c r="AU221"/>
  <c r="F310"/>
  <c r="HL175"/>
  <c r="HK175"/>
  <c r="HL178"/>
  <c r="HK178"/>
  <c r="HL248"/>
  <c r="HK248"/>
  <c r="HI250"/>
  <c r="HK250" s="1"/>
  <c r="CZ250"/>
  <c r="Y250" s="1"/>
  <c r="HI252"/>
  <c r="HK252" s="1"/>
  <c r="CZ252"/>
  <c r="Y252" s="1"/>
  <c r="HI254"/>
  <c r="HK254" s="1"/>
  <c r="CZ254"/>
  <c r="Y254" s="1"/>
  <c r="HI256"/>
  <c r="HK256" s="1"/>
  <c r="CZ256"/>
  <c r="Y256" s="1"/>
  <c r="CI66"/>
  <c r="AZ186"/>
  <c r="HL174"/>
  <c r="HK174"/>
  <c r="HK180"/>
  <c r="HL180"/>
  <c r="HK223"/>
  <c r="HL223"/>
  <c r="HK224"/>
  <c r="HL224"/>
  <c r="HK226"/>
  <c r="HL226"/>
  <c r="HK228"/>
  <c r="HL228"/>
  <c r="HK230"/>
  <c r="HL230"/>
  <c r="HK232"/>
  <c r="HL232"/>
  <c r="HK234"/>
  <c r="HL234"/>
  <c r="HK236"/>
  <c r="HL236"/>
  <c r="HK238"/>
  <c r="HL238"/>
  <c r="HK240"/>
  <c r="HL240"/>
  <c r="HK242"/>
  <c r="HL242"/>
  <c r="HK244"/>
  <c r="HL244"/>
  <c r="HK246"/>
  <c r="HL246"/>
  <c r="HL250"/>
  <c r="HL252"/>
  <c r="HL254"/>
  <c r="HL256"/>
  <c r="GN248"/>
  <c r="GM248"/>
  <c r="HL249"/>
  <c r="HK249"/>
  <c r="HL255"/>
  <c r="HK255"/>
  <c r="HK258"/>
  <c r="HL258"/>
  <c r="GN69"/>
  <c r="GN70"/>
  <c r="GN71"/>
  <c r="GN78"/>
  <c r="GN90"/>
  <c r="GN92"/>
  <c r="GN93"/>
  <c r="CZ137"/>
  <c r="Y137" s="1"/>
  <c r="GM137" s="1"/>
  <c r="CY133"/>
  <c r="X133" s="1"/>
  <c r="GN142"/>
  <c r="GN145"/>
  <c r="GN148"/>
  <c r="GN151"/>
  <c r="GN153"/>
  <c r="GN156"/>
  <c r="GN159"/>
  <c r="GN161"/>
  <c r="GN164"/>
  <c r="GN166"/>
  <c r="CY173"/>
  <c r="X173" s="1"/>
  <c r="GN173" s="1"/>
  <c r="CZ178"/>
  <c r="Y178" s="1"/>
  <c r="CY178"/>
  <c r="X178" s="1"/>
  <c r="GN178" s="1"/>
  <c r="CY179"/>
  <c r="X179" s="1"/>
  <c r="GN179" s="1"/>
  <c r="CY184"/>
  <c r="X184" s="1"/>
  <c r="GN184" s="1"/>
  <c r="AB250"/>
  <c r="AB252"/>
  <c r="AB254"/>
  <c r="AB256"/>
  <c r="AB257"/>
  <c r="GM259"/>
  <c r="GM260"/>
  <c r="GM261"/>
  <c r="GM262"/>
  <c r="GM263"/>
  <c r="GM264"/>
  <c r="GM265"/>
  <c r="GM266"/>
  <c r="GM267"/>
  <c r="GM268"/>
  <c r="GO269"/>
  <c r="GO281"/>
  <c r="GO286"/>
  <c r="GO280"/>
  <c r="GO285"/>
  <c r="GO289"/>
  <c r="AD186"/>
  <c r="CZ83"/>
  <c r="Y83" s="1"/>
  <c r="GN83" s="1"/>
  <c r="CY83"/>
  <c r="X83" s="1"/>
  <c r="GM83" s="1"/>
  <c r="CZ89"/>
  <c r="Y89" s="1"/>
  <c r="GM89" s="1"/>
  <c r="CZ96"/>
  <c r="Y96" s="1"/>
  <c r="CY96"/>
  <c r="X96" s="1"/>
  <c r="GM96" s="1"/>
  <c r="T134"/>
  <c r="AG186" s="1"/>
  <c r="AL31"/>
  <c r="GM69"/>
  <c r="CZ82"/>
  <c r="Y82" s="1"/>
  <c r="CY82"/>
  <c r="X82" s="1"/>
  <c r="GM82" s="1"/>
  <c r="CZ84"/>
  <c r="Y84" s="1"/>
  <c r="GM84" s="1"/>
  <c r="CZ95"/>
  <c r="Y95" s="1"/>
  <c r="GN95" s="1"/>
  <c r="CY95"/>
  <c r="X95" s="1"/>
  <c r="GM95" s="1"/>
  <c r="AB132"/>
  <c r="Q134"/>
  <c r="AB135"/>
  <c r="CZ133"/>
  <c r="Y133" s="1"/>
  <c r="CZ140"/>
  <c r="Y140" s="1"/>
  <c r="GM168"/>
  <c r="CY140"/>
  <c r="X140" s="1"/>
  <c r="CJ186"/>
  <c r="CZ139"/>
  <c r="Y139" s="1"/>
  <c r="GN139" s="1"/>
  <c r="CY139"/>
  <c r="X139" s="1"/>
  <c r="GM139" s="1"/>
  <c r="CP133"/>
  <c r="O133" s="1"/>
  <c r="P134"/>
  <c r="CP134" s="1"/>
  <c r="O134" s="1"/>
  <c r="CY135"/>
  <c r="X135" s="1"/>
  <c r="GM135" s="1"/>
  <c r="CY137"/>
  <c r="X137" s="1"/>
  <c r="GN137" s="1"/>
  <c r="AB137"/>
  <c r="CP140"/>
  <c r="O140" s="1"/>
  <c r="V257"/>
  <c r="AI291" s="1"/>
  <c r="CZ177"/>
  <c r="Y177" s="1"/>
  <c r="CY177"/>
  <c r="X177" s="1"/>
  <c r="GM177" s="1"/>
  <c r="CP249"/>
  <c r="O249" s="1"/>
  <c r="CP251"/>
  <c r="O251" s="1"/>
  <c r="CP253"/>
  <c r="O253" s="1"/>
  <c r="CP255"/>
  <c r="O255" s="1"/>
  <c r="R257"/>
  <c r="CP258"/>
  <c r="O258" s="1"/>
  <c r="CZ176"/>
  <c r="Y176" s="1"/>
  <c r="CY176"/>
  <c r="X176" s="1"/>
  <c r="GM176" s="1"/>
  <c r="CZ179"/>
  <c r="Y179" s="1"/>
  <c r="CZ184"/>
  <c r="Y184" s="1"/>
  <c r="CP250"/>
  <c r="O250" s="1"/>
  <c r="CP252"/>
  <c r="O252" s="1"/>
  <c r="CP254"/>
  <c r="O254" s="1"/>
  <c r="CP256"/>
  <c r="O256" s="1"/>
  <c r="P257"/>
  <c r="CZ253"/>
  <c r="Y253" s="1"/>
  <c r="CY253"/>
  <c r="X253" s="1"/>
  <c r="CZ251"/>
  <c r="Y251" s="1"/>
  <c r="CY251"/>
  <c r="X251" s="1"/>
  <c r="CY258"/>
  <c r="X258" s="1"/>
  <c r="AI221" l="1"/>
  <c r="V291"/>
  <c r="AJ66"/>
  <c r="W186"/>
  <c r="AK291"/>
  <c r="GM256"/>
  <c r="GN256"/>
  <c r="GM252"/>
  <c r="GN252"/>
  <c r="GM258"/>
  <c r="GN258"/>
  <c r="GM255"/>
  <c r="GN255"/>
  <c r="GM251"/>
  <c r="GN251"/>
  <c r="GM133"/>
  <c r="GN133"/>
  <c r="AG66"/>
  <c r="T186"/>
  <c r="AD66"/>
  <c r="Q186"/>
  <c r="CY257"/>
  <c r="X257" s="1"/>
  <c r="HJ257"/>
  <c r="CZ257"/>
  <c r="Y257" s="1"/>
  <c r="AL291" s="1"/>
  <c r="AF291"/>
  <c r="CI221"/>
  <c r="AZ291"/>
  <c r="AX22"/>
  <c r="F331"/>
  <c r="AX357"/>
  <c r="AB26"/>
  <c r="O31"/>
  <c r="F52"/>
  <c r="T26"/>
  <c r="T324"/>
  <c r="AU22"/>
  <c r="F343"/>
  <c r="AU357"/>
  <c r="AE66"/>
  <c r="R186"/>
  <c r="F298"/>
  <c r="AX221"/>
  <c r="U221"/>
  <c r="F313"/>
  <c r="AX66"/>
  <c r="F193"/>
  <c r="R26"/>
  <c r="F45"/>
  <c r="S26"/>
  <c r="F46"/>
  <c r="V66"/>
  <c r="F209"/>
  <c r="U66"/>
  <c r="F208"/>
  <c r="CF26"/>
  <c r="AW31"/>
  <c r="P26"/>
  <c r="F34"/>
  <c r="BC22"/>
  <c r="F340"/>
  <c r="BC357"/>
  <c r="AC66"/>
  <c r="P186"/>
  <c r="CE186"/>
  <c r="CF186"/>
  <c r="CH186"/>
  <c r="BB22"/>
  <c r="F337"/>
  <c r="BB357"/>
  <c r="CJ221"/>
  <c r="BA291"/>
  <c r="F312"/>
  <c r="T221"/>
  <c r="Q221"/>
  <c r="F303"/>
  <c r="CP257"/>
  <c r="O257" s="1"/>
  <c r="AC291"/>
  <c r="GM254"/>
  <c r="GN254"/>
  <c r="GM250"/>
  <c r="GN250"/>
  <c r="HI257"/>
  <c r="AE291"/>
  <c r="GM253"/>
  <c r="GN253"/>
  <c r="GM249"/>
  <c r="GN249"/>
  <c r="GM140"/>
  <c r="GN140"/>
  <c r="GM134"/>
  <c r="CJ66"/>
  <c r="BA186"/>
  <c r="AL26"/>
  <c r="Y31"/>
  <c r="AZ66"/>
  <c r="F197"/>
  <c r="AJ221"/>
  <c r="W291"/>
  <c r="F300"/>
  <c r="AP221"/>
  <c r="X26"/>
  <c r="F57"/>
  <c r="HK97"/>
  <c r="HL97"/>
  <c r="AF66"/>
  <c r="S186"/>
  <c r="BA26"/>
  <c r="F51"/>
  <c r="BA324"/>
  <c r="W26"/>
  <c r="F55"/>
  <c r="W324"/>
  <c r="Q26"/>
  <c r="F43"/>
  <c r="CB26"/>
  <c r="AS31"/>
  <c r="AO22"/>
  <c r="F328"/>
  <c r="AO357"/>
  <c r="CY134"/>
  <c r="X134" s="1"/>
  <c r="GN134" s="1"/>
  <c r="CB186" s="1"/>
  <c r="HJ134"/>
  <c r="CZ134"/>
  <c r="Y134" s="1"/>
  <c r="F54"/>
  <c r="V26"/>
  <c r="V324"/>
  <c r="U26"/>
  <c r="F53"/>
  <c r="U324"/>
  <c r="CH26"/>
  <c r="AY31"/>
  <c r="CE26"/>
  <c r="AV31"/>
  <c r="AQ22"/>
  <c r="F334"/>
  <c r="AQ357"/>
  <c r="GM80"/>
  <c r="GN80"/>
  <c r="CC291"/>
  <c r="AL186"/>
  <c r="GM184"/>
  <c r="HD184" s="1"/>
  <c r="GM178"/>
  <c r="GM173"/>
  <c r="GN177"/>
  <c r="GN176"/>
  <c r="GN135"/>
  <c r="AB186"/>
  <c r="GN96"/>
  <c r="GN89"/>
  <c r="GN82"/>
  <c r="GM97"/>
  <c r="CA186" s="1"/>
  <c r="AK186"/>
  <c r="CA31"/>
  <c r="CM186"/>
  <c r="AP324"/>
  <c r="CA66" l="1"/>
  <c r="AR186"/>
  <c r="CB66"/>
  <c r="AS186"/>
  <c r="AL221"/>
  <c r="Y291"/>
  <c r="CM66"/>
  <c r="BD186"/>
  <c r="CA26"/>
  <c r="AR31"/>
  <c r="AB66"/>
  <c r="O186"/>
  <c r="CC221"/>
  <c r="AT291"/>
  <c r="AQ18"/>
  <c r="F367"/>
  <c r="V22"/>
  <c r="F347"/>
  <c r="V357"/>
  <c r="HL134"/>
  <c r="HK134"/>
  <c r="AO18"/>
  <c r="F361"/>
  <c r="W22"/>
  <c r="W357"/>
  <c r="F348"/>
  <c r="S66"/>
  <c r="F201"/>
  <c r="GM257"/>
  <c r="CA291" s="1"/>
  <c r="GN257"/>
  <c r="CB291" s="1"/>
  <c r="CH66"/>
  <c r="AY186"/>
  <c r="CE66"/>
  <c r="AV186"/>
  <c r="T22"/>
  <c r="F345"/>
  <c r="T357"/>
  <c r="F302"/>
  <c r="AZ221"/>
  <c r="AF221"/>
  <c r="S291"/>
  <c r="HL257"/>
  <c r="HK257"/>
  <c r="Q66"/>
  <c r="F198"/>
  <c r="T66"/>
  <c r="F207"/>
  <c r="AK221"/>
  <c r="X291"/>
  <c r="W66"/>
  <c r="F210"/>
  <c r="F314"/>
  <c r="V221"/>
  <c r="AP22"/>
  <c r="F333"/>
  <c r="AP357"/>
  <c r="AK66"/>
  <c r="X186"/>
  <c r="AL66"/>
  <c r="Y186"/>
  <c r="F36"/>
  <c r="AV26"/>
  <c r="AY26"/>
  <c r="F39"/>
  <c r="U22"/>
  <c r="U357"/>
  <c r="F346"/>
  <c r="AS26"/>
  <c r="F48"/>
  <c r="BA22"/>
  <c r="F344"/>
  <c r="BA357"/>
  <c r="W221"/>
  <c r="F315"/>
  <c r="Y26"/>
  <c r="F58"/>
  <c r="BA66"/>
  <c r="F206"/>
  <c r="AE221"/>
  <c r="R291"/>
  <c r="AC221"/>
  <c r="P291"/>
  <c r="CE291"/>
  <c r="CF291"/>
  <c r="CH291"/>
  <c r="BA221"/>
  <c r="F311"/>
  <c r="BB18"/>
  <c r="F370"/>
  <c r="CF66"/>
  <c r="AW186"/>
  <c r="P66"/>
  <c r="F189"/>
  <c r="BC18"/>
  <c r="F373"/>
  <c r="AW26"/>
  <c r="F37"/>
  <c r="R66"/>
  <c r="F200"/>
  <c r="AU18"/>
  <c r="F376"/>
  <c r="O26"/>
  <c r="F33"/>
  <c r="AX18"/>
  <c r="F364"/>
  <c r="AB291"/>
  <c r="AZ324"/>
  <c r="Q324"/>
  <c r="S324"/>
  <c r="CA221" l="1"/>
  <c r="AR291"/>
  <c r="S22"/>
  <c r="F339"/>
  <c r="S357"/>
  <c r="AZ22"/>
  <c r="F335"/>
  <c r="AZ357"/>
  <c r="AW66"/>
  <c r="F192"/>
  <c r="CH221"/>
  <c r="AY291"/>
  <c r="CE221"/>
  <c r="AV291"/>
  <c r="BA18"/>
  <c r="F377"/>
  <c r="X221"/>
  <c r="F317"/>
  <c r="S221"/>
  <c r="F306"/>
  <c r="T18"/>
  <c r="F378"/>
  <c r="W18"/>
  <c r="F381"/>
  <c r="V18"/>
  <c r="F380"/>
  <c r="Y221"/>
  <c r="F318"/>
  <c r="AS66"/>
  <c r="F203"/>
  <c r="AR66"/>
  <c r="F214"/>
  <c r="F215" s="1"/>
  <c r="Q22"/>
  <c r="Q357"/>
  <c r="F336"/>
  <c r="AB221"/>
  <c r="O291"/>
  <c r="CF221"/>
  <c r="AW291"/>
  <c r="F294"/>
  <c r="P221"/>
  <c r="P324"/>
  <c r="R221"/>
  <c r="F305"/>
  <c r="R324"/>
  <c r="U18"/>
  <c r="F379"/>
  <c r="Y66"/>
  <c r="F213"/>
  <c r="X66"/>
  <c r="F212"/>
  <c r="X324"/>
  <c r="AP18"/>
  <c r="F366"/>
  <c r="AV66"/>
  <c r="F191"/>
  <c r="AY66"/>
  <c r="F194"/>
  <c r="CB221"/>
  <c r="AS291"/>
  <c r="AT221"/>
  <c r="F309"/>
  <c r="AT324"/>
  <c r="O66"/>
  <c r="F188"/>
  <c r="AR26"/>
  <c r="F59"/>
  <c r="F60" s="1"/>
  <c r="AR324"/>
  <c r="BD66"/>
  <c r="F211"/>
  <c r="BD324"/>
  <c r="AW324"/>
  <c r="Y324"/>
  <c r="AS324"/>
  <c r="AS22" l="1"/>
  <c r="F341"/>
  <c r="AS357"/>
  <c r="AW22"/>
  <c r="AW357"/>
  <c r="F330"/>
  <c r="AR22"/>
  <c r="AR357"/>
  <c r="F352"/>
  <c r="F353" s="1"/>
  <c r="AS221"/>
  <c r="F308"/>
  <c r="X22"/>
  <c r="F350"/>
  <c r="X357"/>
  <c r="P22"/>
  <c r="F327"/>
  <c r="P357"/>
  <c r="Q18"/>
  <c r="F369"/>
  <c r="F216"/>
  <c r="F217" s="1"/>
  <c r="F296"/>
  <c r="AV221"/>
  <c r="AV324"/>
  <c r="AY221"/>
  <c r="F299"/>
  <c r="AY324"/>
  <c r="AZ18"/>
  <c r="F368"/>
  <c r="AR221"/>
  <c r="F319"/>
  <c r="F320" s="1"/>
  <c r="Y22"/>
  <c r="F351"/>
  <c r="Y357"/>
  <c r="BD22"/>
  <c r="F349"/>
  <c r="BD357"/>
  <c r="F61"/>
  <c r="F62" s="1"/>
  <c r="AT22"/>
  <c r="AT357"/>
  <c r="F342"/>
  <c r="R22"/>
  <c r="R357"/>
  <c r="F338"/>
  <c r="AW221"/>
  <c r="F297"/>
  <c r="O221"/>
  <c r="F293"/>
  <c r="O324"/>
  <c r="S18"/>
  <c r="F372"/>
  <c r="AT18" l="1"/>
  <c r="F375"/>
  <c r="BD18"/>
  <c r="F382"/>
  <c r="F321"/>
  <c r="F322" s="1"/>
  <c r="AY22"/>
  <c r="F332"/>
  <c r="AY357"/>
  <c r="P18"/>
  <c r="F360"/>
  <c r="F354"/>
  <c r="F355" s="1"/>
  <c r="AW18"/>
  <c r="F363"/>
  <c r="AS18"/>
  <c r="F374"/>
  <c r="O22"/>
  <c r="O357"/>
  <c r="F326"/>
  <c r="R18"/>
  <c r="F371"/>
  <c r="Y18"/>
  <c r="F384"/>
  <c r="AV22"/>
  <c r="F329"/>
  <c r="AV357"/>
  <c r="X18"/>
  <c r="F383"/>
  <c r="AR18"/>
  <c r="F385"/>
  <c r="F386" s="1"/>
  <c r="F387" l="1"/>
  <c r="F388" s="1"/>
  <c r="AV18"/>
  <c r="F362"/>
  <c r="O18"/>
  <c r="F359"/>
  <c r="AY18"/>
  <c r="F365"/>
</calcChain>
</file>

<file path=xl/sharedStrings.xml><?xml version="1.0" encoding="utf-8"?>
<sst xmlns="http://schemas.openxmlformats.org/spreadsheetml/2006/main" count="20682" uniqueCount="1568">
  <si>
    <t>Smeta.RU  (495) 974-1589</t>
  </si>
  <si>
    <t>_PS_</t>
  </si>
  <si>
    <t>Smeta.RU</t>
  </si>
  <si>
    <t>ООО "МЭС"  Доп. раб. место  FStS-0035086</t>
  </si>
  <si>
    <t>И 2 Выявленный объект культурного наследия "Здание рабочей казармы Берговской мануфактуры, 1908г", по адресу: г.Тверь, ул.Спартака, д.45, корп.1_(Копия)</t>
  </si>
  <si>
    <t>И 3 Выявленный объект культурного наследия "Здание рабочей казармы Берговской мануфактуры, 1908г", по адресу: г.Тверь, ул.Спартака, д.45, корп.1_(Копия)</t>
  </si>
  <si>
    <t/>
  </si>
  <si>
    <t>дефектная ведомость</t>
  </si>
  <si>
    <t>г.Тверь, ул.Спартака, д.45, корп.1</t>
  </si>
  <si>
    <t>Сметные нормы списания</t>
  </si>
  <si>
    <t>Коды ценников</t>
  </si>
  <si>
    <t>ТЕР Тверской области (ред. 2015)</t>
  </si>
  <si>
    <t>ГСН (ГЭСН, ФЕР) 2020 и ТЕР (Методики НР (821/пр) и СП (774/пр) от 16.04.2021 г.</t>
  </si>
  <si>
    <t>ТЕР-2015</t>
  </si>
  <si>
    <t>Поправки для ГСН (ФЕР) 2020 от 20.10.2020 г И4</t>
  </si>
  <si>
    <t>Новая локальная смета</t>
  </si>
  <si>
    <t>Выявленный объект культурного наследия "Здание рабочей казармы Берговской мануфактуры, 1908г", по адресу: г.Тверь, ул.Спартака, д.45, корп.1</t>
  </si>
  <si>
    <t>Новый раздел</t>
  </si>
  <si>
    <t>Демонтажные работы. Ремонт фасада</t>
  </si>
  <si>
    <t>1</t>
  </si>
  <si>
    <t>10-01-027-4</t>
  </si>
  <si>
    <t>Демонтаж в жилых и общественных зданиях блоков оконных с переплетами раздельными (раздельно-спаренными) в стенах каменных площадью проема более 2 м2</t>
  </si>
  <si>
    <t>100 м2 проемов</t>
  </si>
  <si>
    <t>ТЕР (ред.2014)Тверской обл.изм.2,пр. № 337/пр,сб.10,гл.01,табл.027,поз.4</t>
  </si>
  <si>
    <t>*0</t>
  </si>
  <si>
    <t>*0,8*1,15</t>
  </si>
  <si>
    <t>Общестроительные работы</t>
  </si>
  <si>
    <t>Деревянные конструкции</t>
  </si>
  <si>
    <t>ФЕР-10</t>
  </si>
  <si>
    <t>*0,9</t>
  </si>
  <si>
    <t>*0,85</t>
  </si>
  <si>
    <t>2</t>
  </si>
  <si>
    <t>58-3-1</t>
  </si>
  <si>
    <t>Разборка мелких покрытий и обделок из листовой стали поясков, сандриков, желобов, отливов, свесов и т.п.</t>
  </si>
  <si>
    <t>100 м труб и покрытий</t>
  </si>
  <si>
    <t>ТЕР (ред.2014)Тверской обл.изм.2,пр. № 337/пр,сб.58,гл.,табл.3,поз.1</t>
  </si>
  <si>
    <t>*1,15</t>
  </si>
  <si>
    <t>Ремонтно-строительные работы</t>
  </si>
  <si>
    <t>Крыши, кровли</t>
  </si>
  <si>
    <t>рФЕР-58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</si>
  <si>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</si>
  <si>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</si>
  <si>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</si>
  <si>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</si>
  <si>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</si>
  <si>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</si>
  <si>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</si>
  <si>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</si>
  <si>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</si>
  <si>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</si>
  <si>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</si>
  <si>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</si>
  <si>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</si>
  <si>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</si>
  <si>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</si>
  <si>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</si>
  <si>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</si>
  <si>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</si>
  <si>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</si>
  <si>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</si>
  <si>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</si>
  <si>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</si>
  <si>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</si>
  <si>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</si>
  <si>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</si>
  <si>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</si>
  <si>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</si>
  <si>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</si>
  <si>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</si>
  <si>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</si>
  <si>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</si>
  <si>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</si>
  <si>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</si>
  <si>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</si>
  <si>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</si>
  <si>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</si>
  <si>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</si>
  <si>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</si>
  <si>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</si>
  <si>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</si>
  <si>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</si>
  <si>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</si>
  <si>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</si>
  <si>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</si>
  <si>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</si>
  <si>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</si>
  <si>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Перевозка</t>
  </si>
  <si>
    <t>Перевозка грузов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</si>
  <si>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</si>
  <si>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</si>
  <si>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</si>
  <si>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</si>
  <si>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</si>
  <si>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</si>
  <si>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Итого</t>
  </si>
  <si>
    <t>НДС 20%</t>
  </si>
  <si>
    <t>3</t>
  </si>
  <si>
    <t>Всего с НДС 20%</t>
  </si>
  <si>
    <t>Архитектурные решения. (Наружные работы)</t>
  </si>
  <si>
    <t>Цоколь</t>
  </si>
  <si>
    <t>61-10-3</t>
  </si>
  <si>
    <t>Ремонт штукатурки гладких фасадов по камню и бетону с земли и лесов цементно-известковым раствором площадью отдельных мест более 5 м2 толщиной слоя до 20 мм</t>
  </si>
  <si>
    <t>100 м2 отремонтированной поверхности</t>
  </si>
  <si>
    <t>ТЕР (ред.2014)Тверской обл.изм.2,пр. № 337/пр,сб.61,гл.,табл.10,поз.3</t>
  </si>
  <si>
    <t>Штукатурные работы</t>
  </si>
  <si>
    <t>рФЕР-61</t>
  </si>
  <si>
    <t>4</t>
  </si>
  <si>
    <t>402-0083</t>
  </si>
  <si>
    <t>Раствор готовый отделочный тяжелый, цементно-известковый 1:1:6</t>
  </si>
  <si>
    <t>м3</t>
  </si>
  <si>
    <t>ССЦ Тверской обл. (редакции 2014), пр. № 337/пр, сб.402, поз.0083</t>
  </si>
  <si>
    <t>Приложение №2 к письму Минстроя России от03.06.2021 №23038-ИФ/09</t>
  </si>
  <si>
    <t>Материалы строительные</t>
  </si>
  <si>
    <t>Материалы и конструкции ( строительные ) по ценникам и каталогом</t>
  </si>
  <si>
    <t>ФССЦст</t>
  </si>
  <si>
    <t>5</t>
  </si>
  <si>
    <t>ТЦ_01.7.10.14_69_</t>
  </si>
  <si>
    <t>Смеси штукатурные, марка Capatect  Leichtgrundputz 170 / Расход 36 кг/м2/30мм           (  30,83/6,17)</t>
  </si>
  <si>
    <t>кг</t>
  </si>
  <si>
    <t>Материалы, изделия и конструкции</t>
  </si>
  <si>
    <t>материалы (03)</t>
  </si>
  <si>
    <t>6</t>
  </si>
  <si>
    <t>15-04-019-5</t>
  </si>
  <si>
    <t>Окраска фасадов акриловыми составами с лесов вручную с подготовкой поверхности</t>
  </si>
  <si>
    <t>100 м2 окрашиваемой поверхности</t>
  </si>
  <si>
    <t>ТЕР (ред.2014)Тверской обл.изм.2,пр. № 337/пр,сб.15,гл.04,табл.019,поз.5</t>
  </si>
  <si>
    <t>*1,25*1,15</t>
  </si>
  <si>
    <t>*1,15*1,15</t>
  </si>
  <si>
    <t>Отделочные работы</t>
  </si>
  <si>
    <t>ФЕР-15</t>
  </si>
  <si>
    <t>7</t>
  </si>
  <si>
    <t>101-4163</t>
  </si>
  <si>
    <t>Грунтовка акриловая НОРТЕКС-ГРУНТ</t>
  </si>
  <si>
    <t>ССЦ Тверской обл. (редакции 2014), пр. № 337/пр, сб.101, поз.4163</t>
  </si>
  <si>
    <t>8</t>
  </si>
  <si>
    <t>101-3469</t>
  </si>
  <si>
    <t>Краска фактурная ВД-АК-1180, фасадная ВГТ</t>
  </si>
  <si>
    <t>т</t>
  </si>
  <si>
    <t>ССЦ Тверской обл. (редакции 2014), пр. № 337/пр, сб.101, поз.3469</t>
  </si>
  <si>
    <t>9</t>
  </si>
  <si>
    <t>ТЦ-14.4.00.00_69_</t>
  </si>
  <si>
    <t>Краска акриловая  CAPAROL AmphiSilan plus (886,25/6,17)</t>
  </si>
  <si>
    <t>л</t>
  </si>
  <si>
    <t>10</t>
  </si>
  <si>
    <t>Грунтовка акриловая  CAPAROL Putzfestiger (724,17/6,17)</t>
  </si>
  <si>
    <t>11</t>
  </si>
  <si>
    <t>53-16-1</t>
  </si>
  <si>
    <t>Ремонт кирпичной кладки стен отдельными местами</t>
  </si>
  <si>
    <t>1 м3 кладки</t>
  </si>
  <si>
    <t>ТЕР (ред.2014)Тверской обл.изм.2,пр. № 337/пр,сб.53,гл.,табл.16,поз.1</t>
  </si>
  <si>
    <t>Стены</t>
  </si>
  <si>
    <t>рФЕР-53</t>
  </si>
  <si>
    <t>12</t>
  </si>
  <si>
    <t>404-0005</t>
  </si>
  <si>
    <t>Кирпич керамический одинарный, размером 250х120х65 мм, марка 100</t>
  </si>
  <si>
    <t>1000 шт.</t>
  </si>
  <si>
    <t>ССЦ Тверской обл. (редакции 2014), пр. № 337/пр, сб.404, поз.0005</t>
  </si>
  <si>
    <t>13</t>
  </si>
  <si>
    <t>402-0013</t>
  </si>
  <si>
    <t>Раствор готовый кладочный цементно-известковый марки 50</t>
  </si>
  <si>
    <t>ССЦ Тверской обл. (редакции 2014), пр. № 337/пр, сб.402, поз.0013</t>
  </si>
  <si>
    <t>14</t>
  </si>
  <si>
    <t>404-0007</t>
  </si>
  <si>
    <t>Кирпич керамический одинарный, размером 250х120х65 мм, марка 150</t>
  </si>
  <si>
    <t>ССЦ Тверской обл. (редакции 2014), пр. № 337/пр, сб.404, поз.0007</t>
  </si>
  <si>
    <t>15</t>
  </si>
  <si>
    <t>402-0015</t>
  </si>
  <si>
    <t>Раствор готовый кладочный цементно-известковый марки 100</t>
  </si>
  <si>
    <t>ССЦ Тверской обл. (редакции 2014), пр. № 337/пр, сб.402, поз.0015</t>
  </si>
  <si>
    <t>16</t>
  </si>
  <si>
    <t>15-02-001-1</t>
  </si>
  <si>
    <t>Улучшенная штукатурка фасадов цементно-известковым раствором по камню стен</t>
  </si>
  <si>
    <t>100 м2 оштукатуриваемой поверхности</t>
  </si>
  <si>
    <t>ТЕР (ред.2014)Тверской обл.изм.2,пр. № 337/пр,сб.15,гл.02,табл.001,поз.1</t>
  </si>
  <si>
    <t>17</t>
  </si>
  <si>
    <t>18</t>
  </si>
  <si>
    <t>ТЦ_01.7.10.14_69_0_02</t>
  </si>
  <si>
    <t>Смеси штукатурные, марка Capatect  Leichtgrundputz 170 / Расход 36 кг/м2/30мм (30,83/6,17)</t>
  </si>
  <si>
    <t>19</t>
  </si>
  <si>
    <t>20</t>
  </si>
  <si>
    <t>21</t>
  </si>
  <si>
    <t>22</t>
  </si>
  <si>
    <t>ТЦ-14.4.00.00_69_0-02</t>
  </si>
  <si>
    <t>23</t>
  </si>
  <si>
    <t>ТЦ-14.4.00.00_69_0_02</t>
  </si>
  <si>
    <t>24</t>
  </si>
  <si>
    <t>12-01-010-1</t>
  </si>
  <si>
    <t>Устройство мелких покрытий (брандмауэры, парапеты, свесы и т.п.) из листовой оцинкованной стали</t>
  </si>
  <si>
    <t>100 м2 покрытия</t>
  </si>
  <si>
    <t>ТЕР (ред.2014)Тверской обл.изм.2,пр. № 337/пр,сб.12,гл.01,табл.010,поз.1</t>
  </si>
  <si>
    <t>Кровли</t>
  </si>
  <si>
    <t>ФЕР-12</t>
  </si>
  <si>
    <t>25</t>
  </si>
  <si>
    <t>15-04-016-3</t>
  </si>
  <si>
    <t>Окраска фасадов с люлек с подготовкой поверхности поливинилацетатная / Обработка сохраняемой поверхности еирпичной кладки укрепляющим раствором</t>
  </si>
  <si>
    <t>ТЕР (ред.2014)Тверской обл.изм.2,пр. № 337/пр,сб.15,гл.04,табл.016,поз.3</t>
  </si>
  <si>
    <t>26</t>
  </si>
  <si>
    <t>27</t>
  </si>
  <si>
    <t>Раствор штукатурный Remmers КСЕ 100  / Расход 2л /м2 (1895,83/6,17)</t>
  </si>
  <si>
    <t>Восстановление наружной стены</t>
  </si>
  <si>
    <t>28</t>
  </si>
  <si>
    <t>46-04-001-4</t>
  </si>
  <si>
    <t>Разборка кирпичных стен</t>
  </si>
  <si>
    <t>1 м3</t>
  </si>
  <si>
    <t>ТЕР (ред.2014)Тверской обл.изм.2,пр. № 337/пр,сб.46,гл.04,табл.001,поз.4</t>
  </si>
  <si>
    <t>Работы по реконструкции зданий и сооружений: разборка отдельных конструктивных элементов здания (сооружения), а также зданий (сооружений) в целом</t>
  </si>
  <si>
    <t>ФЕР-46</t>
  </si>
  <si>
    <t>29</t>
  </si>
  <si>
    <t>08-02-001-1</t>
  </si>
  <si>
    <t>Кладка стен кирпичных наружных простых при высоте этажа до 4 м</t>
  </si>
  <si>
    <t>ТЕР (ред.2014)Тверской обл.изм.2,пр. № 337/пр,сб.08,гл.02,табл.001,поз.1</t>
  </si>
  <si>
    <t>Конструкции из кирпича и блоков</t>
  </si>
  <si>
    <t>ФЕР-08</t>
  </si>
  <si>
    <t>30</t>
  </si>
  <si>
    <t>31</t>
  </si>
  <si>
    <t>402-0012</t>
  </si>
  <si>
    <t>Раствор готовый кладочный цементно-известковый марки 25</t>
  </si>
  <si>
    <t>ССЦ Тверской обл. (редакции 2014), пр. № 337/пр, сб.402, поз.0012</t>
  </si>
  <si>
    <t>32</t>
  </si>
  <si>
    <t>33</t>
  </si>
  <si>
    <t>34</t>
  </si>
  <si>
    <t>53-18-1</t>
  </si>
  <si>
    <t>Перекладка клинчатых кирпичных перемычек</t>
  </si>
  <si>
    <t>1 м3 перемычек</t>
  </si>
  <si>
    <t>ТЕР (ред.2014)Тверской обл.изм.2,пр. № 337/пр,сб.53,гл.,табл.18,поз.1</t>
  </si>
  <si>
    <t>35</t>
  </si>
  <si>
    <t>36</t>
  </si>
  <si>
    <t>37</t>
  </si>
  <si>
    <t>38</t>
  </si>
  <si>
    <t>39</t>
  </si>
  <si>
    <t>53-15-2</t>
  </si>
  <si>
    <t>Ремонт лицевой поверхности наружных кирпичных стен при глубине заделки в 1/2 кирпича площадью в одном месте более 1 м2</t>
  </si>
  <si>
    <t>100 м2 отремонтированной поверхности стен</t>
  </si>
  <si>
    <t>ТЕР (ред.2014)Тверской обл.изм.2,пр. № 337/пр,сб.53,гл.,табл.15,поз.2</t>
  </si>
  <si>
    <t>40</t>
  </si>
  <si>
    <t>41</t>
  </si>
  <si>
    <t>42</t>
  </si>
  <si>
    <t>43</t>
  </si>
  <si>
    <t>44</t>
  </si>
  <si>
    <t>53-15-4</t>
  </si>
  <si>
    <t>Ремонт лицевой поверхности наружных кирпичных стен при глубине заделки в 1 кирпич площадью в одном месте более 1 м2</t>
  </si>
  <si>
    <t>ТЕР (ред.2014)Тверской обл.изм.2,пр. № 337/пр,сб.53,гл.,табл.15,поз.4</t>
  </si>
  <si>
    <t>45</t>
  </si>
  <si>
    <t>46</t>
  </si>
  <si>
    <t>47</t>
  </si>
  <si>
    <t>48</t>
  </si>
  <si>
    <t>49</t>
  </si>
  <si>
    <t>Улучшенная штукатурка фасадов цементно-известковым раствором по камню стен  / Докомпановка и домастиковка кирпичной кладки</t>
  </si>
  <si>
    <t>Восстановление оконных проемов</t>
  </si>
  <si>
    <t>50</t>
  </si>
  <si>
    <t>53-20-3</t>
  </si>
  <si>
    <t>Кладка отдельных участков из кирпича наружных сложных стен</t>
  </si>
  <si>
    <t>100 м3 кладки</t>
  </si>
  <si>
    <t>ТЕР (ред.2014)Тверской обл.изм.2,пр. № 337/пр,сб.53,гл.,табл.20,поз.3</t>
  </si>
  <si>
    <t>51</t>
  </si>
  <si>
    <t>52</t>
  </si>
  <si>
    <t>53</t>
  </si>
  <si>
    <t>54</t>
  </si>
  <si>
    <t>55</t>
  </si>
  <si>
    <t>08-02-008-1</t>
  </si>
  <si>
    <t>Кладка наружных стен из камней керамических или силикатных простых при высоте этажа до 4 м / Восстановление наружного декора</t>
  </si>
  <si>
    <t>ТЕР (ред.2014)Тверской обл.изм.2,пр. № 337/пр,сб.08,гл.02,табл.008,поз.1</t>
  </si>
  <si>
    <t>56</t>
  </si>
  <si>
    <t>404-0025</t>
  </si>
  <si>
    <t>Камни керамические одинарные, размером 250х120х140 мм, марка 100</t>
  </si>
  <si>
    <t>ССЦ Тверской обл. (редакции 2014), пр. № 337/пр, сб.404, поз.0025</t>
  </si>
  <si>
    <t>57</t>
  </si>
  <si>
    <t>412-0054</t>
  </si>
  <si>
    <t>Блоки известняковые массой до 0,5 т / прим.</t>
  </si>
  <si>
    <t>ССЦ Тверской обл. (редакции 2014), пр. № 337/пр, сб.412, поз.0054</t>
  </si>
  <si>
    <t>58</t>
  </si>
  <si>
    <t>53-23-1</t>
  </si>
  <si>
    <t>Перекладка кирпичного карниза при высоте (в рядах) в 4 кирпича</t>
  </si>
  <si>
    <t>1 м карниза</t>
  </si>
  <si>
    <t>ТЕР (ред.2014)Тверской обл.изм.2,пр. № 337/пр,сб.53,гл.,табл.23,поз.1</t>
  </si>
  <si>
    <t>59</t>
  </si>
  <si>
    <t>60</t>
  </si>
  <si>
    <t>61</t>
  </si>
  <si>
    <t>10-01-027-3</t>
  </si>
  <si>
    <t>Установка в жилых и общественных зданиях блоков оконных с переплетами раздельными (раздельно-спаренными) в стенах каменных площадью проема до 2 м2</t>
  </si>
  <si>
    <t>ТЕР (ред.2014)Тверской обл.изм.2,пр. № 337/пр,сб.10,гл.01,табл.027,поз.3</t>
  </si>
  <si>
    <t>62</t>
  </si>
  <si>
    <t>203-0029</t>
  </si>
  <si>
    <t>Блоки оконные с двойным остеклением с раздельными створками двустворные, с форточной створкой ОР 12-15, площадь 1,71 м2, ОР 15-12</t>
  </si>
  <si>
    <t>м2</t>
  </si>
  <si>
    <t>ССЦ Тверской обл. (редакции 2014), пр. № 337/пр, сб.203, поз.0029</t>
  </si>
  <si>
    <t>63</t>
  </si>
  <si>
    <t>ТЦ_11.2.07.03_69_4823015698_22.07.2021_01</t>
  </si>
  <si>
    <t>Оконный блок индивидуального изготовления  (42810/6,17)</t>
  </si>
  <si>
    <t>64</t>
  </si>
  <si>
    <t>101-0897</t>
  </si>
  <si>
    <t>Скобяные изделия для оконных блоков с раздельными двойными переплетами жилых зданий одностворных высотой до 1,5 м</t>
  </si>
  <si>
    <t>компл.</t>
  </si>
  <si>
    <t>ССЦ Тверской обл. (редакции 2014), пр. № 337/пр, сб.101, поз.0897</t>
  </si>
  <si>
    <t>65</t>
  </si>
  <si>
    <t>Установка в жилых и общественных зданиях блоков оконных с переплетами раздельными (раздельно-спаренными) в стенах каменных площадью проема более 2 м2</t>
  </si>
  <si>
    <t>66</t>
  </si>
  <si>
    <t>203-0031</t>
  </si>
  <si>
    <t>Блоки оконные с двойным остеклением с раздельными створками двустворные, с форточной створкой ОР 18-13,5, площадь 2,32 м2; ОР 18-15, площадь 2,59 м2</t>
  </si>
  <si>
    <t>ССЦ Тверской обл. (редакции 2014), пр. № 337/пр, сб.203, поз.0031</t>
  </si>
  <si>
    <t>67</t>
  </si>
  <si>
    <t>Оконный блок индивидуального изготовления ( 42810/6,17)</t>
  </si>
  <si>
    <t>68</t>
  </si>
  <si>
    <t>Оконный блок индивидуального изготовления (42810/6,17)</t>
  </si>
  <si>
    <t>69</t>
  </si>
  <si>
    <t>101-0900</t>
  </si>
  <si>
    <t>Скобяные изделия для оконных блоков с раздельными двойными переплетами жилых зданий одностворных с форточкой высотой до 1,8 м</t>
  </si>
  <si>
    <t>ССЦ Тверской обл. (редакции 2014), пр. № 337/пр, сб.101, поз.0900</t>
  </si>
  <si>
    <t>70</t>
  </si>
  <si>
    <t>10-01-033-3</t>
  </si>
  <si>
    <t>Установка деревянных подоконных досок в каменных стенах высотой проема более 2 м</t>
  </si>
  <si>
    <t>ТЕР (ред.2014)Тверской обл.изм.2,пр. № 337/пр,сб.10,гл.01,табл.033,поз.3</t>
  </si>
  <si>
    <t>71</t>
  </si>
  <si>
    <t>203-0384</t>
  </si>
  <si>
    <t>Доски подоконные клееные из древесины, облицованные сверхтвердой древесноволокнистой плитой или водостойкой фанерой марки ПД-1, ПД-3, толщиной 34 мм, шириной 250 мм</t>
  </si>
  <si>
    <t>м</t>
  </si>
  <si>
    <t>ССЦ Тверской обл. (редакции 2014), пр. № 337/пр, сб.203, поз.0384</t>
  </si>
  <si>
    <t>72</t>
  </si>
  <si>
    <t>Подоконная доска ПД-1 0,329х1,216=0,4м2 (9688/6,17)</t>
  </si>
  <si>
    <t>73</t>
  </si>
  <si>
    <t>15-04-025-5</t>
  </si>
  <si>
    <t>Улучшенная окраска масляными составами по дереву заполнений оконных проемов</t>
  </si>
  <si>
    <t>ТЕР (ред.2014)Тверской обл.изм.2,пр. № 337/пр,сб.15,гл.04,табл.025,поз.5</t>
  </si>
  <si>
    <t>74</t>
  </si>
  <si>
    <t>Внутренние работы</t>
  </si>
  <si>
    <t>75</t>
  </si>
  <si>
    <t>46-02-009-2</t>
  </si>
  <si>
    <t>Отбивка штукатурки с поверхностей стен и потолков кирпичных</t>
  </si>
  <si>
    <t>100 м2</t>
  </si>
  <si>
    <t>ТЕР (ред.2014)Тверской обл.изм.2,пр. № 337/пр,сб.46,гл.02,табл.009,поз.2</t>
  </si>
  <si>
    <t>Работы по реконструкции зданий и сооружений: усиление и замена существующих конструкций, возведение отдельных конструктивных элементов</t>
  </si>
  <si>
    <t>76</t>
  </si>
  <si>
    <t>46-04-012-3</t>
  </si>
  <si>
    <t>Разборка деревянных заполнений проемов дверных и воротных</t>
  </si>
  <si>
    <t>ТЕР (ред.2014)Тверской обл.изм.2,пр. № 337/пр,сб.46,гл.04,табл.012,поз.3</t>
  </si>
  <si>
    <t>Отделка дверных и оконных откосов</t>
  </si>
  <si>
    <t>77</t>
  </si>
  <si>
    <t>15-02-036-1</t>
  </si>
  <si>
    <t>Штукатурка по сетке без устройства каркаса улучшенная стен</t>
  </si>
  <si>
    <t>ТЕР (ред.2014)Тверской обл.изм.2,пр. № 337/пр,сб.15,гл.02,табл.036,поз.1</t>
  </si>
  <si>
    <t>78</t>
  </si>
  <si>
    <t>15-04-027-5</t>
  </si>
  <si>
    <t>Третья шпатлевка при высококачественной окраске по штукатурке и сборным конструкциям стен, подготовленных под окраску</t>
  </si>
  <si>
    <t>ТЕР (ред.2014)Тверской обл.изм.2,пр. № 337/пр,сб.15,гл.04,табл.027,поз.5</t>
  </si>
  <si>
    <t>79</t>
  </si>
  <si>
    <t>15-04-005-7</t>
  </si>
  <si>
    <t>Окраска поливинилацетатными водоэмульсионными составами высококачественная по штукатурке стен</t>
  </si>
  <si>
    <t>ТЕР (ред.2014)Тверской обл.изм.2,пр. № 337/пр,сб.15,гл.04,табл.005,поз.7</t>
  </si>
  <si>
    <t>Потолки (санузел женский)</t>
  </si>
  <si>
    <t>80</t>
  </si>
  <si>
    <t>15-02-036-2</t>
  </si>
  <si>
    <t>Штукатурка по сетке без устройства каркаса улучшенная потолков</t>
  </si>
  <si>
    <t>ТЕР (ред.2014)Тверской обл.изм.2,пр. № 337/пр,сб.15,гл.02,табл.036,поз.2</t>
  </si>
  <si>
    <t>81</t>
  </si>
  <si>
    <t>15-04-027-6</t>
  </si>
  <si>
    <t>Третья шпатлевка при высококачественной окраске по штукатурке и сборным конструкциям потолков, подготовленных под окраску</t>
  </si>
  <si>
    <t>ТЕР (ред.2014)Тверской обл.изм.2,пр. № 337/пр,сб.15,гл.04,табл.027,поз.6</t>
  </si>
  <si>
    <t>82</t>
  </si>
  <si>
    <t>15-04-005-8</t>
  </si>
  <si>
    <t>Окраска поливинилацетатными водоэмульсионными составами высококачественная по штукатурке потолков</t>
  </si>
  <si>
    <t>ТЕР (ред.2014)Тверской обл.изм.2,пр. № 337/пр,сб.15,гл.04,табл.005,поз.8</t>
  </si>
  <si>
    <t>Потолки (душевая)</t>
  </si>
  <si>
    <t>83</t>
  </si>
  <si>
    <t>84</t>
  </si>
  <si>
    <t>85</t>
  </si>
  <si>
    <t>Потолки (санузел мужской)</t>
  </si>
  <si>
    <t>86</t>
  </si>
  <si>
    <t>87</t>
  </si>
  <si>
    <t>88</t>
  </si>
  <si>
    <t>Стены (санузел женский)</t>
  </si>
  <si>
    <t>89</t>
  </si>
  <si>
    <t>90</t>
  </si>
  <si>
    <t>91</t>
  </si>
  <si>
    <t>15-01-019-5</t>
  </si>
  <si>
    <t>Гладкая облицовка стен, столбов, пилястр и откосов (без карнизных, плинтусных и угловых плиток) без установки плиток туалетного гарнитура на клее из сухих смесей по кирпичу и бетону</t>
  </si>
  <si>
    <t>100 м2 поверхности облицовки</t>
  </si>
  <si>
    <t>ТЕР (ред.2014)Тверской обл.изм.2,пр. № 337/пр,сб.15,гл.01,табл.019,поз.5</t>
  </si>
  <si>
    <t>92</t>
  </si>
  <si>
    <t>Стены (душевая)</t>
  </si>
  <si>
    <t>93</t>
  </si>
  <si>
    <t>94</t>
  </si>
  <si>
    <t>95</t>
  </si>
  <si>
    <t>96</t>
  </si>
  <si>
    <t>Стены (санузел мужской)</t>
  </si>
  <si>
    <t>97</t>
  </si>
  <si>
    <t>98</t>
  </si>
  <si>
    <t>99</t>
  </si>
  <si>
    <t>100</t>
  </si>
  <si>
    <t>101</t>
  </si>
  <si>
    <t>10-01-039-2</t>
  </si>
  <si>
    <t>Установка блоков в наружных и внутренних дверных проемах в каменных стенах, площадь проема более 3 м2</t>
  </si>
  <si>
    <t>ТЕР (ред.2014)Тверской обл.изм.2,пр. № 337/пр,сб.10,гл.01,табл.039,поз.2</t>
  </si>
  <si>
    <t>102</t>
  </si>
  <si>
    <t>203-0225</t>
  </si>
  <si>
    <t>Блоки дверные с рамочными полотнами однопольные ДН 21-15А, площадь 3,07 м2; ДН 24-15А, площадь 3,52 м2</t>
  </si>
  <si>
    <t>ССЦ Тверской обл. (редакции 2014), пр. № 337/пр, сб.203, поз.0225</t>
  </si>
  <si>
    <t>103</t>
  </si>
  <si>
    <t>ТЦ_11.2.02.01_69_4823015698_22.07.2021_01</t>
  </si>
  <si>
    <t>Блок дверной ДИ-1 (3*0,9м=2,7м2) индивидуального изготовления (19806/6,17)</t>
  </si>
  <si>
    <t>104</t>
  </si>
  <si>
    <t>101-0887</t>
  </si>
  <si>
    <t>Скобяные изделия для блоков входных однопольных</t>
  </si>
  <si>
    <t>ССЦ Тверской обл. (редакции 2014), пр. № 337/пр, сб.101, поз.0887</t>
  </si>
  <si>
    <t>Вывоз мусора</t>
  </si>
  <si>
    <t>105</t>
  </si>
  <si>
    <t>69-15-1</t>
  </si>
  <si>
    <t>Затаривание строительного мусора в мешки</t>
  </si>
  <si>
    <t>1 Т</t>
  </si>
  <si>
    <t>ТЕР (ред.2014)Тверской обл.изм.2,пр. № 337/пр,сб.69,гл.,табл.15,поз.1</t>
  </si>
  <si>
    <t>Прочие ремонтно-строительные работы</t>
  </si>
  <si>
    <t>рФЕР-69</t>
  </si>
  <si>
    <t>106</t>
  </si>
  <si>
    <t>т01-01-001-21</t>
  </si>
  <si>
    <t>Погрузка при автомобильных перевозках материалов, перевозимых в мешках и пакетах</t>
  </si>
  <si>
    <t>1 т</t>
  </si>
  <si>
    <t>ТЕР (ред.2014)Тверской обл.изм.2,пр. № 337/пр,сб.01,гл.01,табл.001,поз.21</t>
  </si>
  <si>
    <t>1 т груза</t>
  </si>
  <si>
    <t>Погрузочно-разгрузочные работы</t>
  </si>
  <si>
    <t>ФССЦпр  пог. а/п (2011,изм. 4-6)</t>
  </si>
  <si>
    <t>107</t>
  </si>
  <si>
    <t>т03-21-001-21</t>
  </si>
  <si>
    <t>Перевозка грузов I класса автомобилями-самосвалами грузоподъемностью 10 т работающих вне карьера на расстояние до 21 км</t>
  </si>
  <si>
    <t>ТЕР (ред.2014)Тверской обл.изм.2,пр. № 337/пр,сб.03,гл.21,табл.001,поз.21</t>
  </si>
  <si>
    <t>Перевозка грузов авто/транспортом</t>
  </si>
  <si>
    <t>Перевозка строительных грузов автомобильным транспортом</t>
  </si>
  <si>
    <t>ФССЦпр , изм. 7</t>
  </si>
  <si>
    <t>Раздел КР</t>
  </si>
  <si>
    <t>108</t>
  </si>
  <si>
    <t>68-26-2</t>
  </si>
  <si>
    <t>Разборка деревянных заборов штакетных</t>
  </si>
  <si>
    <t>100 м2 забора</t>
  </si>
  <si>
    <t>ТЕР (ред.2014)Тверской обл.изм.2,пр. № 337/пр,сб.68,гл.,табл.26,поз.2</t>
  </si>
  <si>
    <t>Благоустройство</t>
  </si>
  <si>
    <t>рФЕР-68</t>
  </si>
  <si>
    <t>109</t>
  </si>
  <si>
    <t>69-9-1</t>
  </si>
  <si>
    <t>Очистка помещений от строительного мусора</t>
  </si>
  <si>
    <t>100 т мусора</t>
  </si>
  <si>
    <t>ТЕР (ред.2014)Тверской обл.изм.2,пр. № 337/пр,сб.69,гл.,табл.9,поз.1</t>
  </si>
  <si>
    <t>110</t>
  </si>
  <si>
    <t>52-11-3</t>
  </si>
  <si>
    <t>Водоотлив из подвала электрическими (механическими) насосами</t>
  </si>
  <si>
    <t>100 М3 ВОДЫ</t>
  </si>
  <si>
    <t>ТЕР (ред.2014)Тверской обл.изм.2,пр. № 337/пр,сб.52,гл.,табл.11,поз.3</t>
  </si>
  <si>
    <t>Фундаменты</t>
  </si>
  <si>
    <t>рФЕР-52</t>
  </si>
  <si>
    <t>111</t>
  </si>
  <si>
    <t>10-01-010-1</t>
  </si>
  <si>
    <t>Установка элементов каркаса из брусьев</t>
  </si>
  <si>
    <t>1 м3 древесины в конструкции</t>
  </si>
  <si>
    <t>ТЕР (ред.2014)Тверской обл.изм.2,пр. № 337/пр,сб.10,гл.01,табл.010,поз.1</t>
  </si>
  <si>
    <t>112</t>
  </si>
  <si>
    <t>26-01-054-1</t>
  </si>
  <si>
    <t>Обертывание поверхности изоляции рулонными материалами насухо с проклейкой швов</t>
  </si>
  <si>
    <t>100 м2 поверхности покрытия изоляции</t>
  </si>
  <si>
    <t>ТЕР (ред.2014)Тверской обл.изм.2,пр. № 337/пр,сб.26,гл.01,табл.054,поз.1</t>
  </si>
  <si>
    <t>Теплоизоляционные работы</t>
  </si>
  <si>
    <t>ФЕР-26</t>
  </si>
  <si>
    <t>113</t>
  </si>
  <si>
    <t>26-02-018-3</t>
  </si>
  <si>
    <t>100 м2 обрабатываемой поверхности</t>
  </si>
  <si>
    <t>ТЕР (ред.2014)Тверской обл.изм.2,пр. № 337/пр,сб.26,гл.02,табл.018,поз.3</t>
  </si>
  <si>
    <t>114</t>
  </si>
  <si>
    <t>113-8072</t>
  </si>
  <si>
    <t>Антисептик-антипирен &lt;ПИРИЛАКС-ЛЮКС&gt; для древесины</t>
  </si>
  <si>
    <t>ССЦ Тверской обл. (редакции 2014), пр. № 337/пр, сб.113, поз.8072</t>
  </si>
  <si>
    <t>115</t>
  </si>
  <si>
    <t>08-07-001-2</t>
  </si>
  <si>
    <t>Установка и разборка наружных инвентарных лесов высотой до 16 м трубчатых для прочих отделочных работ</t>
  </si>
  <si>
    <t>100 м2 вертикальной проекции для наружных лесов</t>
  </si>
  <si>
    <t>ТЕР (ред.2014)Тверской обл.изм.2,пр. № 337/пр,сб.08,гл.07,табл.001,поз.2</t>
  </si>
  <si>
    <t>116</t>
  </si>
  <si>
    <t>117</t>
  </si>
  <si>
    <t>09-03-014-2</t>
  </si>
  <si>
    <t>Демонтаж связей и распорок из одиночных и парных уголков, гнутосварных профилей для пролетов до 24 м при высоте здания до 50 м</t>
  </si>
  <si>
    <t>1 т конструкций</t>
  </si>
  <si>
    <t>ТЕР (ред.2014)Тверской обл.изм.2,пр. № 337/пр,сб.09,гл.03,табл.014,поз.2</t>
  </si>
  <si>
    <t>*0,7*1,15</t>
  </si>
  <si>
    <t>Строительные металлические конструкции</t>
  </si>
  <si>
    <t>ФЕР-09</t>
  </si>
  <si>
    <t>118</t>
  </si>
  <si>
    <t>67-3-1</t>
  </si>
  <si>
    <t>Демонтаж кабеля</t>
  </si>
  <si>
    <t>100 м</t>
  </si>
  <si>
    <t>ТЕР (ред.2014)Тверской обл.изм.2,пр. № 337/пр,сб.67,гл.,табл.3,поз.1</t>
  </si>
  <si>
    <t>Электромонтажные работы</t>
  </si>
  <si>
    <t>рФЕР-67</t>
  </si>
  <si>
    <t>119</t>
  </si>
  <si>
    <t>16-04-002-2</t>
  </si>
  <si>
    <t>Демонтаж трубопроводов водоснабжения из напорных полиэтиленовых труб низкого давления среднего типа наружным диаметром 25 мм</t>
  </si>
  <si>
    <t>100 м трубопровода</t>
  </si>
  <si>
    <t>ТЕР (ред.2014)Тверской обл.изм.2,пр. № 337/пр,сб.16,гл.04,табл.002,поз.2</t>
  </si>
  <si>
    <t>*0,4*1,15</t>
  </si>
  <si>
    <t>Трубопроводы внутренние</t>
  </si>
  <si>
    <t>ФЕР-16</t>
  </si>
  <si>
    <t>120</t>
  </si>
  <si>
    <t>16-04-001-1</t>
  </si>
  <si>
    <t>Демонтаж трубопроводов канализации из полиэтиленовых труб высокой плотности диаметром 50 мм</t>
  </si>
  <si>
    <t>ТЕР (ред.2014)Тверской обл.изм.2,пр. № 337/пр,сб.16,гл.04,табл.001,поз.1</t>
  </si>
  <si>
    <t>121</t>
  </si>
  <si>
    <t>16-04-001-2</t>
  </si>
  <si>
    <t>Демонтаж трубопроводов канализации из полиэтиленовых труб высокой плотности диаметром 110 мм</t>
  </si>
  <si>
    <t>ТЕР (ред.2014)Тверской обл.изм.2,пр. № 337/пр,сб.16,гл.04,табл.001,поз.2</t>
  </si>
  <si>
    <t>122</t>
  </si>
  <si>
    <t>46-04-006-3</t>
  </si>
  <si>
    <t>Разборка деревянных перегородок чистых щитовых дощатых / разборка зашивки проемов</t>
  </si>
  <si>
    <t>ТЕР (ред.2014)Тверской обл.изм.2,пр. № 337/пр,сб.46,гл.04,табл.006,поз.3</t>
  </si>
  <si>
    <t>123</t>
  </si>
  <si>
    <t>57-2-3</t>
  </si>
  <si>
    <t>Разборка покрытий полов из керамических плиток</t>
  </si>
  <si>
    <t>ТЕР (ред.2014)Тверской обл.изм.2,пр. № 337/пр,сб.57,гл.,табл.2,поз.3</t>
  </si>
  <si>
    <t>Полы</t>
  </si>
  <si>
    <t>рФЕР-57</t>
  </si>
  <si>
    <t>124</t>
  </si>
  <si>
    <t>46-01-004-3</t>
  </si>
  <si>
    <t>Усиление конструктивных элементов стен кирпичных стальными тяжами</t>
  </si>
  <si>
    <t>ТЕР (ред.2014)Тверской обл.изм.2,пр. № 337/пр,сб.46,гл.01,табл.004,поз.3</t>
  </si>
  <si>
    <t>125</t>
  </si>
  <si>
    <t>13-03-002-4</t>
  </si>
  <si>
    <t>Огрунтовка металлических поверхностей за один раз грунтовкой ГФ-021</t>
  </si>
  <si>
    <t>ТЕР (ред.2014)Тверской обл.изм.2,пр. № 337/пр,сб.13,гл.03,табл.002,поз.4</t>
  </si>
  <si>
    <t>*1,15*1,25</t>
  </si>
  <si>
    <t>Защита строительных конструкций</t>
  </si>
  <si>
    <t>ФЕР-13</t>
  </si>
  <si>
    <t>126</t>
  </si>
  <si>
    <t>06-01-015-7</t>
  </si>
  <si>
    <t>Установка закладных деталей весом до 4 кг /  заделка арматурными сетками</t>
  </si>
  <si>
    <t>ТЕР (ред.2014)Тверской обл.изм.2,пр. № 337/пр,сб.06,гл.01,табл.015,поз.7</t>
  </si>
  <si>
    <t>Бетонные и железобетонные монолитные конструкции и работы в строительстве</t>
  </si>
  <si>
    <t>ФЕР-06</t>
  </si>
  <si>
    <t>127</t>
  </si>
  <si>
    <t>46-03-017-1</t>
  </si>
  <si>
    <t>Заделка отверстий, гнезд и борозд в перекрытиях железобетонных площадью до 0,1 м2 + Инъецирование отверстий в кладке</t>
  </si>
  <si>
    <t>1 м3 заделки</t>
  </si>
  <si>
    <t>ТЕР (ред.2014)Тверской обл.изм.2,пр. № 337/пр,сб.46,гл.03,табл.017,поз.1</t>
  </si>
  <si>
    <t>128</t>
  </si>
  <si>
    <t>401-0066</t>
  </si>
  <si>
    <t>Бетон тяжелый, крупность заполнителя 20 мм, класс В15 (М200)</t>
  </si>
  <si>
    <t>ССЦ Тверской обл. (редакции 2014), пр. № 337/пр, сб.401, поз.0066</t>
  </si>
  <si>
    <t>129</t>
  </si>
  <si>
    <t>402-0003</t>
  </si>
  <si>
    <t>Раствор готовый кладочный цементный марки 75</t>
  </si>
  <si>
    <t>ССЦ Тверской обл. (редакции 2014), пр. № 337/пр, сб.402, поз.0003</t>
  </si>
  <si>
    <t>130</t>
  </si>
  <si>
    <t>69-2-1</t>
  </si>
  <si>
    <t>Сверление отверстий в кирпичных стенах электроперфоратором диаметром до 20 мм, толщина стен 0,5 кирпича</t>
  </si>
  <si>
    <t>100 отверстий</t>
  </si>
  <si>
    <t>ТЕР (ред.2014)Тверской обл.изм.2,пр. № 337/пр,сб.69,гл.,табл.2,поз.1</t>
  </si>
  <si>
    <t>131</t>
  </si>
  <si>
    <t>69-2-2</t>
  </si>
  <si>
    <t>Сверление отверстий на каждые 0,5 кирпича толщины стен добавлять к расценке 69-2-1</t>
  </si>
  <si>
    <t>ТЕР (ред.2014)Тверской обл.изм.2,пр. № 337/пр,сб.69,гл.,табл.2,поз.2</t>
  </si>
  <si>
    <t>132</t>
  </si>
  <si>
    <t>06-01-015-4</t>
  </si>
  <si>
    <t>Установка анкерных болтов при бетонировании на поддерживающие конструкции</t>
  </si>
  <si>
    <t>ТЕР (ред.2014)Тверской обл.изм.2,пр. № 337/пр,сб.06,гл.01,табл.015,поз.4</t>
  </si>
  <si>
    <t>133</t>
  </si>
  <si>
    <t>Клей анкерный  FIS V360S (3316,67/6,17)</t>
  </si>
  <si>
    <t>134</t>
  </si>
  <si>
    <t>08-02-001-7</t>
  </si>
  <si>
    <t>Кладка стен кирпичных внутренних при высоте этажа до 4 м</t>
  </si>
  <si>
    <t>ТЕР (ред.2014)Тверской обл.изм.2,пр. № 337/пр,сб.08,гл.02,табл.001,поз.7</t>
  </si>
  <si>
    <t>135</t>
  </si>
  <si>
    <t>136</t>
  </si>
  <si>
    <t>137</t>
  </si>
  <si>
    <t>138</t>
  </si>
  <si>
    <t>139</t>
  </si>
  <si>
    <t>08-02-007-1</t>
  </si>
  <si>
    <t>Армирование кладки стен и других конструкций</t>
  </si>
  <si>
    <t>1 т металлических изделий</t>
  </si>
  <si>
    <t>ТЕР (ред.2014)Тверской обл.изм.2,пр. № 337/пр,сб.08,гл.02,табл.007,поз.1</t>
  </si>
  <si>
    <t>140</t>
  </si>
  <si>
    <t>13-06-003-1</t>
  </si>
  <si>
    <t>Очистка поверхности щетками</t>
  </si>
  <si>
    <t>1 м2 очищаемой поверхности</t>
  </si>
  <si>
    <t>ТЕР (ред.2014)Тверской обл.изм.2,пр. № 337/пр,сб.13,гл.06,табл.003,поз.1</t>
  </si>
  <si>
    <t>141</t>
  </si>
  <si>
    <t>57-10-1</t>
  </si>
  <si>
    <t>Заделка выбоин в полах цементных площадью до 0,25 м2</t>
  </si>
  <si>
    <t>100 мест</t>
  </si>
  <si>
    <t>ТЕР (ред.2014)Тверской обл.изм.2,пр. № 337/пр,сб.57,гл.,табл.10,поз.1</t>
  </si>
  <si>
    <t>142</t>
  </si>
  <si>
    <t>402-0004</t>
  </si>
  <si>
    <t>Раствор готовый кладочный цементный марки 100</t>
  </si>
  <si>
    <t>ССЦ Тверской обл. (редакции 2014), пр. № 337/пр, сб.402, поз.0004</t>
  </si>
  <si>
    <t>143</t>
  </si>
  <si>
    <t>ТЦ_01.7.10.14_69_0_</t>
  </si>
  <si>
    <t>Ремонтный состав Maptgrout Hi-Flow (37,9/6,17)</t>
  </si>
  <si>
    <t>144</t>
  </si>
  <si>
    <t>11-01-011-1</t>
  </si>
  <si>
    <t>Устройство стяжек цементных толщиной 20 мм</t>
  </si>
  <si>
    <t>100 м2 стяжки</t>
  </si>
  <si>
    <t>ТЕР (ред.2014)Тверской обл.изм.2,пр. № 337/пр,сб.11,гл.01,табл.011,поз.1</t>
  </si>
  <si>
    <t>ФЕР-11</t>
  </si>
  <si>
    <t>145</t>
  </si>
  <si>
    <t>11-01-011-2</t>
  </si>
  <si>
    <t>Устройство стяжек на каждые 5 мм изменения толщины стяжки добавлять или исключать к расценке 11-01-011-01</t>
  </si>
  <si>
    <t>ТЕР (ред.2014)Тверской обл.изм.2,пр. № 337/пр,сб.11,гл.01,табл.011,поз.2</t>
  </si>
  <si>
    <t>146</t>
  </si>
  <si>
    <t>11-01-004-3</t>
  </si>
  <si>
    <t>Устройство гидроизоляции оклеечной рулонными материалами на резино-битумной мастике, первый слой</t>
  </si>
  <si>
    <t>100 м2 изолируемой поверхности</t>
  </si>
  <si>
    <t>ТЕР (ред.2014)Тверской обл.изм.2,пр. № 337/пр,сб.11,гл.01,табл.004,поз.3</t>
  </si>
  <si>
    <t>147</t>
  </si>
  <si>
    <t>148</t>
  </si>
  <si>
    <t>149</t>
  </si>
  <si>
    <t>11-01-027-6</t>
  </si>
  <si>
    <t>Устройство покрытий на растворе их сухой смеси с приготовлением раствора в построечных условиях из плиток гладких неглазурованных керамических для полов одноцветных</t>
  </si>
  <si>
    <t>ТЕР (ред.2014)Тверской обл.изм.2,пр. № 337/пр,сб.11,гл.01,табл.027,поз.6</t>
  </si>
  <si>
    <t>150</t>
  </si>
  <si>
    <t>101-0287</t>
  </si>
  <si>
    <t>Плитки керамические для полов гладкие неглазурованные одноцветные с красителем квадратные и прямоугольные</t>
  </si>
  <si>
    <t>ССЦ Тверской обл. (редакции 2014), пр. № 337/пр, сб.101, поз.0287</t>
  </si>
  <si>
    <t>151</t>
  </si>
  <si>
    <t>101-5581</t>
  </si>
  <si>
    <t>Плитки керамогранитные размером 300х300х8 мм, темно-серые</t>
  </si>
  <si>
    <t>ССЦ Тверской обл. (редакции 2014), пр. № 337/пр, сб.101, поз.5581</t>
  </si>
  <si>
    <t>152</t>
  </si>
  <si>
    <t>18-03-004-3</t>
  </si>
  <si>
    <t>Установка регистров из стальных водогазопроводных труб диаметром нитки 32 мм</t>
  </si>
  <si>
    <t>100 м труб нитки регистра</t>
  </si>
  <si>
    <t>ТЕР (ред.2014)Тверской обл.изм.2,пр. № 337/пр,сб.18,гл.03,табл.004,поз.3</t>
  </si>
  <si>
    <t>Отопление - внутренние устройства</t>
  </si>
  <si>
    <t>ФЕР-18</t>
  </si>
  <si>
    <t>153</t>
  </si>
  <si>
    <t>Прокладка трубопроводов водоснабжения из напорных полиэтиленовых труб низкого давления среднего типа наружным диаметром 25 мм</t>
  </si>
  <si>
    <t>154</t>
  </si>
  <si>
    <t>507-0588</t>
  </si>
  <si>
    <t>Трубы напорные из полиэтилена низкого давления среднего типа, наружным диаметром 25 мм</t>
  </si>
  <si>
    <t>10 м</t>
  </si>
  <si>
    <t>ССЦ Тверской обл. (редакции 2014), пр. № 337/пр, сб.507, поз.0588</t>
  </si>
  <si>
    <t>Материалы монтажные</t>
  </si>
  <si>
    <t>Материалы и конструкции ( монтажные )  по ценникам и каталогам</t>
  </si>
  <si>
    <t>ФССЦм</t>
  </si>
  <si>
    <t>155</t>
  </si>
  <si>
    <t>507-3367</t>
  </si>
  <si>
    <t>Труба из полипропилена PN 25/25</t>
  </si>
  <si>
    <t>ССЦ Тверской обл. (редакции 2014), пр. № 337/пр, сб.507, поз.3367</t>
  </si>
  <si>
    <t>156</t>
  </si>
  <si>
    <t>Прокладка трубопроводов канализации из полиэтиленовых труб высокой плотности диаметром 50 мм</t>
  </si>
  <si>
    <t>157</t>
  </si>
  <si>
    <t>Прокладка трубопроводов канализации из полиэтиленовых труб высокой плотности диаметром 110 мм</t>
  </si>
  <si>
    <t>158</t>
  </si>
  <si>
    <t>17-01-003-1</t>
  </si>
  <si>
    <t>Установка унитазов с бачком непосредственно присоединенным</t>
  </si>
  <si>
    <t>10 компл.</t>
  </si>
  <si>
    <t>ТЕР (ред.2014)Тверской обл.изм.2,пр. № 337/пр,сб.17,гл.01,табл.003,поз.1</t>
  </si>
  <si>
    <t>Водопровод и канализация - внутренние устройства</t>
  </si>
  <si>
    <t>ФЕР-17</t>
  </si>
  <si>
    <t>159</t>
  </si>
  <si>
    <t>17-01-001-14</t>
  </si>
  <si>
    <t>Установка умывальников одиночных с подводкой холодной и горячей воды</t>
  </si>
  <si>
    <t>ТЕР (ред.2014)Тверской обл.изм.2,пр. № 337/пр,сб.17,гл.01,табл.001,поз.14</t>
  </si>
  <si>
    <t>160</t>
  </si>
  <si>
    <t>301-0616</t>
  </si>
  <si>
    <t>Смесители для умывальников СМ-УМ-ОРА с поворотным корпусом, одной рукояткой, с аэратором</t>
  </si>
  <si>
    <t>ССЦ Тверской обл. (редакции 2014), пр. № 337/пр, сб.301, поз.0616</t>
  </si>
  <si>
    <t>161</t>
  </si>
  <si>
    <t>17-01-001-20</t>
  </si>
  <si>
    <t>Установка кабин душевых со стальными поддонами</t>
  </si>
  <si>
    <t>ТЕР (ред.2014)Тверской обл.изм.2,пр. № 337/пр,сб.17,гл.01,табл.001,поз.20</t>
  </si>
  <si>
    <t>162</t>
  </si>
  <si>
    <t>301-0624</t>
  </si>
  <si>
    <t>Смесители для душевых установок СМ-Д-ШЛ с душевой сеткой на гибком шланге</t>
  </si>
  <si>
    <t>ССЦ Тверской обл. (редакции 2014), пр. № 337/пр, сб.301, поз.0624</t>
  </si>
  <si>
    <t>163</t>
  </si>
  <si>
    <t>м08-02-403-4</t>
  </si>
  <si>
    <t>Провод групповой осветительных сетей в защитной оболочке или кабель двух-трехжильный по перекрытиям</t>
  </si>
  <si>
    <t>ТЕР (ред.2014)Тверской обл.изм.2,пр. № 337/пр,сб.08,гл.02,табл.403,поз.4</t>
  </si>
  <si>
    <t>*1,2</t>
  </si>
  <si>
    <t>Монтажные работы</t>
  </si>
  <si>
    <t>Электротехнические установки: на других объектах</t>
  </si>
  <si>
    <t>мФЕР-08</t>
  </si>
  <si>
    <t>164</t>
  </si>
  <si>
    <t>м08-02-403-2</t>
  </si>
  <si>
    <t>Провод групповой осветительных сетей в защитной оболочке или кабель двух-трехжильный в готовых каналах стен и перекрытий</t>
  </si>
  <si>
    <t>ТЕР (ред.2014)Тверской обл.изм.2,пр. № 337/пр,сб.08,гл.02,табл.403,поз.2</t>
  </si>
  <si>
    <t>165</t>
  </si>
  <si>
    <t>м08-03-593-6</t>
  </si>
  <si>
    <t>Светильник потолочный или настенный с креплением винтами или болтами для помещений с нормальными условиями среды, одноламповый</t>
  </si>
  <si>
    <t>100 шт.</t>
  </si>
  <si>
    <t>ТЕР (ред.2014)Тверской обл.изм.2,пр. № 337/пр,сб.08,гл.03,табл.593,поз.6</t>
  </si>
  <si>
    <t>166</t>
  </si>
  <si>
    <t>м08-03-591-1</t>
  </si>
  <si>
    <t>Выключатель одноклавишный неутопленного типа при открытой проводке</t>
  </si>
  <si>
    <t>ТЕР (ред.2014)Тверской обл.изм.2,пр. № 337/пр,сб.08,гл.03,табл.591,поз.1</t>
  </si>
  <si>
    <t>167</t>
  </si>
  <si>
    <t>м08-03-591-8</t>
  </si>
  <si>
    <t>Розетка штепсельная неутопленного типа при открытой проводке</t>
  </si>
  <si>
    <t>ТЕР (ред.2014)Тверской обл.изм.2,пр. № 337/пр,сб.08,гл.03,табл.591,поз.8</t>
  </si>
  <si>
    <t>Материалы, неучтенные ценником</t>
  </si>
  <si>
    <t>168</t>
  </si>
  <si>
    <t>501-8190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</si>
  <si>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- 3 и сечением 1,5 мм2</t>
  </si>
  <si>
    <t>1000 м</t>
  </si>
  <si>
    <t>ССЦ Тверской обл. (редакции 2014), пр. № 337/пр, сб.501, поз.8190</t>
  </si>
  <si>
    <t>1000 М</t>
  </si>
  <si>
    <t>169</t>
  </si>
  <si>
    <t>501-8191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</si>
  <si>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- 3 и сечением 2,5 мм2</t>
  </si>
  <si>
    <t>ССЦ Тверской обл. (редакции 2014), пр. № 337/пр, сб.501, поз.8191</t>
  </si>
  <si>
    <t>170</t>
  </si>
  <si>
    <t>503-0710</t>
  </si>
  <si>
    <t>Розетка 250В/16А, IP44 для наружного монтажа с заземляющими контактами и с защитной шторкой</t>
  </si>
  <si>
    <t>шт.</t>
  </si>
  <si>
    <t>ССЦ Тверской обл. (редакции 2014), пр. № 337/пр, сб.503, поз.0710</t>
  </si>
  <si>
    <t>171</t>
  </si>
  <si>
    <t>509-1441</t>
  </si>
  <si>
    <t>Выключатель одноклавишный для открытой проводки</t>
  </si>
  <si>
    <t>ССЦ Тверской обл. (редакции 2014), пр. № 337/пр, сб.509, поз.1441</t>
  </si>
  <si>
    <t>172</t>
  </si>
  <si>
    <t>509-0762</t>
  </si>
  <si>
    <t>Светильники НСП 41-200-001 (IP 52)</t>
  </si>
  <si>
    <t>ССЦ Тверской обл. (редакции 2014), пр. № 337/пр, сб.509, поз.0762</t>
  </si>
  <si>
    <t>СТР_РЕК</t>
  </si>
  <si>
    <t>СТРОИТЕЛЬСТВО и РЕКОНСТРУКЦИЯ  зданий и сооружений всех назначений</t>
  </si>
  <si>
    <t>Строительство и реконструкция</t>
  </si>
  <si>
    <t>РЕМ_ЖИЛ</t>
  </si>
  <si>
    <t>КАП. РЕМ. ЖИЛЫХ И ОБЩЕСТВЕННЫХ ЗДАНИЙ</t>
  </si>
  <si>
    <t>Капитальный ремонт жилых и общественных зданий</t>
  </si>
  <si>
    <t>РЕМ_ПР</t>
  </si>
  <si>
    <t>КАП. РЕМ. ПРОИЗВОДСТВЕННЫХ ЗД. и СООРУЖЕНИЙ,  НАРУЖНЫХ ИНЖЕНЕРНЫХ СЕТЕЙ, УЛИЦ И ДОРОГ МЕСТНОГО ЗНАЧЕНИЯ, ИНЖ,СООРУЖЕНИЙ ( ГИДРОТЕХ,СООРУЖ, МОСТОВ И ПУТЕПРОВОДОВ И Т.П.)</t>
  </si>
  <si>
    <t>Капитальный ремонт прозводственных зданий</t>
  </si>
  <si>
    <t>Территория</t>
  </si>
  <si>
    <t>для территории Российской Федерации, не относящейся к районам Крайнего Севера и приравненным к ним местностям</t>
  </si>
  <si>
    <t>МПРКС</t>
  </si>
  <si>
    <t>для территории Российской Федерации, относящейся к местностям, приравненным к районам Крайнего Севера</t>
  </si>
  <si>
    <t>РКС</t>
  </si>
  <si>
    <t>для территории Российской Федерации, относящейся к районам Крайнего Севера</t>
  </si>
  <si>
    <t>СЛЖ</t>
  </si>
  <si>
    <t>{вкл} -  При определении сметной стоимости строительства объектов капитального строительства, относящихся к особо опасным и технически сложным. За исключением АЭС.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</si>
  <si>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</si>
  <si>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Сложные объекты</t>
  </si>
  <si>
    <t>АЭС</t>
  </si>
  <si>
    <t>{вкл} -  При определении сметной стоимости строительства объектов капитального строительства АЭС.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</si>
  <si>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</si>
  <si>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ОПТ/В</t>
  </si>
  <si>
    <t>{вкл}    - Прокладка  МЕЖДУГОРОДНЫХ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</si>
  <si>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</si>
  <si>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Прокладка междугородных в/опт. кабелей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</si>
  <si>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</si>
  <si>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</si>
  <si>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</si>
  <si>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Диспетчеризация авитранспорта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</si>
  <si>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</si>
  <si>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</si>
  <si>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</si>
  <si>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Производство работ закрытым способом ( обслуживающие процессы )</t>
  </si>
  <si>
    <t>ГОР</t>
  </si>
  <si>
    <t>(вкл) - ФЕРм-08, отд.1-3 выполнение работ на горнорудных объектах  (выкл) - ФЕРм-08, отд.1-3 выполнение работ на других объектах</t>
  </si>
  <si>
    <t>Выполнение работ на горнорудных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</si>
  <si>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</si>
  <si>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</si>
  <si>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</si>
  <si>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</si>
  <si>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</si>
  <si>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</si>
  <si>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</si>
  <si>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</si>
  <si>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К_НР_СЛЖ</t>
  </si>
  <si>
    <t>При определении сметной стоимости строительства объектов капитального строительства, относящихся к особо опасным и технически сложным. За исключением объектов атомных электрических станций.  ( если {СЛЖ} = [вкл] )</t>
  </si>
  <si>
    <t>К_НР_АЭС</t>
  </si>
  <si>
    <t>При определении сметной стоимости строительства объектов капитального строительства, относящихся к особо опасным и технически сложным. Для объектов атомных электрических станций.  ( если {АЭС} = [вкл] )</t>
  </si>
  <si>
    <t>Р_ОКР</t>
  </si>
  <si>
    <t>Разрядность округления результата расчета НР и СП  ( с 01.01.2011 - до целых )</t>
  </si>
  <si>
    <t>Лист_НРиСП</t>
  </si>
  <si>
    <t>Новый уровень цен</t>
  </si>
  <si>
    <t>Индексы за итогом</t>
  </si>
  <si>
    <t>2 квартал 2021г.</t>
  </si>
  <si>
    <t>Приложение №2 к письму Минстроя России от03.06.2021 №23038-ИФ/09.</t>
  </si>
  <si>
    <t>_OBSM_</t>
  </si>
  <si>
    <t>1-1033-69</t>
  </si>
  <si>
    <t>Рабочий строитель среднего разряда 3,3</t>
  </si>
  <si>
    <t>чел.-ч</t>
  </si>
  <si>
    <t>2-69</t>
  </si>
  <si>
    <t>Затраты труда машинистов</t>
  </si>
  <si>
    <t>чел.час</t>
  </si>
  <si>
    <t>020129</t>
  </si>
  <si>
    <t>ЦЭМ Тверской обл.(редакции 2014), пр. №337/пр, сб.02,поз.0129</t>
  </si>
  <si>
    <t>Краны башенные при работе на других видах строительства 8 т</t>
  </si>
  <si>
    <t>маш.-ч</t>
  </si>
  <si>
    <t>021141</t>
  </si>
  <si>
    <t>ЦЭМ Тверской обл.(редакции 2014), пр. №337/пр, сб.02,поз.1141</t>
  </si>
  <si>
    <t>Краны на автомобильном ходу при работе на других видах строительства 10 т</t>
  </si>
  <si>
    <t>121011</t>
  </si>
  <si>
    <t>ЦЭМ Тверской обл.(редакции 2014), пр. №337/пр, сб.12,поз.1011</t>
  </si>
  <si>
    <t>Котлы битумные передвижные 400 л</t>
  </si>
  <si>
    <t>134041</t>
  </si>
  <si>
    <t>ЦЭМ Тверской обл.(редакции 2014), пр. №337/пр, сб.13,поз.4041</t>
  </si>
  <si>
    <t>Шуруповерт</t>
  </si>
  <si>
    <t>400001</t>
  </si>
  <si>
    <t>ЦЭМ Тверской обл.(редакции 2014), пр. №337/пр, сб.40,поз.0001</t>
  </si>
  <si>
    <t>Автомобили бортовые, грузоподъемность до 5 т</t>
  </si>
  <si>
    <t>101-0195</t>
  </si>
  <si>
    <t>ССЦ Тверской обл. (редакции 2014), пр. № 337/пр, сб.101, поз.0195</t>
  </si>
  <si>
    <t>Гвозди толевые круглые 3,0х40 мм</t>
  </si>
  <si>
    <t>101-1482</t>
  </si>
  <si>
    <t>ССЦ Тверской обл. (редакции 2014), пр. № 337/пр, сб.101, поз.1482</t>
  </si>
  <si>
    <t>Шурупы с полукруглой головкой 5х70 мм</t>
  </si>
  <si>
    <t>101-1591</t>
  </si>
  <si>
    <t>ССЦ Тверской обл. (редакции 2014), пр. № 337/пр, сб.101, поз.1591</t>
  </si>
  <si>
    <t>Смола каменноугольная для дорожного строительства</t>
  </si>
  <si>
    <t>101-1742</t>
  </si>
  <si>
    <t>ССЦ Тверской обл. (редакции 2014), пр. № 337/пр, сб.101, поз.1742</t>
  </si>
  <si>
    <t>Толь с крупнозернистой посыпкой гидроизоляционный марки ТГ-350</t>
  </si>
  <si>
    <t>101-1805</t>
  </si>
  <si>
    <t>ССЦ Тверской обл. (редакции 2014), пр. № 337/пр, сб.101, поз.1805</t>
  </si>
  <si>
    <t>Гвозди строительные</t>
  </si>
  <si>
    <t>101-8052</t>
  </si>
  <si>
    <t>ССЦ Тверской обл. (редакции 2014), пр. № 337/пр, сб.101, поз.8052</t>
  </si>
  <si>
    <t>Пена монтажная</t>
  </si>
  <si>
    <t>101-9411</t>
  </si>
  <si>
    <t>ССЦ Тверской обл. (редакции 2014), пр. № 337/пр, сб.101, поз.9411</t>
  </si>
  <si>
    <t>Скобяные изделия</t>
  </si>
  <si>
    <t>402-0087</t>
  </si>
  <si>
    <t>ССЦ Тверской обл. (редакции 2014), пр. № 337/пр, сб.402, поз.0087</t>
  </si>
  <si>
    <t>Раствор готовый отделочный тяжелый, известковый 1:2,0</t>
  </si>
  <si>
    <t>405-0219</t>
  </si>
  <si>
    <t>ССЦ Тверской обл. (редакции 2014), пр. № 337/пр, сб.405, поз.0219</t>
  </si>
  <si>
    <t>Гипсовые вяжущие, марка Г3</t>
  </si>
  <si>
    <t>1-1020-69</t>
  </si>
  <si>
    <t>Рабочий строитель среднего разряда 2</t>
  </si>
  <si>
    <t>030401</t>
  </si>
  <si>
    <t>ЦЭМ Тверской обл.(редакции 2014), пр. №337/пр, сб.03,поз.0401</t>
  </si>
  <si>
    <t>Лебедки электрические тяговым усилием до 5,79 кН (0,59 т)</t>
  </si>
  <si>
    <t>509-9900</t>
  </si>
  <si>
    <t>ССЦ Тверской обл. (редакции 2014), пр. № 337/пр, сб.509, поз.9900</t>
  </si>
  <si>
    <t>Строительный мусор</t>
  </si>
  <si>
    <t>1-1032-69</t>
  </si>
  <si>
    <t>Рабочий строитель среднего разряда 3,2</t>
  </si>
  <si>
    <t>411-0001</t>
  </si>
  <si>
    <t>ССЦ Тверской обл. (редакции 2014), пр. № 337/пр, сб.411, поз.0001</t>
  </si>
  <si>
    <t>Вода</t>
  </si>
  <si>
    <t>1-1037-69</t>
  </si>
  <si>
    <t>Рабочий строитель среднего разряда 3,7</t>
  </si>
  <si>
    <t>101-1596</t>
  </si>
  <si>
    <t>ССЦ Тверской обл. (редакции 2014), пр. № 337/пр, сб.101, поз.1596</t>
  </si>
  <si>
    <t>Шкурка шлифовальная двухслойная с зернистостью 40-25</t>
  </si>
  <si>
    <t>101-1757</t>
  </si>
  <si>
    <t>ССЦ Тверской обл. (редакции 2014), пр. № 337/пр, сб.101, поз.1757</t>
  </si>
  <si>
    <t>Ветошь</t>
  </si>
  <si>
    <t>101-3588</t>
  </si>
  <si>
    <t>ССЦ Тверской обл. (редакции 2014), пр. № 337/пр, сб.101, поз.3588</t>
  </si>
  <si>
    <t>Шпатлевка фасадная ВГТ</t>
  </si>
  <si>
    <t>1-1023-69</t>
  </si>
  <si>
    <t>Рабочий строитель среднего разряда 2,3</t>
  </si>
  <si>
    <t>030954</t>
  </si>
  <si>
    <t>ЦЭМ Тверской обл.(редакции 2014), пр. №337/пр, сб.03,поз.0954</t>
  </si>
  <si>
    <t>Подъемники грузоподъемностью до 500 кг одномачтовые, высота подъема 45 м</t>
  </si>
  <si>
    <t>1-1040-69</t>
  </si>
  <si>
    <t>Рабочий строитель среднего разряда 4</t>
  </si>
  <si>
    <t>030402</t>
  </si>
  <si>
    <t>ЦЭМ Тверской обл.(редакции 2014), пр. №337/пр, сб.03,поз.0402</t>
  </si>
  <si>
    <t>Лебедки электрические тяговым усилием до 12,26 кН (1,25 т)</t>
  </si>
  <si>
    <t>111501</t>
  </si>
  <si>
    <t>ЦЭМ Тверской обл.(редакции 2014), пр. №337/пр, сб.11,поз.1501</t>
  </si>
  <si>
    <t>Растворонасосы 3 м3/ч</t>
  </si>
  <si>
    <t>1-1030-69</t>
  </si>
  <si>
    <t>Рабочий строитель среднего разряда 3</t>
  </si>
  <si>
    <t>101-0795</t>
  </si>
  <si>
    <t>ССЦ Тверской обл. (редакции 2014), пр. № 337/пр, сб.101, поз.0795</t>
  </si>
  <si>
    <t>Проволока канатная оцинкованная, диаметром 3 мм</t>
  </si>
  <si>
    <t>101-1875</t>
  </si>
  <si>
    <t>ССЦ Тверской обл. (редакции 2014), пр. № 337/пр, сб.101, поз.1875</t>
  </si>
  <si>
    <t>Сталь листовая оцинкованная толщиной листа 0,7 мм</t>
  </si>
  <si>
    <t>031910</t>
  </si>
  <si>
    <t>ЦЭМ Тверской обл.(редакции 2014), пр. №337/пр, сб.03,поз.1910</t>
  </si>
  <si>
    <t>Люлька</t>
  </si>
  <si>
    <t>101-0348</t>
  </si>
  <si>
    <t>ССЦ Тверской обл. (редакции 2014), пр. № 337/пр, сб.101, поз.0348</t>
  </si>
  <si>
    <t>Краски водно-дисперсионные поливинилацетатные ВД-ВА-17 серовато-розовая</t>
  </si>
  <si>
    <t>409-0639</t>
  </si>
  <si>
    <t>ССЦ Тверской обл. (редакции 2014), пр. № 337/пр, сб.409, поз.0639</t>
  </si>
  <si>
    <t>Пемза шлаковая (щебень пористый из металлургического шлака), марка 600, фракция 5-10 мм</t>
  </si>
  <si>
    <t>050101</t>
  </si>
  <si>
    <t>ЦЭМ Тверской обл.(редакции 2014), пр. №337/пр, сб.05,поз.0101</t>
  </si>
  <si>
    <t>Компрессоры передвижные с двигателем внутреннего сгорания давлением до 686 кПа (7 ат), производительность до 5 м3/мин</t>
  </si>
  <si>
    <t>330804</t>
  </si>
  <si>
    <t>ЦЭМ Тверской обл.(редакции 2014), пр. №337/пр, сб.33,поз.0804</t>
  </si>
  <si>
    <t>Молотки при работе от передвижных компрессорных станций отбойные пневматические</t>
  </si>
  <si>
    <t>1-1027-69</t>
  </si>
  <si>
    <t>Рабочий строитель среднего разряда 2,7</t>
  </si>
  <si>
    <t>102-0026</t>
  </si>
  <si>
    <t>ССЦ Тверской обл. (редакции 2014), пр. № 337/пр, сб.102, поз.0026</t>
  </si>
  <si>
    <t>Бруски обрезные хвойных пород длиной 4-6,5 м, шириной 75-150 мм, толщиной 40-75 мм, IV сорта</t>
  </si>
  <si>
    <t>102-0008</t>
  </si>
  <si>
    <t>ССЦ Тверской обл. (редакции 2014), пр. № 337/пр, сб.102, поз.0008</t>
  </si>
  <si>
    <t>Лесоматериалы круглые хвойных пород для строительства диаметром 14-24 см, длиной 3-6,5 м</t>
  </si>
  <si>
    <t>102-0061</t>
  </si>
  <si>
    <t>ССЦ Тверской обл. (редакции 2014), пр. № 337/пр, сб.102, поз.0061</t>
  </si>
  <si>
    <t>Доски обрезные хвойных пород длиной 4-6,5 м, шириной 75-150 мм, толщиной 44 мм и более, III сорта</t>
  </si>
  <si>
    <t>1-1025-69</t>
  </si>
  <si>
    <t>Рабочий строитель среднего разряда 2,5</t>
  </si>
  <si>
    <t>1-1039-69</t>
  </si>
  <si>
    <t>Рабочий строитель среднего разряда 3,9</t>
  </si>
  <si>
    <t>020130</t>
  </si>
  <si>
    <t>ЦЭМ Тверской обл.(редакции 2014), пр. №337/пр, сб.02,поз.0130</t>
  </si>
  <si>
    <t>Краны башенные при работе на других видах строительства 10 т</t>
  </si>
  <si>
    <t>1-1031-69</t>
  </si>
  <si>
    <t>Рабочий строитель среднего разряда 3,1</t>
  </si>
  <si>
    <t>101-1704</t>
  </si>
  <si>
    <t>ССЦ Тверской обл. (редакции 2014), пр. № 337/пр, сб.101, поз.1704</t>
  </si>
  <si>
    <t>Войлок строительный</t>
  </si>
  <si>
    <t>101-2317</t>
  </si>
  <si>
    <t>ССЦ Тверской обл. (редакции 2014), пр. № 337/пр, сб.101, поз.2317</t>
  </si>
  <si>
    <t>Натрий фтористый технический, марка А, сорт I</t>
  </si>
  <si>
    <t>402-0085</t>
  </si>
  <si>
    <t>ССЦ Тверской обл. (редакции 2014), пр. № 337/пр, сб.402, поз.0085</t>
  </si>
  <si>
    <t>Раствор готовый отделочный тяжелый, известковый 1:3</t>
  </si>
  <si>
    <t>1-1035-69</t>
  </si>
  <si>
    <t>Рабочий строитель среднего разряда 3,5</t>
  </si>
  <si>
    <t>101-0420</t>
  </si>
  <si>
    <t>ССЦ Тверской обл. (редакции 2014), пр. № 337/пр, сб.101, поз.0420</t>
  </si>
  <si>
    <t>Краски масляные и алкидные, готовые к применению белила литопонные МА-25</t>
  </si>
  <si>
    <t>101-1667</t>
  </si>
  <si>
    <t>ССЦ Тверской обл. (редакции 2014), пр. № 337/пр, сб.101, поз.1667</t>
  </si>
  <si>
    <t>Шпатлевка масляно-клеевая</t>
  </si>
  <si>
    <t>101-1824</t>
  </si>
  <si>
    <t>ССЦ Тверской обл. (редакции 2014), пр. № 337/пр, сб.101, поз.1824</t>
  </si>
  <si>
    <t>Олифа для улучшенной окраски (10% натуральной, 90% комбинированной)</t>
  </si>
  <si>
    <t>1-1024-69</t>
  </si>
  <si>
    <t>Рабочий строитель среднего разряда 2,4</t>
  </si>
  <si>
    <t>1-1036-69</t>
  </si>
  <si>
    <t>Рабочий строитель среднего разряда 3,6</t>
  </si>
  <si>
    <t>030101</t>
  </si>
  <si>
    <t>ЦЭМ Тверской обл.(редакции 2014), пр. №337/пр, сб.03,поз.0101</t>
  </si>
  <si>
    <t>Автопогрузчики 5 т</t>
  </si>
  <si>
    <t>101-0179</t>
  </si>
  <si>
    <t>ССЦ Тверской обл. (редакции 2014), пр. № 337/пр, сб.101, поз.0179</t>
  </si>
  <si>
    <t>Гвозди строительные с плоской головкой 1,6x50 мм</t>
  </si>
  <si>
    <t>101-0874</t>
  </si>
  <si>
    <t>ССЦ Тверской обл. (редакции 2014), пр. № 337/пр, сб.101, поз.0874</t>
  </si>
  <si>
    <t>Сетка тканая с квадратными ячейками № 05 без покрытия</t>
  </si>
  <si>
    <t>101-1305</t>
  </si>
  <si>
    <t>ССЦ Тверской обл. (редакции 2014), пр. № 337/пр, сб.101, поз.1305</t>
  </si>
  <si>
    <t>Портландцемент общестроительного назначения бездобавочный, марки 400</t>
  </si>
  <si>
    <t>101-1705</t>
  </si>
  <si>
    <t>ССЦ Тверской обл. (редакции 2014), пр. № 337/пр, сб.101, поз.1705</t>
  </si>
  <si>
    <t>Пакля пропитанная</t>
  </si>
  <si>
    <t>402-0086</t>
  </si>
  <si>
    <t>ССЦ Тверской обл. (редакции 2014), пр. № 337/пр, сб.402, поз.0086</t>
  </si>
  <si>
    <t>Раствор готовый отделочный тяжелый, известковый 1:2,5</t>
  </si>
  <si>
    <t>101-1712</t>
  </si>
  <si>
    <t>ССЦ Тверской обл. (редакции 2014), пр. № 337/пр, сб.101, поз.1712</t>
  </si>
  <si>
    <t>Шпатлевка клеевая</t>
  </si>
  <si>
    <t>101-1959</t>
  </si>
  <si>
    <t>ССЦ Тверской обл. (редакции 2014), пр. № 337/пр, сб.101, поз.1959</t>
  </si>
  <si>
    <t>Краска водоэмульсионная ВЭАК-1180</t>
  </si>
  <si>
    <t>110901</t>
  </si>
  <si>
    <t>ЦЭМ Тверской обл.(редакции 2014), пр. №337/пр, сб.11,поз.0901</t>
  </si>
  <si>
    <t>Растворосмесители передвижные 65 л</t>
  </si>
  <si>
    <t>101-0256</t>
  </si>
  <si>
    <t>ССЦ Тверской обл. (редакции 2014), пр. № 337/пр, сб.101, поз.0256</t>
  </si>
  <si>
    <t>Плитки керамические глазурованные для внутренней облицовки стен гладкие без завала белые</t>
  </si>
  <si>
    <t>101-1776</t>
  </si>
  <si>
    <t>ССЦ Тверской обл. (редакции 2014), пр. № 337/пр, сб.101, поз.1776</t>
  </si>
  <si>
    <t>Клей для облицовочных работ водостойкий &lt;Плюс&gt; (сухая смесь)</t>
  </si>
  <si>
    <t>402-0071</t>
  </si>
  <si>
    <t>ССЦ Тверской обл. (редакции 2014), пр. № 337/пр, сб.402, поз.0071</t>
  </si>
  <si>
    <t>Смесь сухая (фуга) АТЛАС разных цветов для заделки швов водостойкая</t>
  </si>
  <si>
    <t>1-1038-69</t>
  </si>
  <si>
    <t>Рабочий строитель среднего разряда 3,8</t>
  </si>
  <si>
    <t>101-1789</t>
  </si>
  <si>
    <t>ССЦ Тверской обл. (редакции 2014), пр. № 337/пр, сб.101, поз.1789</t>
  </si>
  <si>
    <t>Ерши металлические строительные</t>
  </si>
  <si>
    <t>102-0053</t>
  </si>
  <si>
    <t>ССЦ Тверской обл. (редакции 2014), пр. № 337/пр, сб.102, поз.0053</t>
  </si>
  <si>
    <t>Доски обрезные хвойных пород длиной 4-6,5 м, шириной 75-150 мм, толщиной 25 мм, III сорта</t>
  </si>
  <si>
    <t>1-1010-69</t>
  </si>
  <si>
    <t>Рабочий строитель среднего разряда 1</t>
  </si>
  <si>
    <t>101-5983</t>
  </si>
  <si>
    <t>ССЦ Тверской обл. (редакции 2014), пр. № 337/пр, сб.101, поз.5983</t>
  </si>
  <si>
    <t>Мешки полипропиленовые (50 кг)</t>
  </si>
  <si>
    <t>400052</t>
  </si>
  <si>
    <t>ЦЭМ Тверской обл.(редакции 2014), пр. №337/пр, сб.40,поз.0052</t>
  </si>
  <si>
    <t>Автомобиль-самосвал, грузоподъемность до 10 т</t>
  </si>
  <si>
    <t>1-1011-69</t>
  </si>
  <si>
    <t>Рабочий строитель среднего разряда 1,1</t>
  </si>
  <si>
    <t>310102</t>
  </si>
  <si>
    <t>ЦЭМ Тверской обл.(редакции 2014), пр. №337/пр, сб.31,поз.0102</t>
  </si>
  <si>
    <t>Насосы мощностью 4 кВт</t>
  </si>
  <si>
    <t>1-1028-69</t>
  </si>
  <si>
    <t>Рабочий строитель среднего разряда 2,8</t>
  </si>
  <si>
    <t>330206</t>
  </si>
  <si>
    <t>ЦЭМ Тверской обл.(редакции 2014), пр. №337/пр, сб.33,поз.0206</t>
  </si>
  <si>
    <t>Дрели электрические</t>
  </si>
  <si>
    <t>331601</t>
  </si>
  <si>
    <t>ЦЭМ Тверской обл.(редакции 2014), пр. №337/пр, сб.33,поз.1601</t>
  </si>
  <si>
    <t>Пила с карбюраторным двигателем</t>
  </si>
  <si>
    <t>101-0783</t>
  </si>
  <si>
    <t>ССЦ Тверской обл. (редакции 2014), пр. № 337/пр, сб.101, поз.0783</t>
  </si>
  <si>
    <t>Поковки из квадратных заготовок, масса 2,825 кг</t>
  </si>
  <si>
    <t>101-1714</t>
  </si>
  <si>
    <t>ССЦ Тверской обл. (редакции 2014), пр. № 337/пр, сб.101, поз.1714</t>
  </si>
  <si>
    <t>Болты с гайками и шайбами строительные</t>
  </si>
  <si>
    <t>102-0028</t>
  </si>
  <si>
    <t>ССЦ Тверской обл. (редакции 2014), пр. № 337/пр, сб.102, поз.0028</t>
  </si>
  <si>
    <t>Бруски обрезные хвойных пород длиной 4-6,5 м, шириной 75-150 мм, толщиной 100, 125 мм, II сорта</t>
  </si>
  <si>
    <t>102-0060</t>
  </si>
  <si>
    <t>ССЦ Тверской обл. (редакции 2014), пр. № 337/пр, сб.102, поз.0060</t>
  </si>
  <si>
    <t>Доски обрезные хвойных пород длиной 4-6,5 м, шириной 75-150 мм, толщиной 44 мм и более, II сорта</t>
  </si>
  <si>
    <t>102-0077</t>
  </si>
  <si>
    <t>ССЦ Тверской обл. (редакции 2014), пр. № 337/пр, сб.102, поз.0077</t>
  </si>
  <si>
    <t>Доски необрезные хвойных пород длиной 4-6,5 м, все ширины, толщиной 32-40 мм, III сорта</t>
  </si>
  <si>
    <t>113-1777</t>
  </si>
  <si>
    <t>ССЦ Тверской обл. (редакции 2014), пр. № 337/пр, сб.113, поз.1777</t>
  </si>
  <si>
    <t>Паста антисептическая</t>
  </si>
  <si>
    <t>332101</t>
  </si>
  <si>
    <t>ЦЭМ Тверской обл.(редакции 2014), пр. №337/пр, сб.33,поз.2101</t>
  </si>
  <si>
    <t>Установки для изготовления бандажей, диафрагм, пряжек</t>
  </si>
  <si>
    <t>101-0072</t>
  </si>
  <si>
    <t>ССЦ Тверской обл. (редакции 2014), пр. № 337/пр, сб.101, поз.0072</t>
  </si>
  <si>
    <t>Битумы нефтяные строительные изоляционные БНИ-IV-3, БНИ-IV, БНИ-V</t>
  </si>
  <si>
    <t>101-0540</t>
  </si>
  <si>
    <t>ССЦ Тверской обл. (редакции 2014), пр. № 337/пр, сб.101, поз.0540</t>
  </si>
  <si>
    <t>Лента стальная упаковочная, мягкая, нормальной точности 0,7х20-50 мм</t>
  </si>
  <si>
    <t>101-0612</t>
  </si>
  <si>
    <t>ССЦ Тверской обл. (редакции 2014), пр. № 337/пр, сб.101, поз.0612</t>
  </si>
  <si>
    <t>Мастика клеящая морозостойкая битумно-масляная МБ-50</t>
  </si>
  <si>
    <t>101-1794</t>
  </si>
  <si>
    <t>ССЦ Тверской обл. (редакции 2014), пр. № 337/пр, сб.101, поз.1794</t>
  </si>
  <si>
    <t>Бризол</t>
  </si>
  <si>
    <t>1000 м2</t>
  </si>
  <si>
    <t>113-0079</t>
  </si>
  <si>
    <t>ССЦ Тверской обл. (редакции 2014), пр. № 337/пр, сб.113, поз.0079</t>
  </si>
  <si>
    <t>Лак БТ-577</t>
  </si>
  <si>
    <t>030952</t>
  </si>
  <si>
    <t>ЦЭМ Тверской обл.(редакции 2014), пр. №337/пр, сб.03,поз.0952</t>
  </si>
  <si>
    <t>Подъемники грузоподъемностью до 500 кг одномачтовые, высота подъема 25 м</t>
  </si>
  <si>
    <t>340101</t>
  </si>
  <si>
    <t>ЦЭМ Тверской обл.(редакции 2014), пр. №337/пр, сб.34,поз.0101</t>
  </si>
  <si>
    <t>Агрегаты окрасочные высокого давления для окраски поверхностей конструкций мощностью 1 кВт</t>
  </si>
  <si>
    <t>113-9005</t>
  </si>
  <si>
    <t>ССЦ Тверской обл. (редакции 2014), пр. № 337/пр, сб.113, поз.9005</t>
  </si>
  <si>
    <t>Антисептик-антипирен</t>
  </si>
  <si>
    <t>101-2594</t>
  </si>
  <si>
    <t>ССЦ Тверской обл. (редакции 2014), пр. № 337/пр, сб.101, поз.2594</t>
  </si>
  <si>
    <t>Детали деревянные лесов из пиломатериалов хвойных пород</t>
  </si>
  <si>
    <t>101-2595</t>
  </si>
  <si>
    <t>ССЦ Тверской обл. (редакции 2014), пр. № 337/пр, сб.101, поз.2595</t>
  </si>
  <si>
    <t>Детали стальных трубчатых лесов, укомплектованные пробками, крючками и хомутами, окрашенные</t>
  </si>
  <si>
    <t>203-0514</t>
  </si>
  <si>
    <t>ССЦ Тверской обл. (редакции 2014), пр. № 337/пр, сб.203, поз.0514</t>
  </si>
  <si>
    <t>Щиты настила</t>
  </si>
  <si>
    <t>020403</t>
  </si>
  <si>
    <t>ЦЭМ Тверской обл.(редакции 2014), пр. №337/пр, сб.02,поз.0403</t>
  </si>
  <si>
    <t>Краны козловые при работе на монтаже технологического оборудования 32 т</t>
  </si>
  <si>
    <t>021245</t>
  </si>
  <si>
    <t>ЦЭМ Тверской обл.(редакции 2014), пр. №337/пр, сб.02,поз.1245</t>
  </si>
  <si>
    <t>Краны на гусеничном ходу при работе на других видах строительства 40 т</t>
  </si>
  <si>
    <t>040504</t>
  </si>
  <si>
    <t>ЦЭМ Тверской обл.(редакции 2014), пр. №337/пр, сб.04,поз.0504</t>
  </si>
  <si>
    <t>Аппарат для газовой сварки и резки</t>
  </si>
  <si>
    <t>041000</t>
  </si>
  <si>
    <t>ЦЭМ Тверской обл.(редакции 2014), пр. №337/пр, сб.04,поз.1000</t>
  </si>
  <si>
    <t>Преобразователи сварочные с номинальным сварочным током 315-500 А</t>
  </si>
  <si>
    <t>101-0309</t>
  </si>
  <si>
    <t>ССЦ Тверской обл. (редакции 2014), пр. № 337/пр, сб.101, поз.0309</t>
  </si>
  <si>
    <t>Канаты пеньковые пропитанные</t>
  </si>
  <si>
    <t>101-0324</t>
  </si>
  <si>
    <t>ССЦ Тверской обл. (редакции 2014), пр. № 337/пр, сб.101, поз.0324</t>
  </si>
  <si>
    <t>Кислород технический газообразный</t>
  </si>
  <si>
    <t>101-0797</t>
  </si>
  <si>
    <t>ССЦ Тверской обл. (редакции 2014), пр. № 337/пр, сб.101, поз.0797</t>
  </si>
  <si>
    <t>Проволока горячекатаная в мотках, диаметром 6,3-6,5 мм</t>
  </si>
  <si>
    <t>101-1019</t>
  </si>
  <si>
    <t>ССЦ Тверской обл. (редакции 2014), пр. № 337/пр, сб.101, поз.1019</t>
  </si>
  <si>
    <t>Швеллеры № 40 из стали марки Ст0</t>
  </si>
  <si>
    <t>101-1513</t>
  </si>
  <si>
    <t>ССЦ Тверской обл. (редакции 2014), пр. № 337/пр, сб.101, поз.1513</t>
  </si>
  <si>
    <t>Электроды диаметром 4 мм Э42</t>
  </si>
  <si>
    <t>101-2278</t>
  </si>
  <si>
    <t>ССЦ Тверской обл. (редакции 2014), пр. № 337/пр, сб.101, поз.2278</t>
  </si>
  <si>
    <t>Пропан-бутан, смесь техническая</t>
  </si>
  <si>
    <t>101-2467</t>
  </si>
  <si>
    <t>ССЦ Тверской обл. (редакции 2014), пр. № 337/пр, сб.101, поз.2467</t>
  </si>
  <si>
    <t>Растворитель марки Р-4</t>
  </si>
  <si>
    <t>102-0023</t>
  </si>
  <si>
    <t>ССЦ Тверской обл. (редакции 2014), пр. № 337/пр, сб.102, поз.0023</t>
  </si>
  <si>
    <t>Бруски обрезные хвойных пород длиной 4-6,5 м, шириной 75-150 мм, толщиной 40-75 мм, I сорта</t>
  </si>
  <si>
    <t>113-0021</t>
  </si>
  <si>
    <t>ССЦ Тверской обл. (редакции 2014), пр. № 337/пр, сб.113, поз.0021</t>
  </si>
  <si>
    <t>Грунтовка ГФ-021 красно-коричневая</t>
  </si>
  <si>
    <t>201-0756</t>
  </si>
  <si>
    <t>ССЦ Тверской обл. (редакции 2014), пр. № 337/пр, сб.201, поз.0756</t>
  </si>
  <si>
    <t>Отдельные конструктивные элементы зданий и сооружений с преобладанием горячекатаных профилей, средняя масса сборочной единицы от 0,1 до 0,5 т</t>
  </si>
  <si>
    <t>201-9002</t>
  </si>
  <si>
    <t>ССЦ Тверской обл. (редакции 2014), пр. № 337/пр, сб.201, поз.9002</t>
  </si>
  <si>
    <t>Конструкции стальные</t>
  </si>
  <si>
    <t>508-0097</t>
  </si>
  <si>
    <t>ССЦ Тверской обл. (редакции 2014), пр. № 337/пр, сб.508, поз.0097</t>
  </si>
  <si>
    <t>Канат двойной свивки типа ТК, конструкции 6х19(1+6+12)+1 о.с., оцинкованный из проволок марки В, маркировочная группа 1770 н/мм2, диаметром 5,5 мм</t>
  </si>
  <si>
    <t>1-1042-69</t>
  </si>
  <si>
    <t>Рабочий строитель среднего разряда 4,2</t>
  </si>
  <si>
    <t>081600</t>
  </si>
  <si>
    <t>ЦЭМ Тверской обл.(редакции 2014), пр. №337/пр, сб.08,поз.1600</t>
  </si>
  <si>
    <t>Агрегаты для сварки полиэтиленовых труб</t>
  </si>
  <si>
    <t>101-0137</t>
  </si>
  <si>
    <t>ССЦ Тверской обл. (редакции 2014), пр. № 337/пр, сб.101, поз.0137</t>
  </si>
  <si>
    <t>Дюбели с калиброванной головкой (в обоймах) 3х58,5 мм</t>
  </si>
  <si>
    <t>101-0329</t>
  </si>
  <si>
    <t>ССЦ Тверской обл. (редакции 2014), пр. № 337/пр, сб.101, поз.0329</t>
  </si>
  <si>
    <t>Клей 88-СА</t>
  </si>
  <si>
    <t>101-1680</t>
  </si>
  <si>
    <t>ССЦ Тверской обл. (редакции 2014), пр. № 337/пр, сб.101, поз.1680</t>
  </si>
  <si>
    <t>Патроны для строительно-монтажного пистолета</t>
  </si>
  <si>
    <t>101-1700</t>
  </si>
  <si>
    <t>ССЦ Тверской обл. (редакции 2014), пр. № 337/пр, сб.101, поз.1700</t>
  </si>
  <si>
    <t>Наконечники для полиэтиленовых труб</t>
  </si>
  <si>
    <t>103-9140</t>
  </si>
  <si>
    <t>ССЦ Тверской обл. (редакции 2014), пр. № 337/пр, сб.103, поз.9140</t>
  </si>
  <si>
    <t>Арматура муфтовая</t>
  </si>
  <si>
    <t>113-0473</t>
  </si>
  <si>
    <t>ССЦ Тверской обл. (редакции 2014), пр. № 337/пр, сб.113, поз.0473</t>
  </si>
  <si>
    <t>Метиленхлорид</t>
  </si>
  <si>
    <t>301-9240</t>
  </si>
  <si>
    <t>ССЦ Тверской обл. (редакции 2014), пр. № 337/пр, сб.301, поз.9240</t>
  </si>
  <si>
    <t>Крепления</t>
  </si>
  <si>
    <t>302-9911</t>
  </si>
  <si>
    <t>ССЦ Тверской обл. (редакции 2014), пр. № 337/пр, сб.302, поз.9911</t>
  </si>
  <si>
    <t>Фасонные и соединительные части к полиэтиленовым трубам</t>
  </si>
  <si>
    <t>405-1601</t>
  </si>
  <si>
    <t>ССЦ Тверской обл. (редакции 2014), пр. № 337/пр, сб.405, поз.1601</t>
  </si>
  <si>
    <t>Известь строительная негашеная хлорная, марки А</t>
  </si>
  <si>
    <t>101-2449</t>
  </si>
  <si>
    <t>ССЦ Тверской обл. (редакции 2014), пр. № 337/пр, сб.101, поз.2449</t>
  </si>
  <si>
    <t>Кольца резиновые для чугунных напорных труб диаметром 50-300 мм</t>
  </si>
  <si>
    <t>101-2576</t>
  </si>
  <si>
    <t>ССЦ Тверской обл. (редакции 2014), пр. № 337/пр, сб.101, поз.2576</t>
  </si>
  <si>
    <t>Болты с гайками и шайбами для санитарно-технических работ диаметром 16 мм</t>
  </si>
  <si>
    <t>302-3339</t>
  </si>
  <si>
    <t>ССЦ Тверской обл. (редакции 2014), пр. № 337/пр, сб.302, поз.3339</t>
  </si>
  <si>
    <t>Трубопроводы канализации из полиэтиленовых труб высокой плотности с гильзами, диаметром 50 мм</t>
  </si>
  <si>
    <t>302-9120</t>
  </si>
  <si>
    <t>ССЦ Тверской обл. (редакции 2014), пр. № 337/пр, сб.302, поз.9120</t>
  </si>
  <si>
    <t>Задвижки</t>
  </si>
  <si>
    <t>302-3340</t>
  </si>
  <si>
    <t>ССЦ Тверской обл. (редакции 2014), пр. № 337/пр, сб.302, поз.3340</t>
  </si>
  <si>
    <t>Трубопроводы канализации из полиэтиленовых труб высокой плотности с гильзами, диаметром 110 мм</t>
  </si>
  <si>
    <t>1-1016-69</t>
  </si>
  <si>
    <t>Рабочий строитель среднего разряда 1,6</t>
  </si>
  <si>
    <t>101-1871</t>
  </si>
  <si>
    <t>ССЦ Тверской обл. (редакции 2014), пр. № 337/пр, сб.101, поз.1871</t>
  </si>
  <si>
    <t>Швеллеры № 16-24 сталь марки 18сп</t>
  </si>
  <si>
    <t>102-0027</t>
  </si>
  <si>
    <t>ССЦ Тверской обл. (редакции 2014), пр. № 337/пр, сб.102, поз.0027</t>
  </si>
  <si>
    <t>Бруски обрезные хвойных пород длиной 4-6,5 м, шириной 75-150 мм, толщиной 100, 125 мм, I сорта</t>
  </si>
  <si>
    <t>103-0017</t>
  </si>
  <si>
    <t>ССЦ Тверской обл. (редакции 2014), пр. № 337/пр, сб.103, поз.0017</t>
  </si>
  <si>
    <t>Трубы стальные сварные водогазопроводные с резьбой черные обыкновенные (неоцинкованные), диаметр условного прохода 40 мм, толщина стенки 3,5 мм</t>
  </si>
  <si>
    <t>203-0511</t>
  </si>
  <si>
    <t>ССЦ Тверской обл. (редакции 2014), пр. № 337/пр, сб.203, поз.0511</t>
  </si>
  <si>
    <t>Щиты из досок толщиной 25 мм</t>
  </si>
  <si>
    <t>204-0015</t>
  </si>
  <si>
    <t>ССЦ Тверской обл. (редакции 2014), пр. № 337/пр, сб.204, поз.0015</t>
  </si>
  <si>
    <t>Горячекатаная арматурная сталь периодического профиля класса А-II, диаметром 20-22 мм</t>
  </si>
  <si>
    <t>1-1047-69</t>
  </si>
  <si>
    <t>Рабочий строитель среднего разряда 4,7</t>
  </si>
  <si>
    <t>113-0077</t>
  </si>
  <si>
    <t>ССЦ Тверской обл. (редакции 2014), пр. № 337/пр, сб.113, поз.0077</t>
  </si>
  <si>
    <t>Ксилол нефтяной марки А</t>
  </si>
  <si>
    <t>204-0064</t>
  </si>
  <si>
    <t>ССЦ Тверской обл. (редакции 2014), пр. № 337/пр, сб.204, поз.0064</t>
  </si>
  <si>
    <t>Детали закладные и накладные изготовленные с применением сварки, гнутья, сверления (пробивки) отверстий (при наличии одной из этих операций или всего перечня в любых сочетаниях) поставляемые отдельно</t>
  </si>
  <si>
    <t>101-0816</t>
  </si>
  <si>
    <t>ССЦ Тверской обл. (редакции 2014), пр. № 337/пр, сб.101, поз.0816</t>
  </si>
  <si>
    <t>Проволока светлая диаметром 1,1 мм</t>
  </si>
  <si>
    <t>102-0057</t>
  </si>
  <si>
    <t>ССЦ Тверской обл. (редакции 2014), пр. № 337/пр, сб.102, поз.0057</t>
  </si>
  <si>
    <t>Доски обрезные хвойных пород длиной 4-6,5 м, шириной 75-150 мм, толщиной 32-40 мм, III сорта</t>
  </si>
  <si>
    <t>204-0100</t>
  </si>
  <si>
    <t>ССЦ Тверской обл. (редакции 2014), пр. № 337/пр, сб.204, поз.0100</t>
  </si>
  <si>
    <t>Горячекатаная арматурная сталь класса А-I, А-II, А-III</t>
  </si>
  <si>
    <t>405-0253</t>
  </si>
  <si>
    <t>ССЦ Тверской обл. (редакции 2014), пр. № 337/пр, сб.405, поз.0253</t>
  </si>
  <si>
    <t>Известь строительная негашеная комовая, сорт I</t>
  </si>
  <si>
    <t>331451</t>
  </si>
  <si>
    <t>ЦЭМ Тверской обл.(редакции 2014), пр. №337/пр, сб.33,поз.1451</t>
  </si>
  <si>
    <t>Перфораторы электрические</t>
  </si>
  <si>
    <t>040502</t>
  </si>
  <si>
    <t>ЦЭМ Тверской обл.(редакции 2014), пр. №337/пр, сб.04,поз.0502</t>
  </si>
  <si>
    <t>Установки для сварки ручной дуговой (постоянного тока)</t>
  </si>
  <si>
    <t>201-0798</t>
  </si>
  <si>
    <t>ССЦ Тверской обл. (редакции 2014), пр. № 337/пр, сб.201, поз.0798</t>
  </si>
  <si>
    <t>Кондуктор инвентарный металлический</t>
  </si>
  <si>
    <t>204-0059</t>
  </si>
  <si>
    <t>ССЦ Тверской обл. (редакции 2014), пр. № 337/пр, сб.204, поз.0059</t>
  </si>
  <si>
    <t>Анкерные детали из прямых или гнутых круглых стержней с резьбой (в комплекте с шайбами и гайками или без них), поставляемые отдельно</t>
  </si>
  <si>
    <t>1-1022-69</t>
  </si>
  <si>
    <t>Рабочий строитель среднего разряда 2,2</t>
  </si>
  <si>
    <t>204-0069</t>
  </si>
  <si>
    <t>ССЦ Тверской обл. (редакции 2014), пр. № 337/пр, сб.204, поз.0069</t>
  </si>
  <si>
    <t>Арматурные сетки сварные</t>
  </si>
  <si>
    <t>111301</t>
  </si>
  <si>
    <t>ЦЭМ Тверской обл.(редакции 2014), пр. №337/пр, сб.11,поз.1301</t>
  </si>
  <si>
    <t>Вибратор поверхностный</t>
  </si>
  <si>
    <t>402-0005</t>
  </si>
  <si>
    <t>ССЦ Тверской обл. (редакции 2014), пр. № 337/пр, сб.402, поз.0005</t>
  </si>
  <si>
    <t>Раствор готовый кладочный цементный марки 150</t>
  </si>
  <si>
    <t>1-1043-69</t>
  </si>
  <si>
    <t>Рабочий строитель среднего разряда 4,3</t>
  </si>
  <si>
    <t>361101</t>
  </si>
  <si>
    <t>ЦЭМ Тверской обл.(редакции 2014), пр. №337/пр, сб.36,поз.1101</t>
  </si>
  <si>
    <t>Термос 100 л</t>
  </si>
  <si>
    <t>101-0217</t>
  </si>
  <si>
    <t>ССЦ Тверской обл. (редакции 2014), пр. № 337/пр, сб.101, поз.0217</t>
  </si>
  <si>
    <t>Гидростеклоизол</t>
  </si>
  <si>
    <t>101-1744</t>
  </si>
  <si>
    <t>ССЦ Тверской обл. (редакции 2014), пр. № 337/пр, сб.101, поз.1744</t>
  </si>
  <si>
    <t>Мастика битумно-резиновая кровельная</t>
  </si>
  <si>
    <t>101-1745</t>
  </si>
  <si>
    <t>ССЦ Тверской обл. (редакции 2014), пр. № 337/пр, сб.101, поз.1745</t>
  </si>
  <si>
    <t>Бензин растворитель</t>
  </si>
  <si>
    <t>113-0177</t>
  </si>
  <si>
    <t>ССЦ Тверской обл. (редакции 2014), пр. № 337/пр, сб.113, поз.0177</t>
  </si>
  <si>
    <t>Сополимер БМК-5, марок А, Б</t>
  </si>
  <si>
    <t>101-1946</t>
  </si>
  <si>
    <t>ССЦ Тверской обл. (редакции 2014), пр. № 337/пр, сб.101, поз.1946</t>
  </si>
  <si>
    <t>Клей плиточный &lt;Старатель-стандарт&gt;</t>
  </si>
  <si>
    <t>101-1971</t>
  </si>
  <si>
    <t>ССЦ Тверской обл. (редакции 2014), пр. № 337/пр, сб.101, поз.1971</t>
  </si>
  <si>
    <t>Затирка &lt;Старатели&gt; (разной цветности)</t>
  </si>
  <si>
    <t>101-0148</t>
  </si>
  <si>
    <t>ССЦ Тверской обл. (редакции 2014), пр. № 337/пр, сб.101, поз.0148</t>
  </si>
  <si>
    <t>Дюбели с калиброванной головкой (россыпью) 3х68,5 мм</t>
  </si>
  <si>
    <t>101-0388</t>
  </si>
  <si>
    <t>ССЦ Тверской обл. (редакции 2014), пр. № 337/пр, сб.101, поз.0388</t>
  </si>
  <si>
    <t>Краски масляные земляные марки МА-0115 мумия, сурик железный</t>
  </si>
  <si>
    <t>101-0628</t>
  </si>
  <si>
    <t>ССЦ Тверской обл. (редакции 2014), пр. № 337/пр, сб.101, поз.0628</t>
  </si>
  <si>
    <t>Олифа комбинированная, марки К-3</t>
  </si>
  <si>
    <t>101-1669</t>
  </si>
  <si>
    <t>ССЦ Тверской обл. (редакции 2014), пр. № 337/пр, сб.101, поз.1669</t>
  </si>
  <si>
    <t>Очес льняной</t>
  </si>
  <si>
    <t>301-0584</t>
  </si>
  <si>
    <t>ССЦ Тверской обл. (редакции 2014), пр. № 337/пр, сб.301, поз.0584</t>
  </si>
  <si>
    <t>Регистры отопительные из стальных водогазопроводных неоцинкованных труб диаметром нитки 32 мм</t>
  </si>
  <si>
    <t>301-1195</t>
  </si>
  <si>
    <t>ССЦ Тверской обл. (редакции 2014), пр. № 337/пр, сб.301, поз.1195</t>
  </si>
  <si>
    <t>Кронштейны для крепления радиаторов к кирпичным и бетонным стенам, при длине кронштейна 131 мм</t>
  </si>
  <si>
    <t>301-1196</t>
  </si>
  <si>
    <t>ССЦ Тверской обл. (редакции 2014), пр. № 337/пр, сб.301, поз.1196</t>
  </si>
  <si>
    <t>Кронштейны для крепления радиаторов к кирпичным и бетонным стенам, при длине кронштейна 325 мм</t>
  </si>
  <si>
    <t>402-0002</t>
  </si>
  <si>
    <t>ССЦ Тверской обл. (редакции 2014), пр. № 337/пр, сб.402, поз.0002</t>
  </si>
  <si>
    <t>Раствор готовый кладочный цементный марки 50</t>
  </si>
  <si>
    <t>101-0311</t>
  </si>
  <si>
    <t>ССЦ Тверской обл. (редакции 2014), пр. № 337/пр, сб.101, поз.0311</t>
  </si>
  <si>
    <t>Каболка</t>
  </si>
  <si>
    <t>101-0849</t>
  </si>
  <si>
    <t>ССЦ Тверской обл. (редакции 2014), пр. № 337/пр, сб.101, поз.0849</t>
  </si>
  <si>
    <t>Пластина резиновая рулонная вулканизированная</t>
  </si>
  <si>
    <t>101-1847</t>
  </si>
  <si>
    <t>ССЦ Тверской обл. (редакции 2014), пр. № 337/пр, сб.101, поз.1847</t>
  </si>
  <si>
    <t>Замазка защитная</t>
  </si>
  <si>
    <t>101-2184</t>
  </si>
  <si>
    <t>ССЦ Тверской обл. (редакции 2014), пр. № 337/пр, сб.101, поз.2184</t>
  </si>
  <si>
    <t>Шурупы с полукруглой головкой 6х60 мм</t>
  </si>
  <si>
    <t>101-2203</t>
  </si>
  <si>
    <t>ССЦ Тверской обл. (редакции 2014), пр. № 337/пр, сб.101, поз.2203</t>
  </si>
  <si>
    <t>Дюбели распорные полиэтиленовые 8х30 мм</t>
  </si>
  <si>
    <t>10 шт.</t>
  </si>
  <si>
    <t>113-0074</t>
  </si>
  <si>
    <t>ССЦ Тверской обл. (редакции 2014), пр. № 337/пр, сб.113, поз.0074</t>
  </si>
  <si>
    <t>Клей фенолполивинилацетатный марки БФ-2, сорт I</t>
  </si>
  <si>
    <t>301-1521</t>
  </si>
  <si>
    <t>ССЦ Тверской обл. (редакции 2014), пр. № 337/пр, сб.301, поз.1521</t>
  </si>
  <si>
    <t>Унитаз-компакт &lt;Комфорт&gt;</t>
  </si>
  <si>
    <t>509-1792</t>
  </si>
  <si>
    <t>ССЦ Тверской обл. (редакции 2014), пр. № 337/пр, сб.509, поз.1792</t>
  </si>
  <si>
    <t>Скобы скрепляющие и для подвеса</t>
  </si>
  <si>
    <t>101-0782</t>
  </si>
  <si>
    <t>ССЦ Тверской обл. (редакции 2014), пр. № 337/пр, сб.101, поз.0782</t>
  </si>
  <si>
    <t>Поковки из квадратных заготовок, масса 1,8 кг</t>
  </si>
  <si>
    <t>101-2186</t>
  </si>
  <si>
    <t>ССЦ Тверской обл. (редакции 2014), пр. № 337/пр, сб.101, поз.2186</t>
  </si>
  <si>
    <t>Шурупы с полукруглой головкой 6х90 мм</t>
  </si>
  <si>
    <t>101-2204</t>
  </si>
  <si>
    <t>ССЦ Тверской обл. (редакции 2014), пр. № 337/пр, сб.101, поз.2204</t>
  </si>
  <si>
    <t>Дюбели распорные полиэтиленовые 8х40 мм</t>
  </si>
  <si>
    <t>301-0825</t>
  </si>
  <si>
    <t>ССЦ Тверской обл. (редакции 2014), пр. № 337/пр, сб.301, поз.0825</t>
  </si>
  <si>
    <t>Умывальники полуфарфоровые и фарфоровые с кронштейнами, сифоном бутылочным латунным и выпуском, овальные со скрытыми установочными поверхностями без спинки размером 550х480х150 мм</t>
  </si>
  <si>
    <t>101-1355</t>
  </si>
  <si>
    <t>ССЦ Тверской обл. (редакции 2014), пр. № 337/пр, сб.101, поз.1355</t>
  </si>
  <si>
    <t>Цемент гипсоглиноземистый расширяющийся</t>
  </si>
  <si>
    <t>101-2574</t>
  </si>
  <si>
    <t>ССЦ Тверской обл. (редакции 2014), пр. № 337/пр, сб.101, поз.2574</t>
  </si>
  <si>
    <t>Болты с гайками и шайбами для санитарно-технических работ диаметром 10 мм</t>
  </si>
  <si>
    <t>301-1532</t>
  </si>
  <si>
    <t>ССЦ Тверской обл. (редакции 2014), пр. № 337/пр, сб.301, поз.1532</t>
  </si>
  <si>
    <t>Кабина душевая 800х800х1975 мм со стальным поддоном</t>
  </si>
  <si>
    <t>1-2038-69</t>
  </si>
  <si>
    <t>Рабочий монтажник среднего разряда 3,8</t>
  </si>
  <si>
    <t>021102</t>
  </si>
  <si>
    <t>ЦЭМ Тверской обл.(редакции 2014), пр. №337/пр, сб.02,поз.1102</t>
  </si>
  <si>
    <t>Краны на автомобильном ходу при работе на монтаже технологического оборудования 10 т</t>
  </si>
  <si>
    <t>101-2143</t>
  </si>
  <si>
    <t>ССЦ Тверской обл. (редакции 2014), пр. № 337/пр, сб.101, поз.2143</t>
  </si>
  <si>
    <t>Краска</t>
  </si>
  <si>
    <t>507-0700</t>
  </si>
  <si>
    <t>ССЦ Тверской обл. (редакции 2014), пр. № 337/пр, сб.507, поз.0700</t>
  </si>
  <si>
    <t>Трубка поливинилхлоридная ХВТ</t>
  </si>
  <si>
    <t>999-9950</t>
  </si>
  <si>
    <t>ССЦ Тверской обл. (редакции 2014), пр. № 337/пр, сб.999, поз.9950</t>
  </si>
  <si>
    <t>Вспомогательные ненормируемые материалы (2% от ОЗП)</t>
  </si>
  <si>
    <t>руб.</t>
  </si>
  <si>
    <t>1-2042-69</t>
  </si>
  <si>
    <t>Рабочий монтажник среднего разряда 4,2</t>
  </si>
  <si>
    <t>101-0115</t>
  </si>
  <si>
    <t>ССЦ Тверской обл. (редакции 2014), пр. № 337/пр, сб.101, поз.0115</t>
  </si>
  <si>
    <t>Винты с полукруглой головкой длиной 50 мм</t>
  </si>
  <si>
    <t>101-2499</t>
  </si>
  <si>
    <t>ССЦ Тверской обл. (редакции 2014), пр. № 337/пр, сб.101, поз.2499</t>
  </si>
  <si>
    <t>Лента изоляционная прорезиненная односторонняя ширина 20 мм, толщина 0,25-0,35 мм</t>
  </si>
  <si>
    <t>101-3914</t>
  </si>
  <si>
    <t>ССЦ Тверской обл. (редакции 2014), пр. № 337/пр, сб.101, поз.3914</t>
  </si>
  <si>
    <t>Дюбели распорные полипропиленовые</t>
  </si>
  <si>
    <t>509-0167</t>
  </si>
  <si>
    <t>ССЦ Тверской обл. (редакции 2014), пр. № 337/пр, сб.509, поз.0167</t>
  </si>
  <si>
    <t>Сжимы соединительные</t>
  </si>
  <si>
    <t>101-1477</t>
  </si>
  <si>
    <t>ССЦ Тверской обл. (редакции 2014), пр. № 337/пр, сб.101, поз.1477</t>
  </si>
  <si>
    <t>Шурупы с полукруглой головкой 2,5х20 мм</t>
  </si>
  <si>
    <t>101-1481</t>
  </si>
  <si>
    <t>ССЦ Тверской обл. (редакции 2014), пр. № 337/пр, сб.101, поз.1481</t>
  </si>
  <si>
    <t>Шурупы с полукруглой головкой 4x40 мм</t>
  </si>
  <si>
    <t>Приложение №2 к письму Минстроя России от03.06.2021 №23038-ИФ/09; Приложение №2 к письму Минстроя России от03.06.2021 №23038-ИФ/09; Приложение №2 к письму Минстроя России от03.06.2021 №23038-ИФ/09.; Приложение №2 к письму Минстроя России от03.06.2021 №23038-ИФ/09.;</t>
  </si>
  <si>
    <t>Приложение №2 к письму Минстроя России от03.06.2021 №23038-ИФ/09; Приложение №2 к письму Минстроя России от03.06.2021 №23038-ИФ/09.; Приложение №2 к письму Минстроя России от03.06.2021 №23038-ИФ/09.; Приложение №2 к письму Минстроя России от03.06.2021 №23038-ИФ/09;</t>
  </si>
  <si>
    <t>Огнебиозащитное покрытие деревянных конструкций составом "Пирилакс" любой модификации при помощи аэрозольно-капельного распыления для обеспечивания для обеспечения показателей пожарной опасности древесины Г1, РП1, В1, Д2, Т2, по НПБ 244 и для получения трудногорючей и медленно распространяющей пламя древесины по ГОСТ 12.1.044</t>
  </si>
  <si>
    <t>"СОГЛАСОВАНО"</t>
  </si>
  <si>
    <t>"УТВЕРЖДАЮ"</t>
  </si>
  <si>
    <t>"_____"________________ 2021 г.</t>
  </si>
  <si>
    <t>(наименование стройки)</t>
  </si>
  <si>
    <t>(наименование объекта капитального строительства)</t>
  </si>
  <si>
    <t>(наименование конструктивного решения)</t>
  </si>
  <si>
    <t>Составлен</t>
  </si>
  <si>
    <t>метод</t>
  </si>
  <si>
    <t>Основание</t>
  </si>
  <si>
    <t>(проектная и (или) иная техническая документация)</t>
  </si>
  <si>
    <t>Сметная стоимость</t>
  </si>
  <si>
    <t>тыс. руб.</t>
  </si>
  <si>
    <t>Средства на оплату труда</t>
  </si>
  <si>
    <t>в том числе:</t>
  </si>
  <si>
    <t>рабочих</t>
  </si>
  <si>
    <t xml:space="preserve"> </t>
  </si>
  <si>
    <t>строительных работ</t>
  </si>
  <si>
    <t xml:space="preserve">Нормативные затраты труда рабочих </t>
  </si>
  <si>
    <t>чел.-ч.</t>
  </si>
  <si>
    <t xml:space="preserve">монтажных работ    </t>
  </si>
  <si>
    <t xml:space="preserve">Нормативные затраты труда машинистов </t>
  </si>
  <si>
    <t xml:space="preserve">оборудования         </t>
  </si>
  <si>
    <t>Расчетный измеритель</t>
  </si>
  <si>
    <t xml:space="preserve">прочих затрат       </t>
  </si>
  <si>
    <t>конструктивного решения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</si>
  <si>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</si>
  <si>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</si>
  <si>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</si>
  <si>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</si>
  <si>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</si>
  <si>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 в базисном уровне цен (в текущем уровне цен (гр.8) для ресурсов, отсутствующих в СНБ), руб.</t>
  </si>
  <si>
    <t>Индексы</t>
  </si>
  <si>
    <t>Сметная стоимость в текущем уровне цен, руб.</t>
  </si>
  <si>
    <t>на единицу</t>
  </si>
  <si>
    <t>коэффициенты</t>
  </si>
  <si>
    <r>
      <t>всего с учетом коэффицие</t>
    </r>
    <r>
      <rPr>
        <sz val="10"/>
        <color indexed="8"/>
        <rFont val="Arial"/>
        <family val="2"/>
        <charset val="204"/>
      </rPr>
      <t>нтов</t>
    </r>
  </si>
  <si>
    <t>всего</t>
  </si>
  <si>
    <t>Наименование редакции сметных нормативов: ГОСУДАРСТВЕННЫЕ СМЕТНЫЕ НОРМАТИВЫ (ГЭСН, ФЕР) 2020, утвержденные приказами Минстроя России от 26 декабря 2019 г. № 871/пр., № 872/пр., № 873/пр., № 874/пр., № 875/пр., № 876/пр. с изменениями, утвержденными приказами Минстроя России от 30 марта 2020 г. № 171/пр., № 172/пр., от 01 июня 2020 г. № 294/пр., № 295/пр., от 30 июня 2020 г. № 352/пр., № 353/пр., от 20 октября 2020 г. № 635/пр., № 636/пр. ")</t>
  </si>
  <si>
    <t>Наименование программного продукта: Программа для ЭВМ «Программа: «SmetaRu» версия 11»</t>
  </si>
  <si>
    <t>Базисно-индексный</t>
  </si>
  <si>
    <t>Составлена в ценах II квартал 2021 года (1.01.2000)</t>
  </si>
  <si>
    <t>Раздел: Демонтажные работы. Ремонт фасада</t>
  </si>
  <si>
    <r>
      <t>Демонтаж в жилых и общественных зданиях блоков оконных с переплетами раздельными (раздельно-спаренными) в стенах каменных площадью проема более 2 м2</t>
    </r>
    <r>
      <rPr>
        <i/>
        <sz val="10"/>
        <rFont val="Arial"/>
        <family val="2"/>
        <charset val="204"/>
      </rPr>
      <t xml:space="preserve">
Поправки к: 
М *0;   
ЭМ *0,8*1,15;   
ОТм *0,8*1,15;   
ОТ *0,8*1,15;   
ЗТ *0,8*1,15;   
ЗТм *0,8*1,15;   
НР *0,9;   
СП *0,85</t>
    </r>
  </si>
  <si>
    <t>ОТ</t>
  </si>
  <si>
    <t>ЭМ</t>
  </si>
  <si>
    <t>в т.ч. ОТм</t>
  </si>
  <si>
    <t>ЗТ</t>
  </si>
  <si>
    <t>чел-ч</t>
  </si>
  <si>
    <t>ЗТм</t>
  </si>
  <si>
    <t>Итого по расценке</t>
  </si>
  <si>
    <t>ФОТ</t>
  </si>
  <si>
    <t>Пр812-1-010-3</t>
  </si>
  <si>
    <t>НР Деревянные конструкции</t>
  </si>
  <si>
    <t>%</t>
  </si>
  <si>
    <t>Пр774-1-010-3</t>
  </si>
  <si>
    <t>СП Деревянные конструкции</t>
  </si>
  <si>
    <t>Всего по позиции</t>
  </si>
  <si>
    <r>
      <t>Разборка мелких покрытий и обделок из листовой стали поясков, сандриков, желобов, отливов, свесов и т.п.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</si>
  <si>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t>Пр812-4-092-3</t>
  </si>
  <si>
    <t>НР Крыши, кровля</t>
  </si>
  <si>
    <t>Пр774-4-092-3</t>
  </si>
  <si>
    <t>СП Крыши, кровля</t>
  </si>
  <si>
    <t>Итого прямые затраты по разделу (в базисном уровне цен)</t>
  </si>
  <si>
    <t>в том числе</t>
  </si>
  <si>
    <t xml:space="preserve">   оплата труда</t>
  </si>
  <si>
    <t xml:space="preserve">   эксплуатация машин и механизмов</t>
  </si>
  <si>
    <t xml:space="preserve">   материальные ресурсы</t>
  </si>
  <si>
    <t xml:space="preserve">   перевозка</t>
  </si>
  <si>
    <t>Итого ФОТ (в базисном уровне цен) (справочно)</t>
  </si>
  <si>
    <t>Итого накладные расходы (в базисном уровне цен)</t>
  </si>
  <si>
    <t>Итого сметная прибыль (в базисном уровне цен)</t>
  </si>
  <si>
    <t>Итого оборудование (в базисном уровне цен)</t>
  </si>
  <si>
    <t>Итого прочие затраты (в базисном уровне цен)</t>
  </si>
  <si>
    <t>Итого по разделу (в базисном уровне цен)</t>
  </si>
  <si>
    <t xml:space="preserve">   материальные ресурсы, отсутствующие в СНБ (в текущем уровне цен)</t>
  </si>
  <si>
    <t xml:space="preserve">   оборудование, отсутствующие в СНБ (в текущем уровне цен)</t>
  </si>
  <si>
    <t>Раздел: Архитектурные решения. (Наружные работы)</t>
  </si>
  <si>
    <r>
      <t>Ремонт штукатурки гладких фасадов по камню и бетону с земли и лесов цементно-известковым раствором площадью отдельных мест более 5 м2 толщиной слоя до 20 мм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</si>
  <si>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t>М</t>
  </si>
  <si>
    <t>Пр812-4-095-3</t>
  </si>
  <si>
    <t>НР Штукатурные работы</t>
  </si>
  <si>
    <t>Пр774-4-095-3</t>
  </si>
  <si>
    <t>СП Штукатурные работы</t>
  </si>
  <si>
    <r>
      <t>Окраска фасадов акриловыми составами с лесов вручную с подготовкой поверхности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</si>
  <si>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t>Пр812-1-015-3</t>
  </si>
  <si>
    <t>НР Отделочные работы</t>
  </si>
  <si>
    <t>Пр774-1-015-3</t>
  </si>
  <si>
    <t>СП Отделочные работы</t>
  </si>
  <si>
    <r>
      <t>Ремонт кирпичной кладки стен отдельными местами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</si>
  <si>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t>Пр812-4-087-3</t>
  </si>
  <si>
    <t>НР Стены</t>
  </si>
  <si>
    <t>Пр774-4-087-3</t>
  </si>
  <si>
    <t>СП Стены</t>
  </si>
  <si>
    <r>
      <t>Улучшенная штукатурка фасадов цементно-известковым раствором по камню стен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</si>
  <si>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Устройство мелких покрытий (брандмауэры, парапеты, свесы и т.п.) из листовой оцинкованной стали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</si>
  <si>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t>Пр812-1-012-3</t>
  </si>
  <si>
    <t>НР Кровли</t>
  </si>
  <si>
    <t>Пр774-1-012-3</t>
  </si>
  <si>
    <t>СП Кровли</t>
  </si>
  <si>
    <r>
      <t>Окраска фасадов с люлек с подготовкой поверхности поливинилацетатная / Обработка сохраняемой поверхности еирпичной кладки укрепляющим раствором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</si>
  <si>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Разборка кирпичных стен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</si>
  <si>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t>Пр812-1-040.2-3</t>
  </si>
  <si>
    <t>НР Работы по реконструкции зданий и сооружений: разборка отдельных конструктивных элементов здания (сооружения), а также зданий (сооружений) в целом</t>
  </si>
  <si>
    <t>Пр774-1-040.2-3</t>
  </si>
  <si>
    <t>СП Работы по реконструкции зданий и сооружений: разборка отдельных конструктивных элементов здания (сооружения), а также зданий (сооружений) в целом</t>
  </si>
  <si>
    <r>
      <t>Кладка стен кирпичных наружных простых при высоте этажа до 4 м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</si>
  <si>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t>Пр812-1-008-3</t>
  </si>
  <si>
    <t>НР Конструкции из кирпича и блоков</t>
  </si>
  <si>
    <t>Пр774-1-008-3</t>
  </si>
  <si>
    <t>СП Конструкции из кирпича и блоков</t>
  </si>
  <si>
    <r>
      <t>Перекладка клинчатых кирпичных перемычек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</si>
  <si>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r>
      <t>Ремонт лицевой поверхности наружных кирпичных стен при глубине заделки в 1/2 кирпича площадью в одном месте более 1 м2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</si>
  <si>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r>
      <t>Ремонт лицевой поверхности наружных кирпичных стен при глубине заделки в 1 кирпич площадью в одном месте более 1 м2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</si>
  <si>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r>
      <t>Улучшенная штукатурка фасадов цементно-известковым раствором по камню стен  / Докомпановка и домастиковка кирпичной кладки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</si>
  <si>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Кладка отдельных участков из кирпича наружных сложных стен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</si>
  <si>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r>
      <t>Кладка наружных стен из камней керамических или силикатных простых при высоте этажа до 4 м / Восстановление наружного декора</t>
    </r>
    <r>
      <rPr>
        <i/>
        <sz val="10"/>
        <rFont val="Arial"/>
        <family val="2"/>
        <charset val="204"/>
      </rPr>
      <t xml:space="preserve">
Поправки к: 
ОТ *1,15*1,15;   
ЗТ *1,15*1,15;   
НР *0,9;   
СП *0,85</t>
    </r>
  </si>
  <si>
    <r>
      <t>Перекладка кирпичного карниза при высоте (в рядах) в 4 кирпича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</si>
  <si>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r>
      <t>Установка в жилых и общественных зданиях блоков оконных с переплетами раздельными (раздельно-спаренными) в стенах каменных площадью проема до 2 м2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</si>
  <si>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Установка в жилых и общественных зданиях блоков оконных с переплетами раздельными (раздельно-спаренными) в стенах каменных площадью проема более 2 м2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</si>
  <si>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Установка деревянных подоконных досок в каменных стенах высотой проема более 2 м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</si>
  <si>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Улучшенная окраска масляными составами по дереву заполнений оконных проемов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</si>
  <si>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Отбивка штукатурки с поверхностей стен и потолков кирпичных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</si>
  <si>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t>Пр812-1-040.1-3</t>
  </si>
  <si>
    <t>НР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</si>
  <si>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Пр774-1-040.1-3</t>
  </si>
  <si>
    <t>СП Работы по реконструкции зданий и сооружений: усиление и замена существующих конструкций, возведение отдельных конструктивных элементов</t>
  </si>
  <si>
    <r>
      <t>Разборка деревянных заполнений проемов дверных и воротных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</si>
  <si>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r>
      <t>Штукатурка по сетке без устройства каркаса улучшенная стен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</si>
  <si>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Третья шпатлевка при высококачественной окраске по штукатурке и сборным конструкциям стен, подготовленных под окраску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</si>
  <si>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Окраска поливинилацетатными водоэмульсионными составами высококачественная по штукатурке стен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</si>
  <si>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Штукатурка по сетке без устройства каркаса улучшенная потолков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</si>
  <si>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Третья шпатлевка при высококачественной окраске по штукатурке и сборным конструкциям потолков, подготовленных под окраску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</si>
  <si>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Окраска поливинилацетатными водоэмульсионными составами высококачественная по штукатурке потолков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</si>
  <si>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Гладкая облицовка стен, столбов, пилястр и откосов (без карнизных, плинтусных и угловых плиток) без установки плиток туалетного гарнитура на клее из сухих смесей по кирпичу и бетону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</si>
  <si>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Установка блоков в наружных и внутренних дверных проемах в каменных стенах, площадь проема более 3 м2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</si>
  <si>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Затаривание строительного мусора в мешки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</si>
  <si>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t>Пр812-4-103-3</t>
  </si>
  <si>
    <t>НР Прочие ремонтно-строительные работы</t>
  </si>
  <si>
    <t>Пр774-4-103-3</t>
  </si>
  <si>
    <t>СП Прочие ремонтно-строительные работы</t>
  </si>
  <si>
    <t>НР Погрузочно-разгрузочные работы</t>
  </si>
  <si>
    <t>СП Погрузочно-разгрузочные работы</t>
  </si>
  <si>
    <t>Раздел: Раздел КР</t>
  </si>
  <si>
    <r>
      <t>Разборка деревянных заборов штакетных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</si>
  <si>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t>Пр812-4-102-3</t>
  </si>
  <si>
    <t>НР Благоустройство</t>
  </si>
  <si>
    <t>Пр774-4-102-3</t>
  </si>
  <si>
    <t>СП Благоустройство</t>
  </si>
  <si>
    <r>
      <t>Очистка помещений от строительного мусора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</si>
  <si>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r>
      <t>Водоотлив из подвала электрическими (механическими) насосами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</si>
  <si>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t>Пр812-4-086-3</t>
  </si>
  <si>
    <t>НР Фундаменты</t>
  </si>
  <si>
    <t>Пр774-4-086-3</t>
  </si>
  <si>
    <t>СП Фундаменты</t>
  </si>
  <si>
    <r>
      <t>Установка элементов каркаса из брусьев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</si>
  <si>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Обертывание поверхности изоляции рулонными материалами насухо с проклейкой швов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</si>
  <si>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t>Пр812-1-020-3</t>
  </si>
  <si>
    <t>НР Теплоизоляционные работы</t>
  </si>
  <si>
    <t>Пр774-1-020-3</t>
  </si>
  <si>
    <t>СП Теплоизоляционные работы</t>
  </si>
  <si>
    <r>
      <t>Огнебиозащитное покрытие деревянных конструкций составом "Пирилакс" любой модификации при помощи аэрозольно-капельного распыления для обеспечивания для обеспечения показателей пожарной опасности древесины Г1, РП1, В1, Д2, Т2, по НПБ 244 и для получения трудногорючей и медленно распространяющей пламя древесины по ГОСТ 12.1.044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</si>
  <si>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Установка и разборка наружных инвентарных лесов высотой до 16 м трубчатых для прочих отделочных работ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</si>
  <si>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Демонтаж связей и распорок из одиночных и парных уголков, гнутосварных профилей для пролетов до 24 м при высоте здания до 50 м</t>
    </r>
    <r>
      <rPr>
        <i/>
        <sz val="10"/>
        <rFont val="Arial"/>
        <family val="2"/>
        <charset val="204"/>
      </rPr>
      <t xml:space="preserve">
Поправки к: 
М *0;   
ЭМ *0,7*1,15;   
ОТм *0,7*1,15;   
ОТ *0,7*1,15;   
ЗТ *0,7*1,15;   
ЗТм *0,7*1,15;   
НР *0,9;   
СП *0,85</t>
    </r>
  </si>
  <si>
    <t>Пр812-1-009-3</t>
  </si>
  <si>
    <t>НР Строительные металлические конструкции</t>
  </si>
  <si>
    <t>Пр774-1-009-3</t>
  </si>
  <si>
    <t>СП Строительные металлические конструкции</t>
  </si>
  <si>
    <r>
      <t>Демонтаж кабеля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</si>
  <si>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t>Пр812-4-101-3</t>
  </si>
  <si>
    <t>НР Электромонтажные работы</t>
  </si>
  <si>
    <t>Пр774-4-101-3</t>
  </si>
  <si>
    <t>СП Электромонтажные работы</t>
  </si>
  <si>
    <r>
      <t>Демонтаж трубопроводов водоснабжения из напорных полиэтиленовых труб низкого давления среднего типа наружным диаметром 25 мм</t>
    </r>
    <r>
      <rPr>
        <i/>
        <sz val="10"/>
        <rFont val="Arial"/>
        <family val="2"/>
        <charset val="204"/>
      </rPr>
      <t xml:space="preserve">
Поправки к: 
М *0;   
ЭМ *0,4*1,15;   
ОТм *0,4*1,15;   
ОТ *0,4*1,15;   
ЗТ *0,4*1,15;   
ЗТм *0,4*1,15;   
НР *0,9;   
СП *0,85</t>
    </r>
  </si>
  <si>
    <t>Пр812-1-016-3</t>
  </si>
  <si>
    <t>НР Сантехнические работы: внутренние трубопроводы, внутренние устройства водопровода, канализации, отопления, газоснабжения, вентиляция  кондиционирование воздуха</t>
  </si>
  <si>
    <t>Пр774-1-016-3</t>
  </si>
  <si>
    <t>СП Сантехнические работы: внутренние трубопроводы, внутренние устройства водопровода, канализации, отопления, газоснабжения, вентиляция  кондиционирование воздуха</t>
  </si>
  <si>
    <r>
      <t>Демонтаж трубопроводов канализации из полиэтиленовых труб высокой плотности диаметром 50 мм</t>
    </r>
    <r>
      <rPr>
        <i/>
        <sz val="10"/>
        <rFont val="Arial"/>
        <family val="2"/>
        <charset val="204"/>
      </rPr>
      <t xml:space="preserve">
Поправки к: 
М *0;   
ЭМ *0,4*1,15;   
ОТм *0,4*1,15;   
ОТ *0,4*1,15;   
ЗТ *0,4*1,15;   
ЗТм *0,4*1,15;   
НР *0,9;   
СП *0,85</t>
    </r>
  </si>
  <si>
    <r>
      <t>Демонтаж трубопроводов канализации из полиэтиленовых труб высокой плотности диаметром 110 мм</t>
    </r>
    <r>
      <rPr>
        <i/>
        <sz val="10"/>
        <rFont val="Arial"/>
        <family val="2"/>
        <charset val="204"/>
      </rPr>
      <t xml:space="preserve">
Поправки к: 
М *0;   
ЭМ *0,4*1,15;   
ОТм *0,4*1,15;   
ОТ *0,4*1,15;   
ЗТ *0,4*1,15;   
ЗТм *0,4*1,15;   
НР *0,9;   
СП *0,85</t>
    </r>
  </si>
  <si>
    <r>
      <t>Разборка деревянных перегородок чистых щитовых дощатых / разборка зашивки проемов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</si>
  <si>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r>
      <t>Разборка покрытий полов из керамических плиток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</si>
  <si>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t>Пр812-4-091-3</t>
  </si>
  <si>
    <t>НР Полы</t>
  </si>
  <si>
    <t>Пр774-4-091-3</t>
  </si>
  <si>
    <t>СП Полы</t>
  </si>
  <si>
    <r>
      <t>Усиление конструктивных элементов стен кирпичных стальными тяжами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</si>
  <si>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r>
      <t>Огрунтовка металлических поверхностей за один раз грунтовкой ГФ-021</t>
    </r>
    <r>
      <rPr>
        <i/>
        <sz val="10"/>
        <rFont val="Arial"/>
        <family val="2"/>
        <charset val="204"/>
      </rPr>
      <t xml:space="preserve">
Поправки к: 
ЭМ *1,15*1,25;   
ОТм *1,15*1,25;   
ОТ *1,15*1,15;   
ЗТ *1,15*1,15;   
ЗТм *1,15*1,25;   
НР *0,9;   
СП *0,85</t>
    </r>
  </si>
  <si>
    <t>Пр812-1-013-3</t>
  </si>
  <si>
    <t>НР Защита строительных конструкций и оборудования от коррозии</t>
  </si>
  <si>
    <t>Пр774-1-013-3</t>
  </si>
  <si>
    <t>СП Защита строительных конструкций и оборудования от коррозии</t>
  </si>
  <si>
    <r>
      <t>Установка закладных деталей весом до 4 кг /  заделка арматурными сетками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</si>
  <si>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t>Пр812-1-006-3</t>
  </si>
  <si>
    <t>НР Бетонные и железобетонные монолитные конструкции и работы в строительстве</t>
  </si>
  <si>
    <t>Пр774-1-006-3</t>
  </si>
  <si>
    <t>СП Бетонные и железобетонные монолитные конструкции и работы в строительстве</t>
  </si>
  <si>
    <r>
      <t>Заделка отверстий, гнезд и борозд в перекрытиях железобетонных площадью до 0,1 м2 + Инъецирование отверстий в кладке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</si>
  <si>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r>
      <t>Сверление отверстий в кирпичных стенах электроперфоратором диаметром до 20 мм, толщина стен 0,5 кирпича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</si>
  <si>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r>
      <t>Сверление отверстий на каждые 0,5 кирпича толщины стен добавлять к расценке 69-2-1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</si>
  <si>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r>
      <t>Установка анкерных болтов при бетонировании на поддерживающие конструкции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</si>
  <si>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Кладка стен кирпичных внутренних при высоте этажа до 4 м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</si>
  <si>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Армирование кладки стен и других конструкций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</si>
  <si>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Очистка поверхности щетками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</si>
  <si>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Заделка выбоин в полах цементных площадью до 0,25 м2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</si>
  <si>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r>
      <t>Устройство стяжек цементных толщиной 20 мм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</si>
  <si>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t>Пр812-1-011-3</t>
  </si>
  <si>
    <t>Пр774-1-011-3</t>
  </si>
  <si>
    <r>
      <t>Устройство стяжек на каждые 5 мм изменения толщины стяжки добавлять или исключать к расценке 11-01-011-01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</si>
  <si>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Устройство гидроизоляции оклеечной рулонными материалами на резино-битумной мастике, первый слой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</si>
  <si>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Устройство покрытий на растворе их сухой смеси с приготовлением раствора в построечных условиях из плиток гладких неглазурованных керамических для полов одноцветных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</si>
  <si>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Установка регистров из стальных водогазопроводных труб диаметром нитки 32 мм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</si>
  <si>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Прокладка трубопроводов водоснабжения из напорных полиэтиленовых труб низкого давления среднего типа наружным диаметром 25 мм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</si>
  <si>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Прокладка трубопроводов канализации из полиэтиленовых труб высокой плотности диаметром 50 мм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</si>
  <si>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Прокладка трубопроводов канализации из полиэтиленовых труб высокой плотности диаметром 110 мм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</si>
  <si>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Установка унитазов с бачком непосредственно присоединенным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</si>
  <si>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Установка умывальников одиночных с подводкой холодной и горячей воды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</si>
  <si>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Установка кабин душевых со стальными поддонами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</si>
  <si>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Провод групповой осветительных сетей в защитной оболочке или кабель двух-трехжильный по перекрытиям</t>
    </r>
    <r>
      <rPr>
        <i/>
        <sz val="10"/>
        <rFont val="Arial"/>
        <family val="2"/>
        <charset val="204"/>
      </rPr>
      <t xml:space="preserve">
Поправки к: 
ЭМ *1,2;   
ОТм *1,2;   
ОТ *1,2;   
ЗТ *1,2;   
ЗТм *1,2</t>
    </r>
  </si>
  <si>
    <t>Пр812-2-049.3-3</t>
  </si>
  <si>
    <t>НР Электротехнические установки: на других объектах</t>
  </si>
  <si>
    <t>Пр774-2-049.3-3</t>
  </si>
  <si>
    <t>СП Электротехнические установки: на других объектах</t>
  </si>
  <si>
    <r>
      <t>Провод групповой осветительных сетей в защитной оболочке или кабель двух-трехжильный в готовых каналах стен и перекрытий</t>
    </r>
    <r>
      <rPr>
        <i/>
        <sz val="10"/>
        <rFont val="Arial"/>
        <family val="2"/>
        <charset val="204"/>
      </rPr>
      <t xml:space="preserve">
Поправки к: 
ЭМ *1,2;   
ОТм *1,2;   
ОТ *1,2;   
ЗТ *1,2;   
ЗТм *1,2</t>
    </r>
  </si>
  <si>
    <r>
      <t>Светильник потолочный или настенный с креплением винтами или болтами для помещений с нормальными условиями среды, одноламповый</t>
    </r>
    <r>
      <rPr>
        <i/>
        <sz val="10"/>
        <rFont val="Arial"/>
        <family val="2"/>
        <charset val="204"/>
      </rPr>
      <t xml:space="preserve">
Поправки к: 
ЭМ *1,2;   
ОТм *1,2;   
ОТ *1,2;   
ЗТ *1,2;   
ЗТм *1,2</t>
    </r>
  </si>
  <si>
    <r>
      <t>Выключатель одноклавишный неутопленного типа при открытой проводке</t>
    </r>
    <r>
      <rPr>
        <i/>
        <sz val="10"/>
        <rFont val="Arial"/>
        <family val="2"/>
        <charset val="204"/>
      </rPr>
      <t xml:space="preserve">
Поправки к: 
ЭМ *1,2;   
ОТм *1,2;   
ОТ *1,2;   
ЗТ *1,2;   
ЗТм *1,2</t>
    </r>
  </si>
  <si>
    <r>
      <t>Розетка штепсельная неутопленного типа при открытой проводке</t>
    </r>
    <r>
      <rPr>
        <i/>
        <sz val="10"/>
        <rFont val="Arial"/>
        <family val="2"/>
        <charset val="204"/>
      </rPr>
      <t xml:space="preserve">
Поправки к: 
ЭМ *1,2;   
ОТм *1,2;   
ОТ *1,2;   
ЗТ *1,2;   
ЗТм *1,2</t>
    </r>
  </si>
  <si>
    <t>ВСЕГО по смете (в базисном и текущем уровнях цен)</t>
  </si>
  <si>
    <t>ВСЕГО прямые затраты по смете</t>
  </si>
  <si>
    <t>Всего ФОТ (справочно)</t>
  </si>
  <si>
    <t>Всего накладные расходы</t>
  </si>
  <si>
    <t>Всего сметная прибыль</t>
  </si>
  <si>
    <t>Всего оборудование</t>
  </si>
  <si>
    <t>Всего прочие затраты</t>
  </si>
  <si>
    <t xml:space="preserve">   пусконаладочные работы</t>
  </si>
  <si>
    <t xml:space="preserve">   прочие затраты</t>
  </si>
  <si>
    <t xml:space="preserve">Составил   </t>
  </si>
  <si>
    <t>[должность,подпись(инициалы,фамилия)]</t>
  </si>
  <si>
    <t xml:space="preserve">Проверил   </t>
  </si>
</sst>
</file>

<file path=xl/styles.xml><?xml version="1.0" encoding="utf-8"?>
<styleSheet xmlns="http://schemas.openxmlformats.org/spreadsheetml/2006/main">
  <numFmts count="5">
    <numFmt numFmtId="164" formatCode="0.000"/>
    <numFmt numFmtId="165" formatCode="#,##0.00;[Red]\-\ #,##0.00"/>
    <numFmt numFmtId="167" formatCode="#,##0.00####;[Red]\-\ #,##0.00####"/>
    <numFmt numFmtId="168" formatCode="#,##0;[Red]\-\ #,##0"/>
    <numFmt numFmtId="169" formatCode="#,##0.00#####;[Red]\-\ #,##0.00#####"/>
  </numFmts>
  <fonts count="22">
    <font>
      <sz val="10"/>
      <name val="Arial"/>
      <charset val="204"/>
    </font>
    <font>
      <b/>
      <sz val="10"/>
      <color indexed="12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b/>
      <sz val="10"/>
      <color indexed="14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sz val="11"/>
      <name val="Arial"/>
      <family val="2"/>
      <charset val="204"/>
    </font>
    <font>
      <i/>
      <sz val="9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b/>
      <sz val="10"/>
      <name val="Arial"/>
      <family val="2"/>
      <charset val="204"/>
    </font>
    <font>
      <i/>
      <sz val="10"/>
      <name val="Arial"/>
      <family val="2"/>
      <charset val="204"/>
    </font>
    <font>
      <sz val="10"/>
      <color indexed="8"/>
      <name val="Arial"/>
      <family val="2"/>
      <charset val="204"/>
    </font>
    <font>
      <i/>
      <sz val="11"/>
      <name val="Arial"/>
      <family val="2"/>
      <charset val="204"/>
    </font>
    <font>
      <b/>
      <i/>
      <u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 applyAlignment="1"/>
    <xf numFmtId="0" fontId="12" fillId="0" borderId="0" xfId="0" applyFont="1" applyAlignment="1">
      <alignment horizontal="left"/>
    </xf>
    <xf numFmtId="0" fontId="13" fillId="0" borderId="0" xfId="0" applyFont="1"/>
    <xf numFmtId="0" fontId="13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Border="1" applyAlignment="1">
      <alignment horizontal="left"/>
    </xf>
    <xf numFmtId="0" fontId="13" fillId="0" borderId="0" xfId="0" applyFont="1" applyAlignment="1">
      <alignment horizontal="left"/>
    </xf>
    <xf numFmtId="0" fontId="13" fillId="0" borderId="0" xfId="0" applyFont="1" applyBorder="1" applyAlignment="1">
      <alignment wrapText="1"/>
    </xf>
    <xf numFmtId="0" fontId="13" fillId="0" borderId="0" xfId="0" applyFont="1" applyBorder="1" applyAlignment="1">
      <alignment horizontal="left" wrapText="1"/>
    </xf>
    <xf numFmtId="0" fontId="9" fillId="0" borderId="0" xfId="0" applyFont="1" applyAlignment="1">
      <alignment horizontal="left" vertical="top" wrapText="1"/>
    </xf>
    <xf numFmtId="0" fontId="0" fillId="0" borderId="0" xfId="0" applyBorder="1"/>
    <xf numFmtId="0" fontId="12" fillId="0" borderId="1" xfId="0" applyFont="1" applyBorder="1" applyAlignment="1">
      <alignment horizontal="center" wrapText="1"/>
    </xf>
    <xf numFmtId="0" fontId="13" fillId="0" borderId="0" xfId="0" applyFont="1" applyBorder="1"/>
    <xf numFmtId="0" fontId="14" fillId="0" borderId="2" xfId="0" applyFont="1" applyBorder="1" applyAlignment="1">
      <alignment horizontal="center" vertical="top" wrapText="1"/>
    </xf>
    <xf numFmtId="0" fontId="13" fillId="0" borderId="0" xfId="0" applyFont="1" applyAlignment="1">
      <alignment wrapText="1"/>
    </xf>
    <xf numFmtId="0" fontId="15" fillId="0" borderId="0" xfId="0" applyFont="1" applyAlignment="1">
      <alignment vertical="center" wrapText="1"/>
    </xf>
    <xf numFmtId="0" fontId="12" fillId="0" borderId="0" xfId="0" applyFont="1" applyBorder="1" applyAlignment="1">
      <alignment horizontal="center" wrapText="1"/>
    </xf>
    <xf numFmtId="0" fontId="15" fillId="0" borderId="0" xfId="0" applyFont="1" applyBorder="1" applyAlignment="1">
      <alignment horizontal="center" wrapText="1"/>
    </xf>
    <xf numFmtId="0" fontId="16" fillId="0" borderId="1" xfId="0" applyFont="1" applyBorder="1" applyAlignment="1">
      <alignment horizontal="center" wrapText="1"/>
    </xf>
    <xf numFmtId="0" fontId="15" fillId="0" borderId="0" xfId="0" applyFont="1" applyBorder="1" applyAlignment="1">
      <alignment wrapText="1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left"/>
    </xf>
    <xf numFmtId="0" fontId="9" fillId="0" borderId="0" xfId="0" applyFont="1" applyBorder="1"/>
    <xf numFmtId="0" fontId="9" fillId="0" borderId="0" xfId="0" applyFont="1" applyAlignment="1">
      <alignment horizontal="left" wrapText="1"/>
    </xf>
    <xf numFmtId="0" fontId="9" fillId="0" borderId="0" xfId="0" applyFont="1" applyAlignment="1">
      <alignment wrapText="1"/>
    </xf>
    <xf numFmtId="0" fontId="14" fillId="0" borderId="0" xfId="0" applyFont="1" applyBorder="1" applyAlignment="1">
      <alignment horizontal="center" vertical="top" wrapText="1"/>
    </xf>
    <xf numFmtId="0" fontId="14" fillId="0" borderId="0" xfId="0" applyFont="1" applyBorder="1" applyAlignment="1">
      <alignment vertical="top" wrapText="1"/>
    </xf>
    <xf numFmtId="0" fontId="17" fillId="0" borderId="0" xfId="0" applyFont="1"/>
    <xf numFmtId="14" fontId="13" fillId="0" borderId="0" xfId="0" applyNumberFormat="1" applyFont="1" applyBorder="1" applyAlignment="1"/>
    <xf numFmtId="0" fontId="13" fillId="0" borderId="0" xfId="0" applyFont="1" applyBorder="1" applyAlignment="1"/>
    <xf numFmtId="0" fontId="9" fillId="0" borderId="0" xfId="0" applyFont="1" applyFill="1" applyAlignment="1">
      <alignment horizontal="right"/>
    </xf>
    <xf numFmtId="0" fontId="9" fillId="0" borderId="0" xfId="0" applyFont="1" applyFill="1"/>
    <xf numFmtId="0" fontId="13" fillId="0" borderId="0" xfId="0" applyFont="1" applyFill="1"/>
    <xf numFmtId="0" fontId="18" fillId="0" borderId="0" xfId="0" applyFont="1"/>
    <xf numFmtId="164" fontId="13" fillId="0" borderId="0" xfId="0" applyNumberFormat="1" applyFont="1" applyFill="1"/>
    <xf numFmtId="165" fontId="9" fillId="0" borderId="0" xfId="0" applyNumberFormat="1" applyFont="1" applyFill="1" applyAlignment="1">
      <alignment horizontal="right"/>
    </xf>
    <xf numFmtId="0" fontId="9" fillId="0" borderId="0" xfId="0" applyFont="1" applyFill="1" applyBorder="1"/>
    <xf numFmtId="2" fontId="9" fillId="0" borderId="0" xfId="0" applyNumberFormat="1" applyFont="1" applyFill="1" applyAlignment="1">
      <alignment horizontal="right"/>
    </xf>
    <xf numFmtId="0" fontId="9" fillId="0" borderId="0" xfId="0" applyFont="1" applyFill="1" applyBorder="1" applyAlignment="1">
      <alignment horizontal="left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165" fontId="13" fillId="0" borderId="0" xfId="0" applyNumberFormat="1" applyFont="1"/>
    <xf numFmtId="0" fontId="9" fillId="0" borderId="0" xfId="0" applyFont="1" applyAlignment="1">
      <alignment vertical="top" wrapText="1"/>
    </xf>
    <xf numFmtId="0" fontId="13" fillId="0" borderId="1" xfId="0" applyFont="1" applyBorder="1"/>
    <xf numFmtId="165" fontId="0" fillId="0" borderId="0" xfId="0" applyNumberFormat="1"/>
    <xf numFmtId="168" fontId="0" fillId="0" borderId="0" xfId="0" applyNumberFormat="1"/>
    <xf numFmtId="0" fontId="0" fillId="0" borderId="1" xfId="0" applyBorder="1"/>
    <xf numFmtId="0" fontId="9" fillId="0" borderId="1" xfId="0" applyFont="1" applyBorder="1" applyAlignment="1">
      <alignment vertical="top" wrapText="1"/>
    </xf>
    <xf numFmtId="165" fontId="9" fillId="0" borderId="0" xfId="0" applyNumberFormat="1" applyFont="1" applyAlignment="1">
      <alignment horizontal="right"/>
    </xf>
    <xf numFmtId="165" fontId="9" fillId="0" borderId="0" xfId="0" applyNumberFormat="1" applyFont="1" applyFill="1" applyAlignment="1">
      <alignment horizontal="right"/>
    </xf>
    <xf numFmtId="165" fontId="13" fillId="0" borderId="0" xfId="0" applyNumberFormat="1" applyFont="1" applyFill="1"/>
    <xf numFmtId="169" fontId="9" fillId="0" borderId="0" xfId="0" applyNumberFormat="1" applyFont="1" applyFill="1" applyBorder="1" applyAlignment="1">
      <alignment horizontal="right"/>
    </xf>
    <xf numFmtId="0" fontId="13" fillId="0" borderId="0" xfId="0" applyFont="1" applyAlignment="1">
      <alignment horizontal="right" vertical="center"/>
    </xf>
    <xf numFmtId="0" fontId="10" fillId="0" borderId="2" xfId="0" applyFont="1" applyBorder="1" applyAlignment="1">
      <alignment horizontal="center"/>
    </xf>
    <xf numFmtId="0" fontId="21" fillId="0" borderId="0" xfId="0" applyFont="1" applyAlignment="1">
      <alignment wrapText="1"/>
    </xf>
    <xf numFmtId="0" fontId="11" fillId="0" borderId="0" xfId="0" applyFont="1" applyAlignment="1">
      <alignment horizontal="center" wrapText="1"/>
    </xf>
    <xf numFmtId="0" fontId="20" fillId="0" borderId="0" xfId="0" applyFont="1" applyAlignment="1">
      <alignment horizontal="right" wrapText="1"/>
    </xf>
    <xf numFmtId="0" fontId="13" fillId="0" borderId="0" xfId="0" applyFont="1" applyAlignment="1">
      <alignment horizontal="right"/>
    </xf>
    <xf numFmtId="167" fontId="13" fillId="0" borderId="0" xfId="0" applyNumberFormat="1" applyFont="1" applyAlignment="1">
      <alignment horizontal="right"/>
    </xf>
    <xf numFmtId="0" fontId="13" fillId="0" borderId="0" xfId="0" applyFont="1" applyAlignment="1">
      <alignment horizontal="right" wrapText="1"/>
    </xf>
    <xf numFmtId="165" fontId="13" fillId="0" borderId="0" xfId="0" applyNumberFormat="1" applyFont="1" applyAlignment="1">
      <alignment horizontal="right"/>
    </xf>
    <xf numFmtId="168" fontId="13" fillId="0" borderId="0" xfId="0" applyNumberFormat="1" applyFont="1" applyAlignment="1">
      <alignment horizontal="right"/>
    </xf>
    <xf numFmtId="165" fontId="20" fillId="0" borderId="0" xfId="0" applyNumberFormat="1" applyFont="1" applyAlignment="1">
      <alignment horizontal="right"/>
    </xf>
    <xf numFmtId="168" fontId="20" fillId="0" borderId="0" xfId="0" applyNumberFormat="1" applyFont="1" applyAlignment="1">
      <alignment horizontal="right"/>
    </xf>
    <xf numFmtId="0" fontId="20" fillId="0" borderId="1" xfId="0" applyFont="1" applyBorder="1" applyAlignment="1">
      <alignment horizontal="right" wrapText="1"/>
    </xf>
    <xf numFmtId="0" fontId="13" fillId="0" borderId="1" xfId="0" applyFont="1" applyBorder="1" applyAlignment="1">
      <alignment horizontal="right"/>
    </xf>
    <xf numFmtId="167" fontId="13" fillId="0" borderId="1" xfId="0" applyNumberFormat="1" applyFont="1" applyBorder="1" applyAlignment="1">
      <alignment horizontal="right"/>
    </xf>
    <xf numFmtId="0" fontId="13" fillId="0" borderId="1" xfId="0" applyFont="1" applyBorder="1" applyAlignment="1">
      <alignment horizontal="right" wrapText="1"/>
    </xf>
    <xf numFmtId="165" fontId="13" fillId="0" borderId="1" xfId="0" applyNumberFormat="1" applyFont="1" applyBorder="1" applyAlignment="1">
      <alignment horizontal="right"/>
    </xf>
    <xf numFmtId="168" fontId="13" fillId="0" borderId="1" xfId="0" applyNumberFormat="1" applyFont="1" applyBorder="1" applyAlignment="1">
      <alignment horizontal="right"/>
    </xf>
    <xf numFmtId="165" fontId="15" fillId="0" borderId="2" xfId="0" applyNumberFormat="1" applyFont="1" applyBorder="1" applyAlignment="1">
      <alignment horizontal="right"/>
    </xf>
    <xf numFmtId="168" fontId="15" fillId="0" borderId="2" xfId="0" applyNumberFormat="1" applyFont="1" applyBorder="1" applyAlignment="1">
      <alignment horizontal="right"/>
    </xf>
    <xf numFmtId="0" fontId="15" fillId="0" borderId="0" xfId="0" applyFont="1" applyAlignment="1">
      <alignment vertical="center"/>
    </xf>
    <xf numFmtId="0" fontId="17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5" fillId="0" borderId="0" xfId="0" applyFont="1" applyAlignment="1">
      <alignment horizontal="right" vertical="center"/>
    </xf>
    <xf numFmtId="165" fontId="15" fillId="0" borderId="0" xfId="0" applyNumberFormat="1" applyFont="1" applyAlignment="1">
      <alignment horizontal="right" vertical="center"/>
    </xf>
    <xf numFmtId="168" fontId="15" fillId="0" borderId="0" xfId="0" applyNumberFormat="1" applyFont="1" applyAlignment="1">
      <alignment horizontal="right" vertical="center"/>
    </xf>
    <xf numFmtId="0" fontId="13" fillId="0" borderId="0" xfId="0" applyFont="1" applyAlignment="1">
      <alignment vertical="center"/>
    </xf>
    <xf numFmtId="0" fontId="9" fillId="0" borderId="0" xfId="0" applyFont="1" applyAlignment="1">
      <alignment horizontal="left" vertical="center" wrapText="1"/>
    </xf>
    <xf numFmtId="0" fontId="20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right" vertical="center"/>
    </xf>
    <xf numFmtId="165" fontId="13" fillId="0" borderId="0" xfId="0" applyNumberFormat="1" applyFont="1" applyAlignment="1">
      <alignment horizontal="right" vertical="center"/>
    </xf>
    <xf numFmtId="168" fontId="13" fillId="0" borderId="0" xfId="0" applyNumberFormat="1" applyFont="1" applyAlignment="1">
      <alignment horizontal="right" vertical="center"/>
    </xf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right" vertical="top" wrapText="1"/>
    </xf>
    <xf numFmtId="0" fontId="13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left" vertical="top"/>
    </xf>
    <xf numFmtId="0" fontId="9" fillId="0" borderId="0" xfId="0" applyFont="1" applyAlignment="1">
      <alignment horizontal="left" vertical="top" wrapText="1"/>
    </xf>
    <xf numFmtId="0" fontId="12" fillId="0" borderId="1" xfId="0" applyFont="1" applyBorder="1" applyAlignment="1">
      <alignment horizontal="center" wrapText="1"/>
    </xf>
    <xf numFmtId="0" fontId="16" fillId="0" borderId="1" xfId="0" applyFont="1" applyBorder="1" applyAlignment="1">
      <alignment horizontal="center" wrapText="1"/>
    </xf>
    <xf numFmtId="0" fontId="15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F1689"/>
  <sheetViews>
    <sheetView tabSelected="1" workbookViewId="0">
      <selection activeCell="A1643" sqref="A1643"/>
    </sheetView>
  </sheetViews>
  <sheetFormatPr defaultRowHeight="13.2"/>
  <cols>
    <col min="1" max="1" width="5.77734375" customWidth="1"/>
    <col min="2" max="2" width="20.77734375" customWidth="1"/>
    <col min="3" max="3" width="40.77734375" customWidth="1"/>
    <col min="4" max="4" width="10.77734375" customWidth="1"/>
    <col min="5" max="12" width="14.77734375" customWidth="1"/>
    <col min="15" max="80" width="0" hidden="1" customWidth="1"/>
    <col min="81" max="81" width="171.77734375" hidden="1" customWidth="1"/>
    <col min="82" max="82" width="0" hidden="1" customWidth="1"/>
    <col min="83" max="83" width="190.77734375" hidden="1" customWidth="1"/>
    <col min="84" max="84" width="109.77734375" hidden="1" customWidth="1"/>
    <col min="85" max="88" width="0" hidden="1" customWidth="1"/>
  </cols>
  <sheetData>
    <row r="1" spans="1:83">
      <c r="A1" s="10" t="str">
        <f>Source!B1</f>
        <v>Smeta.RU  (495) 974-1589</v>
      </c>
    </row>
    <row r="3" spans="1:83" ht="16.8">
      <c r="A3" s="11"/>
      <c r="B3" s="12" t="s">
        <v>1330</v>
      </c>
      <c r="C3" s="12"/>
      <c r="D3" s="12"/>
      <c r="E3" s="12"/>
      <c r="F3" s="13"/>
      <c r="G3" s="13"/>
      <c r="H3" s="12" t="s">
        <v>1331</v>
      </c>
      <c r="I3" s="12"/>
      <c r="J3" s="12"/>
      <c r="K3" s="12"/>
      <c r="L3" s="12"/>
    </row>
    <row r="4" spans="1:83" ht="13.8">
      <c r="A4" s="13"/>
      <c r="B4" s="14"/>
      <c r="C4" s="14"/>
      <c r="D4" s="14"/>
      <c r="E4" s="14"/>
      <c r="F4" s="13"/>
      <c r="G4" s="13"/>
      <c r="H4" s="14"/>
      <c r="I4" s="14"/>
      <c r="J4" s="14"/>
      <c r="K4" s="14"/>
      <c r="L4" s="14"/>
    </row>
    <row r="5" spans="1:83" ht="13.8">
      <c r="A5" s="15"/>
      <c r="B5" s="15"/>
      <c r="C5" s="16"/>
      <c r="D5" s="16"/>
      <c r="E5" s="16"/>
      <c r="F5" s="13"/>
      <c r="G5" s="13"/>
      <c r="H5" s="17"/>
      <c r="I5" s="16"/>
      <c r="J5" s="16"/>
      <c r="K5" s="16"/>
      <c r="L5" s="17"/>
    </row>
    <row r="6" spans="1:83" ht="13.8">
      <c r="A6" s="17"/>
      <c r="B6" s="14" t="str">
        <f>CONCATENATE("______________________ ", IF(Source!AL12&lt;&gt;"", Source!AL12, ""))</f>
        <v xml:space="preserve">______________________ </v>
      </c>
      <c r="C6" s="14"/>
      <c r="D6" s="14"/>
      <c r="E6" s="14"/>
      <c r="F6" s="13"/>
      <c r="G6" s="13"/>
      <c r="H6" s="14" t="str">
        <f>CONCATENATE("______________________ ", IF(Source!AH12&lt;&gt;"", Source!AH12, ""))</f>
        <v xml:space="preserve">______________________ </v>
      </c>
      <c r="I6" s="14"/>
      <c r="J6" s="14"/>
      <c r="K6" s="14"/>
      <c r="L6" s="14"/>
    </row>
    <row r="7" spans="1:83" ht="13.8">
      <c r="A7" s="18"/>
      <c r="B7" s="19" t="s">
        <v>1332</v>
      </c>
      <c r="C7" s="19"/>
      <c r="D7" s="19"/>
      <c r="E7" s="19"/>
      <c r="F7" s="13"/>
      <c r="G7" s="13"/>
      <c r="H7" s="19" t="s">
        <v>1332</v>
      </c>
      <c r="I7" s="19"/>
      <c r="J7" s="19"/>
      <c r="K7" s="19"/>
      <c r="L7" s="19"/>
    </row>
    <row r="10" spans="1:83" ht="39.6">
      <c r="A10" s="20" t="s">
        <v>1367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CE10" s="115" t="s">
        <v>1367</v>
      </c>
    </row>
    <row r="11" spans="1:83">
      <c r="A11" s="9"/>
      <c r="B11" s="9"/>
      <c r="D11" s="21"/>
      <c r="E11" s="21"/>
      <c r="F11" s="21"/>
      <c r="G11" s="21"/>
      <c r="H11" s="21"/>
      <c r="I11" s="21"/>
      <c r="J11" s="21"/>
      <c r="K11" s="21"/>
    </row>
    <row r="12" spans="1:83">
      <c r="A12" s="20" t="s">
        <v>1368</v>
      </c>
      <c r="B12" s="20"/>
      <c r="C12" s="20"/>
      <c r="D12" s="20"/>
      <c r="E12" s="20"/>
      <c r="F12" s="20"/>
      <c r="G12" s="20"/>
      <c r="H12" s="20"/>
      <c r="I12" s="20"/>
      <c r="J12" s="20"/>
      <c r="K12" s="20"/>
    </row>
    <row r="15" spans="1:83" ht="15.6">
      <c r="A15" s="18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18"/>
    </row>
    <row r="16" spans="1:83" ht="13.8">
      <c r="A16" s="23"/>
      <c r="B16" s="24" t="s">
        <v>1333</v>
      </c>
      <c r="C16" s="24"/>
      <c r="D16" s="24"/>
      <c r="E16" s="24"/>
      <c r="F16" s="24"/>
      <c r="G16" s="24"/>
      <c r="H16" s="24"/>
      <c r="I16" s="24"/>
      <c r="J16" s="24"/>
      <c r="K16" s="24"/>
      <c r="L16" s="18"/>
    </row>
    <row r="17" spans="1:81" ht="13.8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</row>
    <row r="18" spans="1:81" ht="31.2">
      <c r="A18" s="13"/>
      <c r="B18" s="22" t="str">
        <f>IF(Source!G12&lt;&gt;"Новый объект", Source!G12, "")</f>
        <v>И 3 Выявленный объект культурного наследия "Здание рабочей казармы Берговской мануфактуры, 1908г", по адресу: г.Тверь, ул.Спартака, д.45, корп.1_(Копия)</v>
      </c>
      <c r="C18" s="22"/>
      <c r="D18" s="22"/>
      <c r="E18" s="22"/>
      <c r="F18" s="22"/>
      <c r="G18" s="22"/>
      <c r="H18" s="22"/>
      <c r="I18" s="22"/>
      <c r="J18" s="22"/>
      <c r="K18" s="22"/>
      <c r="L18" s="13"/>
      <c r="CC18" s="116" t="str">
        <f>IF(Source!G12&lt;&gt;"Новый объект", Source!G12, "")</f>
        <v>И 3 Выявленный объект культурного наследия "Здание рабочей казармы Берговской мануфактуры, 1908г", по адресу: г.Тверь, ул.Спартака, д.45, корп.1_(Копия)</v>
      </c>
    </row>
    <row r="19" spans="1:81" ht="13.8">
      <c r="A19" s="13"/>
      <c r="B19" s="24" t="s">
        <v>1334</v>
      </c>
      <c r="C19" s="24"/>
      <c r="D19" s="24"/>
      <c r="E19" s="24"/>
      <c r="F19" s="24"/>
      <c r="G19" s="24"/>
      <c r="H19" s="24"/>
      <c r="I19" s="24"/>
      <c r="J19" s="24"/>
      <c r="K19" s="24"/>
      <c r="L19" s="13"/>
    </row>
    <row r="20" spans="1:81" ht="13.8">
      <c r="A20" s="13"/>
      <c r="B20" s="13"/>
      <c r="C20" s="13"/>
      <c r="D20" s="13"/>
      <c r="E20" s="13"/>
      <c r="F20" s="25"/>
      <c r="G20" s="25"/>
      <c r="H20" s="25" t="s">
        <v>6</v>
      </c>
      <c r="I20" s="25"/>
      <c r="J20" s="25"/>
      <c r="K20" s="25"/>
      <c r="L20" s="25"/>
    </row>
    <row r="21" spans="1:81" ht="15.6">
      <c r="A21" s="26"/>
      <c r="B21" s="27" t="str">
        <f>CONCATENATE( "ЛОКАЛЬНАЯ СМЕТА № ", Source!F20, " ",Source!CM20)</f>
        <v xml:space="preserve">ЛОКАЛЬНАЯ СМЕТА № Новая локальная смета </v>
      </c>
      <c r="C21" s="27"/>
      <c r="D21" s="27"/>
      <c r="E21" s="27"/>
      <c r="F21" s="27"/>
      <c r="G21" s="27"/>
      <c r="H21" s="27"/>
      <c r="I21" s="27"/>
      <c r="J21" s="27"/>
      <c r="K21" s="27"/>
      <c r="L21" s="26"/>
    </row>
    <row r="22" spans="1:81" ht="13.8">
      <c r="A22" s="26"/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6"/>
    </row>
    <row r="23" spans="1:81" ht="34.799999999999997">
      <c r="A23" s="13"/>
      <c r="B23" s="29" t="str">
        <f>IF(Source!G20&lt;&gt;"Новая локальная смета", Source!G20, "")</f>
        <v>Выявленный объект культурного наследия "Здание рабочей казармы Берговской мануфактуры, 1908г", по адресу: г.Тверь, ул.Спартака, д.45, корп.1</v>
      </c>
      <c r="C23" s="29"/>
      <c r="D23" s="29"/>
      <c r="E23" s="29"/>
      <c r="F23" s="29"/>
      <c r="G23" s="29"/>
      <c r="H23" s="29"/>
      <c r="I23" s="29"/>
      <c r="J23" s="29"/>
      <c r="K23" s="29"/>
      <c r="L23" s="30"/>
      <c r="CC23" s="117" t="str">
        <f>IF(Source!G20&lt;&gt;"Новая локальная смета", Source!G20, "")</f>
        <v>Выявленный объект культурного наследия "Здание рабочей казармы Берговской мануфактуры, 1908г", по адресу: г.Тверь, ул.Спартака, д.45, корп.1</v>
      </c>
    </row>
    <row r="24" spans="1:81" ht="13.8">
      <c r="A24" s="13"/>
      <c r="B24" s="24" t="s">
        <v>1335</v>
      </c>
      <c r="C24" s="24"/>
      <c r="D24" s="24"/>
      <c r="E24" s="24"/>
      <c r="F24" s="24"/>
      <c r="G24" s="24"/>
      <c r="H24" s="24"/>
      <c r="I24" s="24"/>
      <c r="J24" s="24"/>
      <c r="K24" s="24"/>
      <c r="L24" s="18"/>
    </row>
    <row r="25" spans="1:81" ht="13.8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</row>
    <row r="26" spans="1:81" ht="13.8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</row>
    <row r="27" spans="1:81">
      <c r="A27" s="9" t="s">
        <v>1336</v>
      </c>
      <c r="B27" s="9"/>
      <c r="C27" s="31" t="s">
        <v>1369</v>
      </c>
      <c r="D27" s="9" t="s">
        <v>1337</v>
      </c>
      <c r="E27" s="9"/>
      <c r="F27" s="9"/>
      <c r="G27" s="9"/>
      <c r="H27" s="9"/>
      <c r="I27" s="9"/>
      <c r="J27" s="9"/>
      <c r="K27" s="9"/>
      <c r="L27" s="9"/>
    </row>
    <row r="28" spans="1:81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</row>
    <row r="29" spans="1:81">
      <c r="A29" s="9" t="s">
        <v>1338</v>
      </c>
      <c r="B29" s="9"/>
      <c r="C29" s="32"/>
      <c r="D29" s="32"/>
      <c r="E29" s="32"/>
      <c r="F29" s="32"/>
      <c r="G29" s="32"/>
      <c r="H29" s="9"/>
      <c r="I29" s="9"/>
      <c r="J29" s="9"/>
      <c r="K29" s="9"/>
      <c r="L29" s="33"/>
    </row>
    <row r="30" spans="1:81">
      <c r="A30" s="34"/>
      <c r="B30" s="35"/>
      <c r="C30" s="36" t="s">
        <v>1339</v>
      </c>
      <c r="D30" s="36"/>
      <c r="E30" s="36"/>
      <c r="F30" s="36"/>
      <c r="G30" s="36"/>
      <c r="H30" s="37"/>
      <c r="I30" s="37"/>
      <c r="J30" s="37"/>
      <c r="K30" s="37"/>
      <c r="L30" s="37"/>
    </row>
    <row r="31" spans="1:81" ht="13.8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</row>
    <row r="32" spans="1:81" ht="13.8">
      <c r="A32" s="38" t="s">
        <v>1370</v>
      </c>
      <c r="B32" s="13"/>
      <c r="C32" s="13"/>
      <c r="D32" s="39"/>
      <c r="E32" s="40"/>
      <c r="F32" s="13"/>
      <c r="G32" s="13"/>
      <c r="H32" s="13"/>
      <c r="I32" s="13"/>
      <c r="J32" s="13"/>
      <c r="K32" s="13"/>
      <c r="L32" s="13"/>
    </row>
    <row r="33" spans="1:12" ht="13.8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</row>
    <row r="34" spans="1:12" ht="13.8">
      <c r="A34" s="38" t="s">
        <v>1340</v>
      </c>
      <c r="B34" s="13"/>
      <c r="C34" s="73">
        <f>C37+C38+C39+C40</f>
        <v>12434.61</v>
      </c>
      <c r="D34" s="74">
        <f>ROUND((SUM(O47:O1682))/1000, 2)</f>
        <v>1441.99</v>
      </c>
      <c r="E34" s="41"/>
      <c r="F34" s="42" t="s">
        <v>1341</v>
      </c>
      <c r="G34" s="43"/>
      <c r="H34" s="43"/>
      <c r="I34" s="43"/>
      <c r="J34" s="43"/>
      <c r="K34" s="13"/>
      <c r="L34" s="13"/>
    </row>
    <row r="35" spans="1:12" ht="13.8">
      <c r="A35" s="13"/>
      <c r="B35" s="13"/>
      <c r="C35" s="66"/>
      <c r="D35" s="75"/>
      <c r="E35" s="43"/>
      <c r="F35" s="42"/>
      <c r="G35" s="42" t="s">
        <v>1342</v>
      </c>
      <c r="H35" s="43"/>
      <c r="I35" s="43"/>
      <c r="J35" s="43"/>
      <c r="K35" s="13"/>
      <c r="L35" s="13"/>
    </row>
    <row r="36" spans="1:12" ht="13.8">
      <c r="A36" s="13"/>
      <c r="B36" s="44" t="s">
        <v>1343</v>
      </c>
      <c r="C36" s="66"/>
      <c r="D36" s="75"/>
      <c r="E36" s="45"/>
      <c r="F36" s="42"/>
      <c r="G36" s="42" t="s">
        <v>1344</v>
      </c>
      <c r="H36" s="43" t="s">
        <v>1345</v>
      </c>
      <c r="I36" s="46">
        <f>(SUM(U47:U1682))/1000</f>
        <v>1792.8589999999999</v>
      </c>
      <c r="J36" s="46">
        <f>ROUND((SUM(Q47:Q1682))/1000, 2)</f>
        <v>74.02</v>
      </c>
      <c r="K36" s="9" t="s">
        <v>1341</v>
      </c>
      <c r="L36" s="13"/>
    </row>
    <row r="37" spans="1:12" ht="13.8">
      <c r="A37" s="13"/>
      <c r="B37" s="38" t="s">
        <v>1346</v>
      </c>
      <c r="C37" s="73">
        <f>(ROUND(SUM(AO47:AO1682)*Source!D414, 0)+ROUND(SUM(AP47:AP1682)*Source!E414, 0)+ROUND(SUM(AQ47:AQ1682)*Source!G414, 0)+ROUND(SUM(AR47:AR1682)*Source!L414, 0)+SUM(AS47:AS1682)+SUM(AT47:AT1682))/1000</f>
        <v>12222.588</v>
      </c>
      <c r="D37" s="74">
        <f>ROUND((SUM(AN47:AN1682)+SUM(AR47:AR1682))/1000, 2)</f>
        <v>1423.96</v>
      </c>
      <c r="E37" s="41"/>
      <c r="F37" s="42" t="s">
        <v>1341</v>
      </c>
      <c r="G37" s="42" t="s">
        <v>1347</v>
      </c>
      <c r="H37" s="43"/>
      <c r="I37" s="42"/>
      <c r="J37" s="76">
        <f>Source!F346</f>
        <v>8541.0682726100003</v>
      </c>
      <c r="K37" s="9" t="s">
        <v>1348</v>
      </c>
      <c r="L37" s="13"/>
    </row>
    <row r="38" spans="1:12" ht="13.8">
      <c r="A38" s="13"/>
      <c r="B38" s="38" t="s">
        <v>1349</v>
      </c>
      <c r="C38" s="73">
        <f>(ROUND(SUM(AY47:AY1682)*Source!D414, 0)+ROUND(SUM(AZ47:AZ1682)*Source!E414, 0)+ROUND(SUM(BA47:BA1682)*Source!G414, 0)+ROUND(SUM(BB47:BB1682)*Source!L414, 0)+SUM(BC47:BC1682)+SUM(BD47:BD1682))/1000</f>
        <v>212.02199999999999</v>
      </c>
      <c r="D38" s="74">
        <f>ROUND((SUM(AX47:AX1682)+SUM(BB47:BB1682))/1000, 2)</f>
        <v>18.03</v>
      </c>
      <c r="E38" s="41"/>
      <c r="F38" s="42" t="s">
        <v>1341</v>
      </c>
      <c r="G38" s="42" t="s">
        <v>1350</v>
      </c>
      <c r="H38" s="43"/>
      <c r="I38" s="42"/>
      <c r="J38" s="76">
        <f>Source!F347</f>
        <v>286.20145187499998</v>
      </c>
      <c r="K38" s="9" t="s">
        <v>1348</v>
      </c>
      <c r="L38" s="13"/>
    </row>
    <row r="39" spans="1:12" ht="13.8">
      <c r="A39" s="13"/>
      <c r="B39" s="38" t="s">
        <v>1351</v>
      </c>
      <c r="C39" s="73">
        <f>(ROUND(SUM(BH47:BH1682)*Source!H414, 0)+ROUND(SUM(BI47:BI1682)*Source!L414, 0))/1000</f>
        <v>0</v>
      </c>
      <c r="D39" s="74">
        <f>ROUND((SUM(BH47:BH1682)+SUM(BI47:BI1682))/1000, 2)</f>
        <v>0</v>
      </c>
      <c r="E39" s="41"/>
      <c r="F39" s="42" t="s">
        <v>1341</v>
      </c>
      <c r="G39" s="42" t="s">
        <v>1352</v>
      </c>
      <c r="H39" s="43"/>
      <c r="I39" s="42"/>
      <c r="J39" s="47"/>
      <c r="K39" s="13"/>
      <c r="L39" s="13"/>
    </row>
    <row r="40" spans="1:12" ht="13.8">
      <c r="A40" s="13"/>
      <c r="B40" s="38" t="s">
        <v>1353</v>
      </c>
      <c r="C40" s="73">
        <f>(ROUND(SUM(BM47:BM1682)*Source!I414, 0)+SUM(BU47:BU1682)+ROUND(SUM(BO47:BO1682)*Source!H414, 0)+ROUND(SUM(BP47:BP1682)*Source!L414, 0))/1000</f>
        <v>0</v>
      </c>
      <c r="D40" s="74">
        <f>ROUND((SUM(BM47:BM1682)+SUM(BN47:BN1682)+SUM(BO47:BO1682)+SUM(BP47:BP1682))/1000, 2)</f>
        <v>0</v>
      </c>
      <c r="E40" s="48"/>
      <c r="F40" s="42" t="s">
        <v>1341</v>
      </c>
      <c r="G40" s="42" t="s">
        <v>1354</v>
      </c>
      <c r="H40" s="43"/>
      <c r="I40" s="42">
        <f>Source!I20</f>
        <v>0</v>
      </c>
      <c r="J40" s="49" t="str">
        <f>Source!H20</f>
        <v/>
      </c>
      <c r="K40" s="13"/>
      <c r="L40" s="13"/>
    </row>
    <row r="41" spans="1:12" ht="13.8">
      <c r="A41" s="13"/>
      <c r="B41" s="13"/>
      <c r="C41" s="13"/>
      <c r="D41" s="43"/>
      <c r="E41" s="43"/>
      <c r="F41" s="43"/>
      <c r="G41" s="43"/>
      <c r="H41" s="43"/>
      <c r="I41" s="43"/>
      <c r="J41" s="43"/>
      <c r="K41" s="13"/>
      <c r="L41" s="13"/>
    </row>
    <row r="42" spans="1:12">
      <c r="A42" s="50" t="s">
        <v>1355</v>
      </c>
      <c r="B42" s="50" t="s">
        <v>1356</v>
      </c>
      <c r="C42" s="50" t="s">
        <v>1357</v>
      </c>
      <c r="D42" s="50" t="s">
        <v>1358</v>
      </c>
      <c r="E42" s="51" t="s">
        <v>1359</v>
      </c>
      <c r="F42" s="52"/>
      <c r="G42" s="53"/>
      <c r="H42" s="51" t="s">
        <v>1360</v>
      </c>
      <c r="I42" s="52"/>
      <c r="J42" s="53"/>
      <c r="K42" s="50" t="s">
        <v>1361</v>
      </c>
      <c r="L42" s="50" t="s">
        <v>1362</v>
      </c>
    </row>
    <row r="43" spans="1:12">
      <c r="A43" s="54"/>
      <c r="B43" s="54"/>
      <c r="C43" s="54"/>
      <c r="D43" s="54"/>
      <c r="E43" s="55"/>
      <c r="F43" s="56"/>
      <c r="G43" s="57"/>
      <c r="H43" s="55"/>
      <c r="I43" s="56"/>
      <c r="J43" s="57"/>
      <c r="K43" s="54"/>
      <c r="L43" s="54"/>
    </row>
    <row r="44" spans="1:12">
      <c r="A44" s="54"/>
      <c r="B44" s="54"/>
      <c r="C44" s="54"/>
      <c r="D44" s="54"/>
      <c r="E44" s="58"/>
      <c r="F44" s="59"/>
      <c r="G44" s="60"/>
      <c r="H44" s="58"/>
      <c r="I44" s="59"/>
      <c r="J44" s="60"/>
      <c r="K44" s="54"/>
      <c r="L44" s="54"/>
    </row>
    <row r="45" spans="1:12" ht="26.4">
      <c r="A45" s="61"/>
      <c r="B45" s="61"/>
      <c r="C45" s="61"/>
      <c r="D45" s="61"/>
      <c r="E45" s="62" t="s">
        <v>1363</v>
      </c>
      <c r="F45" s="62" t="s">
        <v>1364</v>
      </c>
      <c r="G45" s="62" t="s">
        <v>1365</v>
      </c>
      <c r="H45" s="62" t="s">
        <v>1363</v>
      </c>
      <c r="I45" s="62" t="s">
        <v>1364</v>
      </c>
      <c r="J45" s="62" t="s">
        <v>1366</v>
      </c>
      <c r="K45" s="61"/>
      <c r="L45" s="61"/>
    </row>
    <row r="46" spans="1:12" ht="13.8">
      <c r="A46" s="63">
        <v>1</v>
      </c>
      <c r="B46" s="63">
        <v>2</v>
      </c>
      <c r="C46" s="63">
        <v>3</v>
      </c>
      <c r="D46" s="63">
        <v>4</v>
      </c>
      <c r="E46" s="63">
        <v>5</v>
      </c>
      <c r="F46" s="63">
        <v>6</v>
      </c>
      <c r="G46" s="63">
        <v>7</v>
      </c>
      <c r="H46" s="63">
        <v>8</v>
      </c>
      <c r="I46" s="63">
        <v>9</v>
      </c>
      <c r="J46" s="63">
        <v>10</v>
      </c>
      <c r="K46" s="64">
        <v>11</v>
      </c>
      <c r="L46" s="65">
        <v>12</v>
      </c>
    </row>
    <row r="48" spans="1:12" ht="16.8">
      <c r="A48" s="80" t="s">
        <v>1371</v>
      </c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</row>
    <row r="49" spans="1:56" ht="187.8">
      <c r="A49" s="110" t="str">
        <f>Source!E28</f>
        <v>1</v>
      </c>
      <c r="B49" s="111" t="str">
        <f>Source!F28</f>
        <v>10-01-027-4</v>
      </c>
      <c r="C49" s="111" t="s">
        <v>1372</v>
      </c>
      <c r="D49" s="81" t="str">
        <f>Source!H28</f>
        <v>100 м2 проемов</v>
      </c>
      <c r="E49" s="82">
        <f>Source!K28</f>
        <v>0.38329999999999997</v>
      </c>
      <c r="F49" s="82"/>
      <c r="G49" s="82">
        <f>Source!I28</f>
        <v>0.38329999999999997</v>
      </c>
      <c r="H49" s="83"/>
      <c r="I49" s="84"/>
      <c r="J49" s="85"/>
      <c r="K49" s="84"/>
      <c r="L49" s="86"/>
      <c r="AC49">
        <f>Source!X28</f>
        <v>561.48</v>
      </c>
      <c r="AD49">
        <f>Source!HK28</f>
        <v>13599</v>
      </c>
      <c r="AE49">
        <f>Source!Y28</f>
        <v>270.05</v>
      </c>
      <c r="AF49">
        <f>Source!HL28</f>
        <v>6541</v>
      </c>
      <c r="AS49">
        <f>IF(Source!BI28&lt;=1,AD49, 0)</f>
        <v>13599</v>
      </c>
      <c r="AT49">
        <f>IF(Source!BI28&lt;=1,AF49, 0)</f>
        <v>6541</v>
      </c>
      <c r="BC49">
        <f>IF(Source!BI28=2,AD49, 0)</f>
        <v>0</v>
      </c>
      <c r="BD49">
        <f>IF(Source!BI28=2,AF49, 0)</f>
        <v>0</v>
      </c>
    </row>
    <row r="51" spans="1:56">
      <c r="C51" s="67" t="str">
        <f>"Объем: "&amp;Source!K28&amp;"=(38,33)/"&amp;"100"</f>
        <v>Объем: 0,3833=(38,33)/100</v>
      </c>
    </row>
    <row r="52" spans="1:56" ht="14.4">
      <c r="A52" s="110"/>
      <c r="B52" s="112">
        <v>1</v>
      </c>
      <c r="C52" s="111" t="s">
        <v>1373</v>
      </c>
      <c r="D52" s="81"/>
      <c r="E52" s="82"/>
      <c r="F52" s="82"/>
      <c r="G52" s="82"/>
      <c r="H52" s="83">
        <f>Source!AO28</f>
        <v>1559.52</v>
      </c>
      <c r="I52" s="84">
        <f>ROUND(0.8*1.15,7)</f>
        <v>0.92</v>
      </c>
      <c r="J52" s="85">
        <f>ROUND(Source!AF28*Source!I28, 2)</f>
        <v>549.94000000000005</v>
      </c>
      <c r="K52" s="84">
        <f>IF(Source!BA28&lt;&gt; 0, Source!BA28, 1)</f>
        <v>24.22</v>
      </c>
      <c r="L52" s="86">
        <f>Source!HJ28</f>
        <v>13320</v>
      </c>
    </row>
    <row r="53" spans="1:56" ht="14.4">
      <c r="A53" s="110"/>
      <c r="B53" s="112">
        <v>3</v>
      </c>
      <c r="C53" s="111" t="s">
        <v>1374</v>
      </c>
      <c r="D53" s="81"/>
      <c r="E53" s="82"/>
      <c r="F53" s="82"/>
      <c r="G53" s="82"/>
      <c r="H53" s="83">
        <f>Source!AM28</f>
        <v>886.75</v>
      </c>
      <c r="I53" s="84">
        <f>ROUND(0.8*1.15,7)</f>
        <v>0.92</v>
      </c>
      <c r="J53" s="85">
        <f>ROUND(Source!AD28*Source!I28, 2)</f>
        <v>312.7</v>
      </c>
      <c r="K53" s="84"/>
      <c r="L53" s="86"/>
    </row>
    <row r="54" spans="1:56" ht="14.4">
      <c r="A54" s="110"/>
      <c r="B54" s="112">
        <v>2</v>
      </c>
      <c r="C54" s="111" t="s">
        <v>1375</v>
      </c>
      <c r="D54" s="81"/>
      <c r="E54" s="82"/>
      <c r="F54" s="82"/>
      <c r="G54" s="82"/>
      <c r="H54" s="83">
        <f>Source!AN28</f>
        <v>78.569999999999993</v>
      </c>
      <c r="I54" s="84">
        <f>ROUND(0.8*1.15,7)</f>
        <v>0.92</v>
      </c>
      <c r="J54" s="87">
        <f>ROUND(Source!AE28*Source!I28, 2)</f>
        <v>27.71</v>
      </c>
      <c r="K54" s="84">
        <f>IF(Source!BS28&lt;&gt; 0, Source!BS28, 1)</f>
        <v>24.22</v>
      </c>
      <c r="L54" s="88">
        <f>Source!HI28</f>
        <v>671</v>
      </c>
    </row>
    <row r="55" spans="1:56" ht="14.4">
      <c r="A55" s="110"/>
      <c r="B55" s="111"/>
      <c r="C55" s="111" t="s">
        <v>1376</v>
      </c>
      <c r="D55" s="81" t="s">
        <v>1377</v>
      </c>
      <c r="E55" s="82">
        <f>Source!AQ28</f>
        <v>182.4</v>
      </c>
      <c r="F55" s="82">
        <f>ROUND(0.8*1.15,7)</f>
        <v>0.92</v>
      </c>
      <c r="G55" s="82">
        <f>ROUND(Source!U28, 7)</f>
        <v>64.320806399999995</v>
      </c>
      <c r="H55" s="83"/>
      <c r="I55" s="84"/>
      <c r="J55" s="85"/>
      <c r="K55" s="84"/>
      <c r="L55" s="86"/>
    </row>
    <row r="56" spans="1:56" ht="14.4">
      <c r="A56" s="110"/>
      <c r="B56" s="111"/>
      <c r="C56" s="113" t="s">
        <v>1378</v>
      </c>
      <c r="D56" s="89" t="s">
        <v>1377</v>
      </c>
      <c r="E56" s="90">
        <f>Source!AR28</f>
        <v>6.03</v>
      </c>
      <c r="F56" s="90">
        <f>ROUND(0.8*1.15,7)</f>
        <v>0.92</v>
      </c>
      <c r="G56" s="90">
        <f>ROUND(Source!V28, 7)</f>
        <v>2.1263950999999999</v>
      </c>
      <c r="H56" s="91"/>
      <c r="I56" s="92"/>
      <c r="J56" s="93"/>
      <c r="K56" s="92"/>
      <c r="L56" s="94"/>
    </row>
    <row r="57" spans="1:56" ht="14.4">
      <c r="A57" s="110"/>
      <c r="B57" s="111"/>
      <c r="C57" s="111" t="s">
        <v>1379</v>
      </c>
      <c r="D57" s="81"/>
      <c r="E57" s="82"/>
      <c r="F57" s="82"/>
      <c r="G57" s="82"/>
      <c r="H57" s="83">
        <f>H52+H53</f>
        <v>2446.27</v>
      </c>
      <c r="I57" s="84"/>
      <c r="J57" s="85">
        <f>J52+J53</f>
        <v>862.6400000000001</v>
      </c>
      <c r="K57" s="84"/>
      <c r="L57" s="86"/>
    </row>
    <row r="58" spans="1:56" ht="14.4">
      <c r="A58" s="110"/>
      <c r="B58" s="111"/>
      <c r="C58" s="111" t="s">
        <v>1380</v>
      </c>
      <c r="D58" s="81"/>
      <c r="E58" s="82"/>
      <c r="F58" s="82"/>
      <c r="G58" s="82"/>
      <c r="H58" s="83"/>
      <c r="I58" s="84"/>
      <c r="J58" s="85">
        <f>SUM(Q49:Q61)+SUM(V49:V61)</f>
        <v>577.65000000000009</v>
      </c>
      <c r="K58" s="84"/>
      <c r="L58" s="86">
        <f>SUM(U49:U61)+SUM(W49:W61)</f>
        <v>13991</v>
      </c>
    </row>
    <row r="59" spans="1:56" ht="14.4">
      <c r="A59" s="110"/>
      <c r="B59" s="111" t="s">
        <v>1381</v>
      </c>
      <c r="C59" s="111" t="s">
        <v>1382</v>
      </c>
      <c r="D59" s="81" t="s">
        <v>1383</v>
      </c>
      <c r="E59" s="82">
        <f>Source!BZ28</f>
        <v>108</v>
      </c>
      <c r="F59" s="82">
        <f>ROUND(0.9,7)</f>
        <v>0.9</v>
      </c>
      <c r="G59" s="82">
        <f>Source!AT28</f>
        <v>97.2</v>
      </c>
      <c r="H59" s="83"/>
      <c r="I59" s="84"/>
      <c r="J59" s="85">
        <f>SUM(AC49:AC61)</f>
        <v>561.48</v>
      </c>
      <c r="K59" s="84"/>
      <c r="L59" s="86">
        <f>SUM(AD49:AD61)</f>
        <v>13599</v>
      </c>
    </row>
    <row r="60" spans="1:56" ht="14.4">
      <c r="A60" s="114"/>
      <c r="B60" s="113" t="s">
        <v>1384</v>
      </c>
      <c r="C60" s="113" t="s">
        <v>1385</v>
      </c>
      <c r="D60" s="89" t="s">
        <v>1383</v>
      </c>
      <c r="E60" s="90">
        <f>Source!CA28</f>
        <v>55</v>
      </c>
      <c r="F60" s="90">
        <f>ROUND(0.85,7)</f>
        <v>0.85</v>
      </c>
      <c r="G60" s="90">
        <f>Source!AU28</f>
        <v>46.75</v>
      </c>
      <c r="H60" s="91"/>
      <c r="I60" s="92"/>
      <c r="J60" s="93">
        <f>SUM(AE49:AE61)</f>
        <v>270.05</v>
      </c>
      <c r="K60" s="92"/>
      <c r="L60" s="94">
        <f>SUM(AF49:AF61)</f>
        <v>6541</v>
      </c>
    </row>
    <row r="61" spans="1:56" ht="13.8">
      <c r="C61" s="95" t="s">
        <v>1386</v>
      </c>
      <c r="D61" s="95"/>
      <c r="E61" s="95"/>
      <c r="F61" s="95"/>
      <c r="G61" s="95"/>
      <c r="H61" s="95"/>
      <c r="I61" s="95">
        <f>J52+J53+J59+J60</f>
        <v>1694.17</v>
      </c>
      <c r="J61" s="95"/>
      <c r="O61" s="69">
        <f>I61</f>
        <v>1694.17</v>
      </c>
      <c r="P61">
        <f>K61</f>
        <v>0</v>
      </c>
      <c r="Q61" s="69">
        <f>J52</f>
        <v>549.94000000000005</v>
      </c>
      <c r="R61" s="69">
        <f>J52</f>
        <v>549.94000000000005</v>
      </c>
      <c r="U61" s="70">
        <f>L52</f>
        <v>13320</v>
      </c>
      <c r="V61" s="69">
        <f>J54</f>
        <v>27.71</v>
      </c>
      <c r="W61" s="70">
        <f>L54</f>
        <v>671</v>
      </c>
      <c r="X61" s="69">
        <f>J53</f>
        <v>312.7</v>
      </c>
      <c r="Z61" s="70">
        <f>L53</f>
        <v>0</v>
      </c>
      <c r="AB61">
        <f>0</f>
        <v>0</v>
      </c>
      <c r="AN61">
        <f>IF(Source!BI28&lt;=1,J52+J53+J59+J60, 0)</f>
        <v>1694.17</v>
      </c>
      <c r="AO61">
        <f>IF(Source!BI28&lt;=1,0, 0)</f>
        <v>0</v>
      </c>
      <c r="AP61">
        <f>IF(Source!BI28&lt;=1,J53, 0)</f>
        <v>312.7</v>
      </c>
      <c r="AQ61">
        <f>IF(Source!BI28&lt;=1,J52, 0)</f>
        <v>549.94000000000005</v>
      </c>
      <c r="AX61">
        <f>IF(Source!BI28=2,J52+J53+J59+J60, 0)</f>
        <v>0</v>
      </c>
      <c r="AY61">
        <f>IF(Source!BI28=2,0, 0)</f>
        <v>0</v>
      </c>
      <c r="AZ61">
        <f>IF(Source!BI28=2,J53, 0)</f>
        <v>0</v>
      </c>
      <c r="BA61">
        <f>IF(Source!BI28=2,J52, 0)</f>
        <v>0</v>
      </c>
    </row>
    <row r="62" spans="1:56" ht="120.6">
      <c r="A62" s="110" t="str">
        <f>Source!E29</f>
        <v>2</v>
      </c>
      <c r="B62" s="111" t="str">
        <f>Source!F29</f>
        <v>58-3-1</v>
      </c>
      <c r="C62" s="111" t="s">
        <v>1387</v>
      </c>
      <c r="D62" s="81" t="str">
        <f>Source!H29</f>
        <v>100 м труб и покрытий</v>
      </c>
      <c r="E62" s="82">
        <f>Source!K29</f>
        <v>4.8000000000000001E-2</v>
      </c>
      <c r="F62" s="82"/>
      <c r="G62" s="82">
        <f>Source!I29</f>
        <v>4.8000000000000001E-2</v>
      </c>
      <c r="H62" s="83"/>
      <c r="I62" s="84"/>
      <c r="J62" s="85"/>
      <c r="K62" s="84"/>
      <c r="L62" s="86"/>
      <c r="AC62">
        <f>Source!X29</f>
        <v>3.4</v>
      </c>
      <c r="AD62">
        <f>Source!HK29</f>
        <v>83</v>
      </c>
      <c r="AE62">
        <f>Source!Y29</f>
        <v>1.74</v>
      </c>
      <c r="AF62">
        <f>Source!HL29</f>
        <v>42</v>
      </c>
      <c r="AS62">
        <f>IF(Source!BI29&lt;=1,AD62, 0)</f>
        <v>83</v>
      </c>
      <c r="AT62">
        <f>IF(Source!BI29&lt;=1,AF62, 0)</f>
        <v>42</v>
      </c>
      <c r="BC62">
        <f>IF(Source!BI29=2,AD62, 0)</f>
        <v>0</v>
      </c>
      <c r="BD62">
        <f>IF(Source!BI29=2,AF62, 0)</f>
        <v>0</v>
      </c>
    </row>
    <row r="64" spans="1:56">
      <c r="C64" s="67" t="str">
        <f>"Объем: "&amp;Source!K29&amp;"=4,8/"&amp;"100"</f>
        <v>Объем: 0,048=4,8/100</v>
      </c>
    </row>
    <row r="65" spans="1:84" ht="14.4">
      <c r="A65" s="110"/>
      <c r="B65" s="112">
        <v>1</v>
      </c>
      <c r="C65" s="111" t="s">
        <v>1373</v>
      </c>
      <c r="D65" s="81"/>
      <c r="E65" s="82"/>
      <c r="F65" s="82"/>
      <c r="G65" s="82"/>
      <c r="H65" s="83">
        <f>Source!AO29</f>
        <v>68.52</v>
      </c>
      <c r="I65" s="84">
        <f>ROUND(1.15,7)</f>
        <v>1.1499999999999999</v>
      </c>
      <c r="J65" s="85">
        <f>ROUND(Source!AF29*Source!I29, 2)</f>
        <v>3.78</v>
      </c>
      <c r="K65" s="84">
        <f>IF(Source!BA29&lt;&gt; 0, Source!BA29, 1)</f>
        <v>24.22</v>
      </c>
      <c r="L65" s="86">
        <f>Source!HJ29</f>
        <v>92</v>
      </c>
    </row>
    <row r="66" spans="1:84" ht="14.4">
      <c r="A66" s="110"/>
      <c r="B66" s="112">
        <v>3</v>
      </c>
      <c r="C66" s="111" t="s">
        <v>1374</v>
      </c>
      <c r="D66" s="81"/>
      <c r="E66" s="82"/>
      <c r="F66" s="82"/>
      <c r="G66" s="82"/>
      <c r="H66" s="83">
        <f>Source!AM29</f>
        <v>0.2</v>
      </c>
      <c r="I66" s="84">
        <f>ROUND(1.15,7)</f>
        <v>1.1499999999999999</v>
      </c>
      <c r="J66" s="85">
        <f>ROUND(Source!AD29*Source!I29, 2)</f>
        <v>0.01</v>
      </c>
      <c r="K66" s="84"/>
      <c r="L66" s="86"/>
    </row>
    <row r="67" spans="1:84" ht="14.4">
      <c r="A67" s="110"/>
      <c r="B67" s="111"/>
      <c r="C67" s="113" t="s">
        <v>1376</v>
      </c>
      <c r="D67" s="89" t="s">
        <v>1377</v>
      </c>
      <c r="E67" s="90">
        <f>Source!AQ29</f>
        <v>9.1</v>
      </c>
      <c r="F67" s="90">
        <f>ROUND(1.15,7)</f>
        <v>1.1499999999999999</v>
      </c>
      <c r="G67" s="90">
        <f>ROUND(Source!U29, 7)</f>
        <v>0.50231999999999999</v>
      </c>
      <c r="H67" s="91"/>
      <c r="I67" s="92"/>
      <c r="J67" s="93"/>
      <c r="K67" s="92"/>
      <c r="L67" s="94"/>
    </row>
    <row r="68" spans="1:84" ht="14.4">
      <c r="A68" s="110"/>
      <c r="B68" s="111"/>
      <c r="C68" s="111" t="s">
        <v>1379</v>
      </c>
      <c r="D68" s="81"/>
      <c r="E68" s="82"/>
      <c r="F68" s="82"/>
      <c r="G68" s="82"/>
      <c r="H68" s="83">
        <f>H65+H66</f>
        <v>68.72</v>
      </c>
      <c r="I68" s="84"/>
      <c r="J68" s="85">
        <f>J65+J66</f>
        <v>3.7899999999999996</v>
      </c>
      <c r="K68" s="84"/>
      <c r="L68" s="86"/>
    </row>
    <row r="69" spans="1:84" ht="14.4">
      <c r="A69" s="110"/>
      <c r="B69" s="111"/>
      <c r="C69" s="111" t="s">
        <v>1380</v>
      </c>
      <c r="D69" s="81"/>
      <c r="E69" s="82"/>
      <c r="F69" s="82"/>
      <c r="G69" s="82"/>
      <c r="H69" s="83"/>
      <c r="I69" s="84"/>
      <c r="J69" s="85">
        <f>SUM(Q62:Q72)+SUM(V62:V72)</f>
        <v>3.78</v>
      </c>
      <c r="K69" s="84"/>
      <c r="L69" s="86">
        <f>SUM(U62:U72)+SUM(W62:W72)</f>
        <v>92</v>
      </c>
    </row>
    <row r="70" spans="1:84" ht="14.4">
      <c r="A70" s="110"/>
      <c r="B70" s="111" t="s">
        <v>1388</v>
      </c>
      <c r="C70" s="111" t="s">
        <v>1389</v>
      </c>
      <c r="D70" s="81" t="s">
        <v>1383</v>
      </c>
      <c r="E70" s="82">
        <f>Source!BZ29</f>
        <v>90</v>
      </c>
      <c r="F70" s="82"/>
      <c r="G70" s="82">
        <f>Source!AT29</f>
        <v>90</v>
      </c>
      <c r="H70" s="83"/>
      <c r="I70" s="84"/>
      <c r="J70" s="85">
        <f>SUM(AC62:AC72)</f>
        <v>3.4</v>
      </c>
      <c r="K70" s="84"/>
      <c r="L70" s="86">
        <f>SUM(AD62:AD72)</f>
        <v>83</v>
      </c>
    </row>
    <row r="71" spans="1:84" ht="14.4">
      <c r="A71" s="114"/>
      <c r="B71" s="113" t="s">
        <v>1390</v>
      </c>
      <c r="C71" s="113" t="s">
        <v>1391</v>
      </c>
      <c r="D71" s="89" t="s">
        <v>1383</v>
      </c>
      <c r="E71" s="90">
        <f>Source!CA29</f>
        <v>46</v>
      </c>
      <c r="F71" s="90"/>
      <c r="G71" s="90">
        <f>Source!AU29</f>
        <v>46</v>
      </c>
      <c r="H71" s="91"/>
      <c r="I71" s="92"/>
      <c r="J71" s="93">
        <f>SUM(AE62:AE72)</f>
        <v>1.74</v>
      </c>
      <c r="K71" s="92"/>
      <c r="L71" s="94">
        <f>SUM(AF62:AF72)</f>
        <v>42</v>
      </c>
    </row>
    <row r="72" spans="1:84" ht="13.8">
      <c r="C72" s="95" t="s">
        <v>1386</v>
      </c>
      <c r="D72" s="95"/>
      <c r="E72" s="95"/>
      <c r="F72" s="95"/>
      <c r="G72" s="95"/>
      <c r="H72" s="95"/>
      <c r="I72" s="95">
        <f>J65+J66+J70+J71</f>
        <v>8.93</v>
      </c>
      <c r="J72" s="95"/>
      <c r="O72" s="69">
        <f>I72</f>
        <v>8.93</v>
      </c>
      <c r="P72">
        <f>K72</f>
        <v>0</v>
      </c>
      <c r="Q72" s="69">
        <f>J65</f>
        <v>3.78</v>
      </c>
      <c r="R72" s="69">
        <f>J65</f>
        <v>3.78</v>
      </c>
      <c r="U72" s="70">
        <f>L65</f>
        <v>92</v>
      </c>
      <c r="V72">
        <f>0</f>
        <v>0</v>
      </c>
      <c r="W72">
        <f>0</f>
        <v>0</v>
      </c>
      <c r="X72" s="69">
        <f>J66</f>
        <v>0.01</v>
      </c>
      <c r="Z72" s="70">
        <f>L66</f>
        <v>0</v>
      </c>
      <c r="AB72">
        <f>0</f>
        <v>0</v>
      </c>
      <c r="AN72">
        <f>IF(Source!BI29&lt;=1,J65+J66+J70+J71, 0)</f>
        <v>8.93</v>
      </c>
      <c r="AO72">
        <f>IF(Source!BI29&lt;=1,0, 0)</f>
        <v>0</v>
      </c>
      <c r="AP72">
        <f>IF(Source!BI29&lt;=1,J66, 0)</f>
        <v>0.01</v>
      </c>
      <c r="AQ72">
        <f>IF(Source!BI29&lt;=1,J65, 0)</f>
        <v>3.78</v>
      </c>
      <c r="AX72">
        <f>IF(Source!BI29=2,J65+J66+J70+J71, 0)</f>
        <v>0</v>
      </c>
      <c r="AY72">
        <f>IF(Source!BI29=2,0, 0)</f>
        <v>0</v>
      </c>
      <c r="AZ72">
        <f>IF(Source!BI29=2,J66, 0)</f>
        <v>0</v>
      </c>
      <c r="BA72">
        <f>IF(Source!BI29=2,J65, 0)</f>
        <v>0</v>
      </c>
    </row>
    <row r="74" spans="1:84" ht="13.8">
      <c r="A74" s="97"/>
      <c r="B74" s="98"/>
      <c r="C74" s="99" t="s">
        <v>1392</v>
      </c>
      <c r="D74" s="99"/>
      <c r="E74" s="99"/>
      <c r="F74" s="99"/>
      <c r="G74" s="99"/>
      <c r="H74" s="99"/>
      <c r="I74" s="100"/>
      <c r="J74" s="101">
        <f>J76+J77+J78+J79</f>
        <v>866.43000000000006</v>
      </c>
      <c r="K74" s="101"/>
      <c r="L74" s="102"/>
      <c r="CF74" s="118" t="s">
        <v>1392</v>
      </c>
    </row>
    <row r="75" spans="1:84" ht="13.8">
      <c r="A75" s="103"/>
      <c r="B75" s="104"/>
      <c r="C75" s="105" t="s">
        <v>1393</v>
      </c>
      <c r="D75" s="106"/>
      <c r="E75" s="106"/>
      <c r="F75" s="106"/>
      <c r="G75" s="106"/>
      <c r="H75" s="106"/>
      <c r="I75" s="107"/>
      <c r="J75" s="108"/>
      <c r="K75" s="108"/>
      <c r="L75" s="109"/>
    </row>
    <row r="76" spans="1:84" ht="13.8">
      <c r="A76" s="103"/>
      <c r="B76" s="104"/>
      <c r="C76" s="106" t="s">
        <v>1394</v>
      </c>
      <c r="D76" s="106"/>
      <c r="E76" s="106"/>
      <c r="F76" s="106"/>
      <c r="G76" s="106"/>
      <c r="H76" s="106"/>
      <c r="I76" s="107"/>
      <c r="J76" s="108">
        <f>SUM(Q48:Q72)</f>
        <v>553.72</v>
      </c>
      <c r="K76" s="108"/>
      <c r="L76" s="109"/>
    </row>
    <row r="77" spans="1:84" ht="13.8">
      <c r="A77" s="103"/>
      <c r="B77" s="104"/>
      <c r="C77" s="106" t="s">
        <v>1395</v>
      </c>
      <c r="D77" s="106"/>
      <c r="E77" s="106"/>
      <c r="F77" s="106"/>
      <c r="G77" s="106"/>
      <c r="H77" s="106"/>
      <c r="I77" s="107"/>
      <c r="J77" s="108">
        <f>Source!F43</f>
        <v>312.70999999999998</v>
      </c>
      <c r="K77" s="108"/>
      <c r="L77" s="109"/>
    </row>
    <row r="78" spans="1:84" ht="13.8" hidden="1" customHeight="1">
      <c r="A78" s="103"/>
      <c r="B78" s="104"/>
      <c r="C78" s="106" t="s">
        <v>1396</v>
      </c>
      <c r="D78" s="106"/>
      <c r="E78" s="106"/>
      <c r="F78" s="106"/>
      <c r="G78" s="106"/>
      <c r="H78" s="106"/>
      <c r="I78" s="107"/>
      <c r="J78" s="108">
        <f>Source!F34-J83</f>
        <v>0</v>
      </c>
      <c r="K78" s="108"/>
      <c r="L78" s="109"/>
    </row>
    <row r="79" spans="1:84" ht="13.8" hidden="1" customHeight="1">
      <c r="A79" s="103"/>
      <c r="B79" s="104"/>
      <c r="C79" s="106" t="s">
        <v>1397</v>
      </c>
      <c r="D79" s="106"/>
      <c r="E79" s="106"/>
      <c r="F79" s="106"/>
      <c r="G79" s="106"/>
      <c r="H79" s="106"/>
      <c r="I79" s="107"/>
      <c r="J79" s="108">
        <f>Source!F56</f>
        <v>0</v>
      </c>
      <c r="K79" s="108"/>
      <c r="L79" s="109"/>
    </row>
    <row r="80" spans="1:84" ht="13.8">
      <c r="A80" s="103"/>
      <c r="B80" s="104"/>
      <c r="C80" s="106" t="s">
        <v>1398</v>
      </c>
      <c r="D80" s="106"/>
      <c r="E80" s="106"/>
      <c r="F80" s="106"/>
      <c r="G80" s="106"/>
      <c r="H80" s="106"/>
      <c r="I80" s="107"/>
      <c r="J80" s="108">
        <f>SUM(Q48:Q72)+SUM(V48:V72)</f>
        <v>581.43000000000006</v>
      </c>
      <c r="K80" s="108"/>
      <c r="L80" s="109"/>
    </row>
    <row r="81" spans="1:56" ht="13.8">
      <c r="A81" s="103"/>
      <c r="B81" s="104"/>
      <c r="C81" s="106" t="s">
        <v>1399</v>
      </c>
      <c r="D81" s="106"/>
      <c r="E81" s="106"/>
      <c r="F81" s="106"/>
      <c r="G81" s="106"/>
      <c r="H81" s="106"/>
      <c r="I81" s="107"/>
      <c r="J81" s="108">
        <f>Source!F57</f>
        <v>564.88</v>
      </c>
      <c r="K81" s="108"/>
      <c r="L81" s="109"/>
    </row>
    <row r="82" spans="1:56" ht="13.8">
      <c r="A82" s="103"/>
      <c r="B82" s="104"/>
      <c r="C82" s="106" t="s">
        <v>1400</v>
      </c>
      <c r="D82" s="106"/>
      <c r="E82" s="106"/>
      <c r="F82" s="106"/>
      <c r="G82" s="106"/>
      <c r="H82" s="106"/>
      <c r="I82" s="107"/>
      <c r="J82" s="108">
        <f>Source!F58</f>
        <v>271.79000000000002</v>
      </c>
      <c r="K82" s="108"/>
      <c r="L82" s="109"/>
    </row>
    <row r="83" spans="1:56" ht="13.8" hidden="1" customHeight="1">
      <c r="A83" s="103"/>
      <c r="B83" s="104"/>
      <c r="C83" s="106" t="s">
        <v>1401</v>
      </c>
      <c r="D83" s="106"/>
      <c r="E83" s="106"/>
      <c r="F83" s="106"/>
      <c r="G83" s="106"/>
      <c r="H83" s="106"/>
      <c r="I83" s="107"/>
      <c r="J83" s="108">
        <f>Source!F40</f>
        <v>0</v>
      </c>
      <c r="K83" s="108"/>
      <c r="L83" s="109"/>
    </row>
    <row r="84" spans="1:56" ht="13.8" hidden="1" customHeight="1">
      <c r="A84" s="103"/>
      <c r="B84" s="104"/>
      <c r="C84" s="106" t="s">
        <v>1402</v>
      </c>
      <c r="D84" s="106"/>
      <c r="E84" s="106"/>
      <c r="F84" s="106"/>
      <c r="G84" s="106"/>
      <c r="H84" s="106"/>
      <c r="I84" s="107"/>
      <c r="J84" s="108">
        <f>Source!F50</f>
        <v>0</v>
      </c>
      <c r="K84" s="108"/>
      <c r="L84" s="109"/>
    </row>
    <row r="85" spans="1:56" ht="13.8">
      <c r="A85" s="97"/>
      <c r="B85" s="98"/>
      <c r="C85" s="99" t="s">
        <v>1403</v>
      </c>
      <c r="D85" s="99"/>
      <c r="E85" s="99"/>
      <c r="F85" s="99"/>
      <c r="G85" s="99"/>
      <c r="H85" s="99"/>
      <c r="I85" s="100"/>
      <c r="J85" s="101">
        <f>Source!F59</f>
        <v>1703.1</v>
      </c>
      <c r="K85" s="101"/>
      <c r="L85" s="102"/>
    </row>
    <row r="86" spans="1:56" ht="13.8" hidden="1" customHeight="1">
      <c r="A86" s="103"/>
      <c r="B86" s="104"/>
      <c r="C86" s="105" t="s">
        <v>1393</v>
      </c>
      <c r="D86" s="106"/>
      <c r="E86" s="106"/>
      <c r="F86" s="106"/>
      <c r="G86" s="106"/>
      <c r="H86" s="106"/>
      <c r="I86" s="107"/>
      <c r="J86" s="108"/>
      <c r="K86" s="108"/>
      <c r="L86" s="109"/>
    </row>
    <row r="87" spans="1:56" ht="13.8" hidden="1" customHeight="1">
      <c r="A87" s="103"/>
      <c r="B87" s="104"/>
      <c r="C87" s="106" t="s">
        <v>1404</v>
      </c>
      <c r="D87" s="106"/>
      <c r="E87" s="106"/>
      <c r="F87" s="106"/>
      <c r="G87" s="106"/>
      <c r="H87" s="106"/>
      <c r="I87" s="107"/>
      <c r="J87" s="108"/>
      <c r="K87" s="108"/>
      <c r="L87" s="109">
        <f>SUM(BS48:BS72)</f>
        <v>0</v>
      </c>
    </row>
    <row r="88" spans="1:56" ht="13.8" hidden="1" customHeight="1">
      <c r="A88" s="103"/>
      <c r="B88" s="104"/>
      <c r="C88" s="106" t="s">
        <v>1405</v>
      </c>
      <c r="D88" s="106"/>
      <c r="E88" s="106"/>
      <c r="F88" s="106"/>
      <c r="G88" s="106"/>
      <c r="H88" s="106"/>
      <c r="I88" s="107"/>
      <c r="J88" s="108"/>
      <c r="K88" s="108"/>
      <c r="L88" s="109">
        <f>SUM(BT48:BT72)</f>
        <v>0</v>
      </c>
    </row>
    <row r="90" spans="1:56" ht="16.8">
      <c r="A90" s="80" t="s">
        <v>1406</v>
      </c>
      <c r="B90" s="80"/>
      <c r="C90" s="80"/>
      <c r="D90" s="80"/>
      <c r="E90" s="80"/>
      <c r="F90" s="80"/>
      <c r="G90" s="80"/>
      <c r="H90" s="80"/>
      <c r="I90" s="80"/>
      <c r="J90" s="80"/>
      <c r="K90" s="80"/>
      <c r="L90" s="80"/>
    </row>
    <row r="91" spans="1:56" ht="13.8">
      <c r="C91" s="79" t="str">
        <f>Source!G68</f>
        <v>Цоколь</v>
      </c>
    </row>
    <row r="92" spans="1:56" ht="148.19999999999999">
      <c r="A92" s="110" t="str">
        <f>Source!E69</f>
        <v>3</v>
      </c>
      <c r="B92" s="111" t="str">
        <f>Source!F69</f>
        <v>61-10-3</v>
      </c>
      <c r="C92" s="111" t="s">
        <v>1407</v>
      </c>
      <c r="D92" s="81" t="str">
        <f>Source!H69</f>
        <v>100 м2 отремонтированной поверхности</v>
      </c>
      <c r="E92" s="82">
        <f>Source!K69</f>
        <v>0.11700000000000001</v>
      </c>
      <c r="F92" s="82"/>
      <c r="G92" s="82">
        <f>Source!I69</f>
        <v>0.11700000000000001</v>
      </c>
      <c r="H92" s="83"/>
      <c r="I92" s="84"/>
      <c r="J92" s="85"/>
      <c r="K92" s="84"/>
      <c r="L92" s="86"/>
      <c r="AC92">
        <f>Source!X69</f>
        <v>190.26</v>
      </c>
      <c r="AD92">
        <f>Source!HK69</f>
        <v>4608</v>
      </c>
      <c r="AE92">
        <f>Source!Y69</f>
        <v>94.06</v>
      </c>
      <c r="AF92">
        <f>Source!HL69</f>
        <v>2278</v>
      </c>
      <c r="AS92">
        <f>IF(Source!BI69&lt;=1,AD92, 0)</f>
        <v>4608</v>
      </c>
      <c r="AT92">
        <f>IF(Source!BI69&lt;=1,AF92, 0)</f>
        <v>2278</v>
      </c>
      <c r="BC92">
        <f>IF(Source!BI69=2,AD92, 0)</f>
        <v>0</v>
      </c>
      <c r="BD92">
        <f>IF(Source!BI69=2,AF92, 0)</f>
        <v>0</v>
      </c>
    </row>
    <row r="94" spans="1:56">
      <c r="C94" s="67" t="str">
        <f>"Объем: "&amp;Source!K69&amp;"=11,7/"&amp;"100"</f>
        <v>Объем: 0,117=11,7/100</v>
      </c>
    </row>
    <row r="95" spans="1:56" ht="14.4">
      <c r="A95" s="110"/>
      <c r="B95" s="112">
        <v>1</v>
      </c>
      <c r="C95" s="111" t="s">
        <v>1373</v>
      </c>
      <c r="D95" s="81"/>
      <c r="E95" s="82"/>
      <c r="F95" s="82"/>
      <c r="G95" s="82"/>
      <c r="H95" s="83">
        <f>Source!AO69</f>
        <v>1588.83</v>
      </c>
      <c r="I95" s="84">
        <f>ROUND(1.15,7)</f>
        <v>1.1499999999999999</v>
      </c>
      <c r="J95" s="85">
        <f>ROUND(Source!AF69*Source!I69, 2)</f>
        <v>213.78</v>
      </c>
      <c r="K95" s="84">
        <f>IF(Source!BA69&lt;&gt; 0, Source!BA69, 1)</f>
        <v>24.22</v>
      </c>
      <c r="L95" s="86">
        <f>Source!HJ69</f>
        <v>5178</v>
      </c>
    </row>
    <row r="96" spans="1:56" ht="14.4">
      <c r="A96" s="110"/>
      <c r="B96" s="112">
        <v>3</v>
      </c>
      <c r="C96" s="111" t="s">
        <v>1374</v>
      </c>
      <c r="D96" s="81"/>
      <c r="E96" s="82"/>
      <c r="F96" s="82"/>
      <c r="G96" s="82"/>
      <c r="H96" s="83">
        <f>Source!AM69</f>
        <v>1.21</v>
      </c>
      <c r="I96" s="84">
        <f>ROUND(1.15,7)</f>
        <v>1.1499999999999999</v>
      </c>
      <c r="J96" s="85">
        <f>ROUND(Source!AD69*Source!I69, 2)</f>
        <v>0.16</v>
      </c>
      <c r="K96" s="84"/>
      <c r="L96" s="86"/>
    </row>
    <row r="97" spans="1:71" ht="14.4">
      <c r="A97" s="110"/>
      <c r="B97" s="112">
        <v>4</v>
      </c>
      <c r="C97" s="111" t="s">
        <v>1408</v>
      </c>
      <c r="D97" s="81"/>
      <c r="E97" s="82"/>
      <c r="F97" s="82"/>
      <c r="G97" s="82"/>
      <c r="H97" s="83">
        <f>Source!AL69</f>
        <v>1254.92</v>
      </c>
      <c r="I97" s="84"/>
      <c r="J97" s="85">
        <f>ROUND(Source!AC69*Source!I69, 2)</f>
        <v>146.83000000000001</v>
      </c>
      <c r="K97" s="84"/>
      <c r="L97" s="86"/>
    </row>
    <row r="98" spans="1:71" ht="14.4">
      <c r="A98" s="110"/>
      <c r="B98" s="111"/>
      <c r="C98" s="113" t="s">
        <v>1376</v>
      </c>
      <c r="D98" s="89" t="s">
        <v>1377</v>
      </c>
      <c r="E98" s="90">
        <f>Source!AQ69</f>
        <v>188.25</v>
      </c>
      <c r="F98" s="90">
        <f>ROUND(1.15,7)</f>
        <v>1.1499999999999999</v>
      </c>
      <c r="G98" s="90">
        <f>ROUND(Source!U69, 7)</f>
        <v>25.329037499999998</v>
      </c>
      <c r="H98" s="91"/>
      <c r="I98" s="92"/>
      <c r="J98" s="93"/>
      <c r="K98" s="92"/>
      <c r="L98" s="94"/>
    </row>
    <row r="99" spans="1:71" ht="14.4">
      <c r="A99" s="110"/>
      <c r="B99" s="111"/>
      <c r="C99" s="111" t="s">
        <v>1379</v>
      </c>
      <c r="D99" s="81"/>
      <c r="E99" s="82"/>
      <c r="F99" s="82"/>
      <c r="G99" s="82"/>
      <c r="H99" s="83">
        <f>H95+H96+H97</f>
        <v>2844.96</v>
      </c>
      <c r="I99" s="84"/>
      <c r="J99" s="85">
        <f>J95+J96+J97</f>
        <v>360.77</v>
      </c>
      <c r="K99" s="84"/>
      <c r="L99" s="86"/>
    </row>
    <row r="100" spans="1:71" ht="14.4">
      <c r="A100" s="110"/>
      <c r="B100" s="111"/>
      <c r="C100" s="111" t="s">
        <v>1380</v>
      </c>
      <c r="D100" s="81"/>
      <c r="E100" s="82"/>
      <c r="F100" s="82"/>
      <c r="G100" s="82"/>
      <c r="H100" s="83"/>
      <c r="I100" s="84"/>
      <c r="J100" s="85">
        <f>SUM(Q92:Q103)+SUM(V92:V103)</f>
        <v>213.78</v>
      </c>
      <c r="K100" s="84"/>
      <c r="L100" s="86">
        <f>SUM(U92:U103)+SUM(W92:W103)</f>
        <v>5178</v>
      </c>
    </row>
    <row r="101" spans="1:71" ht="14.4">
      <c r="A101" s="110"/>
      <c r="B101" s="111" t="s">
        <v>1409</v>
      </c>
      <c r="C101" s="111" t="s">
        <v>1410</v>
      </c>
      <c r="D101" s="81" t="s">
        <v>1383</v>
      </c>
      <c r="E101" s="82">
        <f>Source!BZ69</f>
        <v>89</v>
      </c>
      <c r="F101" s="82"/>
      <c r="G101" s="82">
        <f>Source!AT69</f>
        <v>89</v>
      </c>
      <c r="H101" s="83"/>
      <c r="I101" s="84"/>
      <c r="J101" s="85">
        <f>SUM(AC92:AC103)</f>
        <v>190.26</v>
      </c>
      <c r="K101" s="84"/>
      <c r="L101" s="86">
        <f>SUM(AD92:AD103)</f>
        <v>4608</v>
      </c>
    </row>
    <row r="102" spans="1:71" ht="14.4">
      <c r="A102" s="114"/>
      <c r="B102" s="113" t="s">
        <v>1411</v>
      </c>
      <c r="C102" s="113" t="s">
        <v>1412</v>
      </c>
      <c r="D102" s="89" t="s">
        <v>1383</v>
      </c>
      <c r="E102" s="90">
        <f>Source!CA69</f>
        <v>44</v>
      </c>
      <c r="F102" s="90"/>
      <c r="G102" s="90">
        <f>Source!AU69</f>
        <v>44</v>
      </c>
      <c r="H102" s="91"/>
      <c r="I102" s="92"/>
      <c r="J102" s="93">
        <f>SUM(AE92:AE103)</f>
        <v>94.06</v>
      </c>
      <c r="K102" s="92"/>
      <c r="L102" s="94">
        <f>SUM(AF92:AF103)</f>
        <v>2278</v>
      </c>
    </row>
    <row r="103" spans="1:71" ht="13.8">
      <c r="C103" s="95" t="s">
        <v>1386</v>
      </c>
      <c r="D103" s="95"/>
      <c r="E103" s="95"/>
      <c r="F103" s="95"/>
      <c r="G103" s="95"/>
      <c r="H103" s="95"/>
      <c r="I103" s="95">
        <f>J95+J96+J97+J101+J102</f>
        <v>645.08999999999992</v>
      </c>
      <c r="J103" s="95"/>
      <c r="O103" s="69">
        <f>I103</f>
        <v>645.08999999999992</v>
      </c>
      <c r="P103">
        <f>K103</f>
        <v>0</v>
      </c>
      <c r="Q103" s="69">
        <f>J95</f>
        <v>213.78</v>
      </c>
      <c r="R103" s="69">
        <f>J95</f>
        <v>213.78</v>
      </c>
      <c r="U103" s="70">
        <f>L95</f>
        <v>5178</v>
      </c>
      <c r="V103">
        <f>0</f>
        <v>0</v>
      </c>
      <c r="W103">
        <f>0</f>
        <v>0</v>
      </c>
      <c r="X103" s="69">
        <f>J96</f>
        <v>0.16</v>
      </c>
      <c r="Z103" s="70">
        <f>L96</f>
        <v>0</v>
      </c>
      <c r="AB103" s="69">
        <f>J97</f>
        <v>146.83000000000001</v>
      </c>
      <c r="AN103">
        <f>IF(Source!BI69&lt;=1,J95+J96+J97+J101+J102, 0)</f>
        <v>645.08999999999992</v>
      </c>
      <c r="AO103">
        <f>IF(Source!BI69&lt;=1,J97, 0)</f>
        <v>146.83000000000001</v>
      </c>
      <c r="AP103">
        <f>IF(Source!BI69&lt;=1,J96, 0)</f>
        <v>0.16</v>
      </c>
      <c r="AQ103">
        <f>IF(Source!BI69&lt;=1,J95, 0)</f>
        <v>213.78</v>
      </c>
      <c r="AX103">
        <f>IF(Source!BI69=2,J95+J96+J97+J101+J102, 0)</f>
        <v>0</v>
      </c>
      <c r="AY103">
        <f>IF(Source!BI69=2,J97, 0)</f>
        <v>0</v>
      </c>
      <c r="AZ103">
        <f>IF(Source!BI69=2,J96, 0)</f>
        <v>0</v>
      </c>
      <c r="BA103">
        <f>IF(Source!BI69=2,J95, 0)</f>
        <v>0</v>
      </c>
    </row>
    <row r="104" spans="1:71" ht="27.6">
      <c r="A104" s="110" t="str">
        <f>Source!E70</f>
        <v>4</v>
      </c>
      <c r="B104" s="111" t="str">
        <f>Source!F70</f>
        <v>402-0083</v>
      </c>
      <c r="C104" s="111" t="str">
        <f>Source!G70</f>
        <v>Раствор готовый отделочный тяжелый, цементно-известковый 1:1:6</v>
      </c>
      <c r="D104" s="81" t="str">
        <f>Source!H70</f>
        <v>м3</v>
      </c>
      <c r="E104" s="82">
        <f>Source!K70</f>
        <v>-0.25740000000000002</v>
      </c>
      <c r="F104" s="82"/>
      <c r="G104" s="82">
        <f>Source!I70</f>
        <v>-0.25740000000000002</v>
      </c>
      <c r="H104" s="83">
        <f>Source!AL70</f>
        <v>570.03</v>
      </c>
      <c r="I104" s="84"/>
      <c r="J104" s="85">
        <f>ROUND(Source!AC70*Source!I70, 2)</f>
        <v>-146.72999999999999</v>
      </c>
      <c r="K104" s="84"/>
      <c r="L104" s="86"/>
      <c r="AC104">
        <f>Source!X70</f>
        <v>0</v>
      </c>
      <c r="AD104">
        <f>Source!HK70</f>
        <v>0</v>
      </c>
      <c r="AE104">
        <f>Source!Y70</f>
        <v>0</v>
      </c>
      <c r="AF104">
        <f>Source!HL70</f>
        <v>0</v>
      </c>
      <c r="AS104">
        <f>IF(Source!BI70&lt;=1,AD104, 0)</f>
        <v>0</v>
      </c>
      <c r="AT104">
        <f>IF(Source!BI70&lt;=1,AF104, 0)</f>
        <v>0</v>
      </c>
      <c r="BC104">
        <f>IF(Source!BI70=2,AD104, 0)</f>
        <v>0</v>
      </c>
      <c r="BD104">
        <f>IF(Source!BI70=2,AF104, 0)</f>
        <v>0</v>
      </c>
    </row>
    <row r="106" spans="1:71">
      <c r="A106" s="71"/>
      <c r="B106" s="71"/>
      <c r="C106" s="72" t="str">
        <f>"Объем: "&amp;Source!K70&amp;"="&amp;Source!I69&amp;"*"&amp;"-"&amp;"2,2"</f>
        <v>Объем: -0,2574=0,117*-2,2</v>
      </c>
      <c r="D106" s="71"/>
      <c r="E106" s="71"/>
      <c r="F106" s="71"/>
      <c r="G106" s="71"/>
      <c r="H106" s="71"/>
      <c r="I106" s="71"/>
      <c r="J106" s="71"/>
      <c r="K106" s="71"/>
      <c r="L106" s="71"/>
    </row>
    <row r="107" spans="1:71" ht="13.8">
      <c r="C107" s="95" t="s">
        <v>1386</v>
      </c>
      <c r="D107" s="95"/>
      <c r="E107" s="95"/>
      <c r="F107" s="95"/>
      <c r="G107" s="95"/>
      <c r="H107" s="95"/>
      <c r="I107" s="95">
        <f>J104</f>
        <v>-146.72999999999999</v>
      </c>
      <c r="J107" s="95"/>
      <c r="O107" s="69">
        <f>I107</f>
        <v>-146.72999999999999</v>
      </c>
      <c r="P107">
        <f>K107</f>
        <v>0</v>
      </c>
      <c r="Q107">
        <f>0</f>
        <v>0</v>
      </c>
      <c r="R107">
        <f>0</f>
        <v>0</v>
      </c>
      <c r="U107">
        <f>0</f>
        <v>0</v>
      </c>
      <c r="V107">
        <f>0</f>
        <v>0</v>
      </c>
      <c r="W107">
        <f>0</f>
        <v>0</v>
      </c>
      <c r="X107">
        <f>0</f>
        <v>0</v>
      </c>
      <c r="Z107">
        <f>0</f>
        <v>0</v>
      </c>
      <c r="AB107" s="69">
        <f>I107</f>
        <v>-146.72999999999999</v>
      </c>
      <c r="AN107">
        <f>IF(Source!BI70&lt;=1,J104, 0)</f>
        <v>-146.72999999999999</v>
      </c>
      <c r="AO107">
        <f>IF(Source!BI70&lt;=1,I107, 0)</f>
        <v>-146.72999999999999</v>
      </c>
      <c r="AP107">
        <f>IF(Source!BI70&lt;=1,0, 0)</f>
        <v>0</v>
      </c>
      <c r="AQ107">
        <f>IF(Source!BI70&lt;=1,0, 0)</f>
        <v>0</v>
      </c>
      <c r="AX107">
        <f>IF(Source!BI70=2,J104, 0)</f>
        <v>0</v>
      </c>
      <c r="AY107">
        <f>IF(Source!BI70=2,I107, 0)</f>
        <v>0</v>
      </c>
      <c r="AZ107">
        <f>IF(Source!BI70=2,0, 0)</f>
        <v>0</v>
      </c>
      <c r="BA107">
        <f>IF(Source!BI70=2,0, 0)</f>
        <v>0</v>
      </c>
    </row>
    <row r="108" spans="1:71" ht="41.4">
      <c r="A108" s="110" t="str">
        <f>Source!E71</f>
        <v>5</v>
      </c>
      <c r="B108" s="111" t="str">
        <f>Source!F71</f>
        <v>ТЦ_01.7.10.14_69_</v>
      </c>
      <c r="C108" s="111" t="str">
        <f>Source!G71</f>
        <v>Смеси штукатурные, марка Capatect  Leichtgrundputz 170 / Расход 36 кг/м2/30мм           (  30,83/6,17)</v>
      </c>
      <c r="D108" s="81" t="str">
        <f>Source!H71</f>
        <v>кг</v>
      </c>
      <c r="E108" s="82">
        <f>Source!K71</f>
        <v>421.2</v>
      </c>
      <c r="F108" s="82"/>
      <c r="G108" s="82">
        <f>Source!I71</f>
        <v>421.2</v>
      </c>
      <c r="H108" s="83">
        <f>Source!AL71</f>
        <v>30.83</v>
      </c>
      <c r="I108" s="84"/>
      <c r="J108" s="85">
        <f>Source!P71</f>
        <v>2104.6999999999998</v>
      </c>
      <c r="K108" s="84">
        <f>IF(Source!BC71&lt;&gt; 0, Source!BC71, 1)</f>
        <v>6.17</v>
      </c>
      <c r="L108" s="86">
        <f>Source!HG71</f>
        <v>12986</v>
      </c>
      <c r="AC108">
        <f>Source!X71</f>
        <v>0</v>
      </c>
      <c r="AD108">
        <f>Source!HK71</f>
        <v>0</v>
      </c>
      <c r="AE108">
        <f>Source!Y71</f>
        <v>0</v>
      </c>
      <c r="AF108">
        <f>Source!HL71</f>
        <v>0</v>
      </c>
      <c r="AS108">
        <f>IF(Source!BI71&lt;=1,AD108, 0)</f>
        <v>0</v>
      </c>
      <c r="AT108">
        <f>IF(Source!BI71&lt;=1,AF108, 0)</f>
        <v>0</v>
      </c>
      <c r="BC108">
        <f>IF(Source!BI71=2,AD108, 0)</f>
        <v>0</v>
      </c>
      <c r="BD108">
        <f>IF(Source!BI71=2,AF108, 0)</f>
        <v>0</v>
      </c>
    </row>
    <row r="110" spans="1:71">
      <c r="A110" s="71"/>
      <c r="B110" s="71"/>
      <c r="C110" s="72" t="str">
        <f>"Объем: "&amp;Source!K71&amp;"=36*"&amp;"11,7"</f>
        <v>Объем: 421,2=36*11,7</v>
      </c>
      <c r="D110" s="71"/>
      <c r="E110" s="71"/>
      <c r="F110" s="71"/>
      <c r="G110" s="71"/>
      <c r="H110" s="71"/>
      <c r="I110" s="71"/>
      <c r="J110" s="71"/>
      <c r="K110" s="71"/>
      <c r="L110" s="71"/>
    </row>
    <row r="111" spans="1:71" ht="13.8">
      <c r="C111" s="95" t="s">
        <v>1386</v>
      </c>
      <c r="D111" s="95"/>
      <c r="E111" s="95"/>
      <c r="F111" s="95"/>
      <c r="G111" s="95"/>
      <c r="H111" s="95"/>
      <c r="I111" s="95">
        <f>J108</f>
        <v>2104.6999999999998</v>
      </c>
      <c r="J111" s="95"/>
      <c r="K111" s="96">
        <f>L108</f>
        <v>12986</v>
      </c>
      <c r="L111" s="96"/>
      <c r="O111" s="69">
        <f>I111</f>
        <v>2104.6999999999998</v>
      </c>
      <c r="P111" s="70">
        <f>K111</f>
        <v>12986</v>
      </c>
      <c r="Q111">
        <f>0</f>
        <v>0</v>
      </c>
      <c r="R111">
        <f>0</f>
        <v>0</v>
      </c>
      <c r="U111">
        <f>0</f>
        <v>0</v>
      </c>
      <c r="V111">
        <f>0</f>
        <v>0</v>
      </c>
      <c r="W111">
        <f>0</f>
        <v>0</v>
      </c>
      <c r="X111">
        <f>0</f>
        <v>0</v>
      </c>
      <c r="Z111">
        <f>0</f>
        <v>0</v>
      </c>
      <c r="AB111" s="69">
        <f>I111</f>
        <v>2104.6999999999998</v>
      </c>
      <c r="AN111">
        <f>IF(Source!BI71&lt;=1,J108, 0)</f>
        <v>2104.6999999999998</v>
      </c>
      <c r="AO111">
        <f>IF(Source!BI71&lt;=1,I111, 0)</f>
        <v>2104.6999999999998</v>
      </c>
      <c r="AP111">
        <f>IF(Source!BI71&lt;=1,0, 0)</f>
        <v>0</v>
      </c>
      <c r="AQ111">
        <f>IF(Source!BI71&lt;=1,0, 0)</f>
        <v>0</v>
      </c>
      <c r="AX111">
        <f>IF(Source!BI71=2,J108, 0)</f>
        <v>0</v>
      </c>
      <c r="AY111">
        <f>IF(Source!BI71=2,I111, 0)</f>
        <v>0</v>
      </c>
      <c r="AZ111">
        <f>IF(Source!BI71=2,0, 0)</f>
        <v>0</v>
      </c>
      <c r="BA111">
        <f>IF(Source!BI71=2,0, 0)</f>
        <v>0</v>
      </c>
      <c r="BQ111" s="69">
        <f>I111</f>
        <v>2104.6999999999998</v>
      </c>
      <c r="BS111" s="70">
        <f>K111</f>
        <v>12986</v>
      </c>
    </row>
    <row r="112" spans="1:71" ht="147">
      <c r="A112" s="110" t="str">
        <f>Source!E72</f>
        <v>6</v>
      </c>
      <c r="B112" s="111" t="str">
        <f>Source!F72</f>
        <v>15-04-019-5</v>
      </c>
      <c r="C112" s="111" t="s">
        <v>1413</v>
      </c>
      <c r="D112" s="81" t="str">
        <f>Source!H72</f>
        <v>100 м2 окрашиваемой поверхности</v>
      </c>
      <c r="E112" s="82">
        <f>Source!K72</f>
        <v>0.11700000000000001</v>
      </c>
      <c r="F112" s="82"/>
      <c r="G112" s="82">
        <f>Source!I72</f>
        <v>0.11700000000000001</v>
      </c>
      <c r="H112" s="83"/>
      <c r="I112" s="84"/>
      <c r="J112" s="85"/>
      <c r="K112" s="84"/>
      <c r="L112" s="86"/>
      <c r="AC112">
        <f>Source!X72</f>
        <v>17.239999999999998</v>
      </c>
      <c r="AD112">
        <f>Source!HK72</f>
        <v>418</v>
      </c>
      <c r="AE112">
        <f>Source!Y72</f>
        <v>7.98</v>
      </c>
      <c r="AF112">
        <f>Source!HL72</f>
        <v>193</v>
      </c>
      <c r="AS112">
        <f>IF(Source!BI72&lt;=1,AD112, 0)</f>
        <v>418</v>
      </c>
      <c r="AT112">
        <f>IF(Source!BI72&lt;=1,AF112, 0)</f>
        <v>193</v>
      </c>
      <c r="BC112">
        <f>IF(Source!BI72=2,AD112, 0)</f>
        <v>0</v>
      </c>
      <c r="BD112">
        <f>IF(Source!BI72=2,AF112, 0)</f>
        <v>0</v>
      </c>
    </row>
    <row r="114" spans="1:56">
      <c r="C114" s="67" t="str">
        <f>"Объем: "&amp;Source!K72&amp;"=11,7/"&amp;"100"</f>
        <v>Объем: 0,117=11,7/100</v>
      </c>
    </row>
    <row r="115" spans="1:56" ht="14.4">
      <c r="A115" s="110"/>
      <c r="B115" s="112">
        <v>1</v>
      </c>
      <c r="C115" s="111" t="s">
        <v>1373</v>
      </c>
      <c r="D115" s="81"/>
      <c r="E115" s="82"/>
      <c r="F115" s="82"/>
      <c r="G115" s="82"/>
      <c r="H115" s="83">
        <f>Source!AO72</f>
        <v>123.79</v>
      </c>
      <c r="I115" s="84">
        <f>ROUND(1.15*1.15,7)</f>
        <v>1.3225</v>
      </c>
      <c r="J115" s="85">
        <f>ROUND(Source!AF72*Source!I72, 2)</f>
        <v>19.149999999999999</v>
      </c>
      <c r="K115" s="84">
        <f>IF(Source!BA72&lt;&gt; 0, Source!BA72, 1)</f>
        <v>24.22</v>
      </c>
      <c r="L115" s="86">
        <f>Source!HJ72</f>
        <v>464</v>
      </c>
    </row>
    <row r="116" spans="1:56" ht="14.4">
      <c r="A116" s="110"/>
      <c r="B116" s="112">
        <v>3</v>
      </c>
      <c r="C116" s="111" t="s">
        <v>1374</v>
      </c>
      <c r="D116" s="81"/>
      <c r="E116" s="82"/>
      <c r="F116" s="82"/>
      <c r="G116" s="82"/>
      <c r="H116" s="83">
        <f>Source!AM72</f>
        <v>7.48</v>
      </c>
      <c r="I116" s="84">
        <f>ROUND(1.25*1.15,7)</f>
        <v>1.4375</v>
      </c>
      <c r="J116" s="85">
        <f>ROUND(Source!AD72*Source!I72, 2)</f>
        <v>1.26</v>
      </c>
      <c r="K116" s="84"/>
      <c r="L116" s="86"/>
    </row>
    <row r="117" spans="1:56" ht="14.4">
      <c r="A117" s="110"/>
      <c r="B117" s="112">
        <v>4</v>
      </c>
      <c r="C117" s="111" t="s">
        <v>1408</v>
      </c>
      <c r="D117" s="81"/>
      <c r="E117" s="82"/>
      <c r="F117" s="82"/>
      <c r="G117" s="82"/>
      <c r="H117" s="83">
        <f>Source!AL72</f>
        <v>611.53</v>
      </c>
      <c r="I117" s="84"/>
      <c r="J117" s="85">
        <f>ROUND(Source!AC72*Source!I72, 2)</f>
        <v>71.55</v>
      </c>
      <c r="K117" s="84"/>
      <c r="L117" s="86"/>
    </row>
    <row r="118" spans="1:56" ht="14.4">
      <c r="A118" s="110"/>
      <c r="B118" s="111"/>
      <c r="C118" s="113" t="s">
        <v>1376</v>
      </c>
      <c r="D118" s="89" t="s">
        <v>1377</v>
      </c>
      <c r="E118" s="90">
        <f>Source!AQ72</f>
        <v>13.8</v>
      </c>
      <c r="F118" s="90">
        <f>ROUND(1.15*1.15,7)</f>
        <v>1.3225</v>
      </c>
      <c r="G118" s="90">
        <f>ROUND(Source!U72, 7)</f>
        <v>2.1353084999999998</v>
      </c>
      <c r="H118" s="91"/>
      <c r="I118" s="92"/>
      <c r="J118" s="93"/>
      <c r="K118" s="92"/>
      <c r="L118" s="94"/>
    </row>
    <row r="119" spans="1:56" ht="14.4">
      <c r="A119" s="110"/>
      <c r="B119" s="111"/>
      <c r="C119" s="111" t="s">
        <v>1379</v>
      </c>
      <c r="D119" s="81"/>
      <c r="E119" s="82"/>
      <c r="F119" s="82"/>
      <c r="G119" s="82"/>
      <c r="H119" s="83">
        <f>H115+H116+H117</f>
        <v>742.8</v>
      </c>
      <c r="I119" s="84"/>
      <c r="J119" s="85">
        <f>J115+J116+J117</f>
        <v>91.96</v>
      </c>
      <c r="K119" s="84"/>
      <c r="L119" s="86"/>
    </row>
    <row r="120" spans="1:56" ht="14.4">
      <c r="A120" s="110"/>
      <c r="B120" s="111"/>
      <c r="C120" s="111" t="s">
        <v>1380</v>
      </c>
      <c r="D120" s="81"/>
      <c r="E120" s="82"/>
      <c r="F120" s="82"/>
      <c r="G120" s="82"/>
      <c r="H120" s="83"/>
      <c r="I120" s="84"/>
      <c r="J120" s="85">
        <f>SUM(Q112:Q123)+SUM(V112:V123)</f>
        <v>19.149999999999999</v>
      </c>
      <c r="K120" s="84"/>
      <c r="L120" s="86">
        <f>SUM(U112:U123)+SUM(W112:W123)</f>
        <v>464</v>
      </c>
    </row>
    <row r="121" spans="1:56" ht="14.4">
      <c r="A121" s="110"/>
      <c r="B121" s="111" t="s">
        <v>1414</v>
      </c>
      <c r="C121" s="111" t="s">
        <v>1415</v>
      </c>
      <c r="D121" s="81" t="s">
        <v>1383</v>
      </c>
      <c r="E121" s="82">
        <f>Source!BZ72</f>
        <v>100</v>
      </c>
      <c r="F121" s="82">
        <f>ROUND(0.9,7)</f>
        <v>0.9</v>
      </c>
      <c r="G121" s="82">
        <f>Source!AT72</f>
        <v>90</v>
      </c>
      <c r="H121" s="83"/>
      <c r="I121" s="84"/>
      <c r="J121" s="85">
        <f>SUM(AC112:AC123)</f>
        <v>17.239999999999998</v>
      </c>
      <c r="K121" s="84"/>
      <c r="L121" s="86">
        <f>SUM(AD112:AD123)</f>
        <v>418</v>
      </c>
    </row>
    <row r="122" spans="1:56" ht="14.4">
      <c r="A122" s="114"/>
      <c r="B122" s="113" t="s">
        <v>1416</v>
      </c>
      <c r="C122" s="113" t="s">
        <v>1417</v>
      </c>
      <c r="D122" s="89" t="s">
        <v>1383</v>
      </c>
      <c r="E122" s="90">
        <f>Source!CA72</f>
        <v>49</v>
      </c>
      <c r="F122" s="90">
        <f>ROUND(0.85,7)</f>
        <v>0.85</v>
      </c>
      <c r="G122" s="90">
        <f>Source!AU72</f>
        <v>41.65</v>
      </c>
      <c r="H122" s="91"/>
      <c r="I122" s="92"/>
      <c r="J122" s="93">
        <f>SUM(AE112:AE123)</f>
        <v>7.98</v>
      </c>
      <c r="K122" s="92"/>
      <c r="L122" s="94">
        <f>SUM(AF112:AF123)</f>
        <v>193</v>
      </c>
    </row>
    <row r="123" spans="1:56" ht="13.8">
      <c r="C123" s="95" t="s">
        <v>1386</v>
      </c>
      <c r="D123" s="95"/>
      <c r="E123" s="95"/>
      <c r="F123" s="95"/>
      <c r="G123" s="95"/>
      <c r="H123" s="95"/>
      <c r="I123" s="95">
        <f>J115+J116+J117+J121+J122</f>
        <v>117.17999999999999</v>
      </c>
      <c r="J123" s="95"/>
      <c r="O123" s="69">
        <f>I123</f>
        <v>117.17999999999999</v>
      </c>
      <c r="P123">
        <f>K123</f>
        <v>0</v>
      </c>
      <c r="Q123" s="69">
        <f>J115</f>
        <v>19.149999999999999</v>
      </c>
      <c r="R123" s="69">
        <f>J115</f>
        <v>19.149999999999999</v>
      </c>
      <c r="U123" s="70">
        <f>L115</f>
        <v>464</v>
      </c>
      <c r="V123">
        <f>0</f>
        <v>0</v>
      </c>
      <c r="W123">
        <f>0</f>
        <v>0</v>
      </c>
      <c r="X123" s="69">
        <f>J116</f>
        <v>1.26</v>
      </c>
      <c r="Z123" s="70">
        <f>L116</f>
        <v>0</v>
      </c>
      <c r="AB123" s="69">
        <f>J117</f>
        <v>71.55</v>
      </c>
      <c r="AN123">
        <f>IF(Source!BI72&lt;=1,J115+J116+J117+J121+J122, 0)</f>
        <v>117.17999999999999</v>
      </c>
      <c r="AO123">
        <f>IF(Source!BI72&lt;=1,J117, 0)</f>
        <v>71.55</v>
      </c>
      <c r="AP123">
        <f>IF(Source!BI72&lt;=1,J116, 0)</f>
        <v>1.26</v>
      </c>
      <c r="AQ123">
        <f>IF(Source!BI72&lt;=1,J115, 0)</f>
        <v>19.149999999999999</v>
      </c>
      <c r="AX123">
        <f>IF(Source!BI72=2,J115+J116+J117+J121+J122, 0)</f>
        <v>0</v>
      </c>
      <c r="AY123">
        <f>IF(Source!BI72=2,J117, 0)</f>
        <v>0</v>
      </c>
      <c r="AZ123">
        <f>IF(Source!BI72=2,J116, 0)</f>
        <v>0</v>
      </c>
      <c r="BA123">
        <f>IF(Source!BI72=2,J115, 0)</f>
        <v>0</v>
      </c>
    </row>
    <row r="124" spans="1:56" ht="14.4">
      <c r="A124" s="110" t="str">
        <f>Source!E73</f>
        <v>7</v>
      </c>
      <c r="B124" s="111" t="str">
        <f>Source!F73</f>
        <v>101-4163</v>
      </c>
      <c r="C124" s="111" t="str">
        <f>Source!G73</f>
        <v>Грунтовка акриловая НОРТЕКС-ГРУНТ</v>
      </c>
      <c r="D124" s="81" t="str">
        <f>Source!H73</f>
        <v>кг</v>
      </c>
      <c r="E124" s="82">
        <f>Source!K73</f>
        <v>-1.5209999999999999</v>
      </c>
      <c r="F124" s="82"/>
      <c r="G124" s="82">
        <f>Source!I73</f>
        <v>-1.5209999999999999</v>
      </c>
      <c r="H124" s="83">
        <f>Source!AL73</f>
        <v>16.579999999999998</v>
      </c>
      <c r="I124" s="84"/>
      <c r="J124" s="85">
        <f>ROUND(Source!AC73*Source!I73, 2)</f>
        <v>-25.22</v>
      </c>
      <c r="K124" s="84"/>
      <c r="L124" s="86"/>
      <c r="AC124">
        <f>Source!X73</f>
        <v>0</v>
      </c>
      <c r="AD124">
        <f>Source!HK73</f>
        <v>0</v>
      </c>
      <c r="AE124">
        <f>Source!Y73</f>
        <v>0</v>
      </c>
      <c r="AF124">
        <f>Source!HL73</f>
        <v>0</v>
      </c>
      <c r="AS124">
        <f>IF(Source!BI73&lt;=1,AD124, 0)</f>
        <v>0</v>
      </c>
      <c r="AT124">
        <f>IF(Source!BI73&lt;=1,AF124, 0)</f>
        <v>0</v>
      </c>
      <c r="BC124">
        <f>IF(Source!BI73=2,AD124, 0)</f>
        <v>0</v>
      </c>
      <c r="BD124">
        <f>IF(Source!BI73=2,AF124, 0)</f>
        <v>0</v>
      </c>
    </row>
    <row r="126" spans="1:56">
      <c r="A126" s="71"/>
      <c r="B126" s="71"/>
      <c r="C126" s="72" t="str">
        <f>"Объем: "&amp;Source!K73&amp;"="&amp;Source!I72&amp;"*"&amp;"-"&amp;"13"</f>
        <v>Объем: -1,521=0,117*-13</v>
      </c>
      <c r="D126" s="71"/>
      <c r="E126" s="71"/>
      <c r="F126" s="71"/>
      <c r="G126" s="71"/>
      <c r="H126" s="71"/>
      <c r="I126" s="71"/>
      <c r="J126" s="71"/>
      <c r="K126" s="71"/>
      <c r="L126" s="71"/>
    </row>
    <row r="127" spans="1:56" ht="13.8">
      <c r="C127" s="95" t="s">
        <v>1386</v>
      </c>
      <c r="D127" s="95"/>
      <c r="E127" s="95"/>
      <c r="F127" s="95"/>
      <c r="G127" s="95"/>
      <c r="H127" s="95"/>
      <c r="I127" s="95">
        <f>J124</f>
        <v>-25.22</v>
      </c>
      <c r="J127" s="95"/>
      <c r="O127" s="69">
        <f>I127</f>
        <v>-25.22</v>
      </c>
      <c r="P127">
        <f>K127</f>
        <v>0</v>
      </c>
      <c r="Q127">
        <f>0</f>
        <v>0</v>
      </c>
      <c r="R127">
        <f>0</f>
        <v>0</v>
      </c>
      <c r="U127">
        <f>0</f>
        <v>0</v>
      </c>
      <c r="V127">
        <f>0</f>
        <v>0</v>
      </c>
      <c r="W127">
        <f>0</f>
        <v>0</v>
      </c>
      <c r="X127">
        <f>0</f>
        <v>0</v>
      </c>
      <c r="Z127">
        <f>0</f>
        <v>0</v>
      </c>
      <c r="AB127" s="69">
        <f>I127</f>
        <v>-25.22</v>
      </c>
      <c r="AN127">
        <f>IF(Source!BI73&lt;=1,J124, 0)</f>
        <v>-25.22</v>
      </c>
      <c r="AO127">
        <f>IF(Source!BI73&lt;=1,I127, 0)</f>
        <v>-25.22</v>
      </c>
      <c r="AP127">
        <f>IF(Source!BI73&lt;=1,0, 0)</f>
        <v>0</v>
      </c>
      <c r="AQ127">
        <f>IF(Source!BI73&lt;=1,0, 0)</f>
        <v>0</v>
      </c>
      <c r="AX127">
        <f>IF(Source!BI73=2,J124, 0)</f>
        <v>0</v>
      </c>
      <c r="AY127">
        <f>IF(Source!BI73=2,I127, 0)</f>
        <v>0</v>
      </c>
      <c r="AZ127">
        <f>IF(Source!BI73=2,0, 0)</f>
        <v>0</v>
      </c>
      <c r="BA127">
        <f>IF(Source!BI73=2,0, 0)</f>
        <v>0</v>
      </c>
    </row>
    <row r="128" spans="1:56" ht="27.6">
      <c r="A128" s="110" t="str">
        <f>Source!E74</f>
        <v>8</v>
      </c>
      <c r="B128" s="111" t="str">
        <f>Source!F74</f>
        <v>101-3469</v>
      </c>
      <c r="C128" s="111" t="str">
        <f>Source!G74</f>
        <v>Краска фактурная ВД-АК-1180, фасадная ВГТ</v>
      </c>
      <c r="D128" s="81" t="str">
        <f>Source!H74</f>
        <v>т</v>
      </c>
      <c r="E128" s="82">
        <f>Source!K74</f>
        <v>-4.4460000000000003E-3</v>
      </c>
      <c r="F128" s="82"/>
      <c r="G128" s="82">
        <f>Source!I74</f>
        <v>-4.4460000000000003E-3</v>
      </c>
      <c r="H128" s="83">
        <f>Source!AL74</f>
        <v>7439.37</v>
      </c>
      <c r="I128" s="84"/>
      <c r="J128" s="85">
        <f>ROUND(Source!AC74*Source!I74, 2)</f>
        <v>-33.08</v>
      </c>
      <c r="K128" s="84"/>
      <c r="L128" s="86"/>
      <c r="AC128">
        <f>Source!X74</f>
        <v>0</v>
      </c>
      <c r="AD128">
        <f>Source!HK74</f>
        <v>0</v>
      </c>
      <c r="AE128">
        <f>Source!Y74</f>
        <v>0</v>
      </c>
      <c r="AF128">
        <f>Source!HL74</f>
        <v>0</v>
      </c>
      <c r="AS128">
        <f>IF(Source!BI74&lt;=1,AD128, 0)</f>
        <v>0</v>
      </c>
      <c r="AT128">
        <f>IF(Source!BI74&lt;=1,AF128, 0)</f>
        <v>0</v>
      </c>
      <c r="BC128">
        <f>IF(Source!BI74=2,AD128, 0)</f>
        <v>0</v>
      </c>
      <c r="BD128">
        <f>IF(Source!BI74=2,AF128, 0)</f>
        <v>0</v>
      </c>
    </row>
    <row r="130" spans="1:71">
      <c r="A130" s="71"/>
      <c r="B130" s="71"/>
      <c r="C130" s="72" t="str">
        <f>"Объем: "&amp;Source!K74&amp;"="&amp;Source!I72&amp;"*"&amp;"-"&amp;"0,038"</f>
        <v>Объем: -0,004446=0,117*-0,038</v>
      </c>
      <c r="D130" s="71"/>
      <c r="E130" s="71"/>
      <c r="F130" s="71"/>
      <c r="G130" s="71"/>
      <c r="H130" s="71"/>
      <c r="I130" s="71"/>
      <c r="J130" s="71"/>
      <c r="K130" s="71"/>
      <c r="L130" s="71"/>
    </row>
    <row r="131" spans="1:71" ht="13.8">
      <c r="C131" s="95" t="s">
        <v>1386</v>
      </c>
      <c r="D131" s="95"/>
      <c r="E131" s="95"/>
      <c r="F131" s="95"/>
      <c r="G131" s="95"/>
      <c r="H131" s="95"/>
      <c r="I131" s="95">
        <f>J128</f>
        <v>-33.08</v>
      </c>
      <c r="J131" s="95"/>
      <c r="O131" s="69">
        <f>I131</f>
        <v>-33.08</v>
      </c>
      <c r="P131">
        <f>K131</f>
        <v>0</v>
      </c>
      <c r="Q131">
        <f>0</f>
        <v>0</v>
      </c>
      <c r="R131">
        <f>0</f>
        <v>0</v>
      </c>
      <c r="U131">
        <f>0</f>
        <v>0</v>
      </c>
      <c r="V131">
        <f>0</f>
        <v>0</v>
      </c>
      <c r="W131">
        <f>0</f>
        <v>0</v>
      </c>
      <c r="X131">
        <f>0</f>
        <v>0</v>
      </c>
      <c r="Z131">
        <f>0</f>
        <v>0</v>
      </c>
      <c r="AB131" s="69">
        <f>I131</f>
        <v>-33.08</v>
      </c>
      <c r="AN131">
        <f>IF(Source!BI74&lt;=1,J128, 0)</f>
        <v>-33.08</v>
      </c>
      <c r="AO131">
        <f>IF(Source!BI74&lt;=1,I131, 0)</f>
        <v>-33.08</v>
      </c>
      <c r="AP131">
        <f>IF(Source!BI74&lt;=1,0, 0)</f>
        <v>0</v>
      </c>
      <c r="AQ131">
        <f>IF(Source!BI74&lt;=1,0, 0)</f>
        <v>0</v>
      </c>
      <c r="AX131">
        <f>IF(Source!BI74=2,J128, 0)</f>
        <v>0</v>
      </c>
      <c r="AY131">
        <f>IF(Source!BI74=2,I131, 0)</f>
        <v>0</v>
      </c>
      <c r="AZ131">
        <f>IF(Source!BI74=2,0, 0)</f>
        <v>0</v>
      </c>
      <c r="BA131">
        <f>IF(Source!BI74=2,0, 0)</f>
        <v>0</v>
      </c>
    </row>
    <row r="132" spans="1:71" ht="27.6">
      <c r="A132" s="110" t="str">
        <f>Source!E75</f>
        <v>9</v>
      </c>
      <c r="B132" s="111" t="str">
        <f>Source!F75</f>
        <v>ТЦ-14.4.00.00_69_</v>
      </c>
      <c r="C132" s="111" t="str">
        <f>Source!G75</f>
        <v>Краска акриловая  CAPAROL AmphiSilan plus (886,25/6,17)</v>
      </c>
      <c r="D132" s="81" t="str">
        <f>Source!H75</f>
        <v>л</v>
      </c>
      <c r="E132" s="82">
        <f>Source!K75</f>
        <v>4.68</v>
      </c>
      <c r="F132" s="82"/>
      <c r="G132" s="82">
        <f>Source!I75</f>
        <v>4.68</v>
      </c>
      <c r="H132" s="83">
        <f>Source!AL75</f>
        <v>886.25</v>
      </c>
      <c r="I132" s="84"/>
      <c r="J132" s="85">
        <f>Source!P75</f>
        <v>672.29</v>
      </c>
      <c r="K132" s="84">
        <f>IF(Source!BC75&lt;&gt; 0, Source!BC75, 1)</f>
        <v>6.17</v>
      </c>
      <c r="L132" s="86">
        <f>Source!HG75</f>
        <v>4148</v>
      </c>
      <c r="AC132">
        <f>Source!X75</f>
        <v>0</v>
      </c>
      <c r="AD132">
        <f>Source!HK75</f>
        <v>0</v>
      </c>
      <c r="AE132">
        <f>Source!Y75</f>
        <v>0</v>
      </c>
      <c r="AF132">
        <f>Source!HL75</f>
        <v>0</v>
      </c>
      <c r="AS132">
        <f>IF(Source!BI75&lt;=1,AD132, 0)</f>
        <v>0</v>
      </c>
      <c r="AT132">
        <f>IF(Source!BI75&lt;=1,AF132, 0)</f>
        <v>0</v>
      </c>
      <c r="BC132">
        <f>IF(Source!BI75=2,AD132, 0)</f>
        <v>0</v>
      </c>
      <c r="BD132">
        <f>IF(Source!BI75=2,AF132, 0)</f>
        <v>0</v>
      </c>
    </row>
    <row r="133" spans="1:71">
      <c r="A133" s="71"/>
      <c r="B133" s="71"/>
      <c r="C133" s="71"/>
      <c r="D133" s="71"/>
      <c r="E133" s="71"/>
      <c r="F133" s="71"/>
      <c r="G133" s="71"/>
      <c r="H133" s="71"/>
      <c r="I133" s="71"/>
      <c r="J133" s="71"/>
      <c r="K133" s="71"/>
      <c r="L133" s="71"/>
    </row>
    <row r="134" spans="1:71" ht="13.8">
      <c r="C134" s="95" t="s">
        <v>1386</v>
      </c>
      <c r="D134" s="95"/>
      <c r="E134" s="95"/>
      <c r="F134" s="95"/>
      <c r="G134" s="95"/>
      <c r="H134" s="95"/>
      <c r="I134" s="95">
        <f>J132</f>
        <v>672.29</v>
      </c>
      <c r="J134" s="95"/>
      <c r="K134" s="96">
        <f>L132</f>
        <v>4148</v>
      </c>
      <c r="L134" s="96"/>
      <c r="O134" s="69">
        <f>I134</f>
        <v>672.29</v>
      </c>
      <c r="P134" s="70">
        <f>K134</f>
        <v>4148</v>
      </c>
      <c r="Q134">
        <f>0</f>
        <v>0</v>
      </c>
      <c r="R134">
        <f>0</f>
        <v>0</v>
      </c>
      <c r="U134">
        <f>0</f>
        <v>0</v>
      </c>
      <c r="V134">
        <f>0</f>
        <v>0</v>
      </c>
      <c r="W134">
        <f>0</f>
        <v>0</v>
      </c>
      <c r="X134">
        <f>0</f>
        <v>0</v>
      </c>
      <c r="Z134">
        <f>0</f>
        <v>0</v>
      </c>
      <c r="AB134" s="69">
        <f>I134</f>
        <v>672.29</v>
      </c>
      <c r="AN134">
        <f>IF(Source!BI75&lt;=1,J132, 0)</f>
        <v>672.29</v>
      </c>
      <c r="AO134">
        <f>IF(Source!BI75&lt;=1,I134, 0)</f>
        <v>672.29</v>
      </c>
      <c r="AP134">
        <f>IF(Source!BI75&lt;=1,0, 0)</f>
        <v>0</v>
      </c>
      <c r="AQ134">
        <f>IF(Source!BI75&lt;=1,0, 0)</f>
        <v>0</v>
      </c>
      <c r="AX134">
        <f>IF(Source!BI75=2,J132, 0)</f>
        <v>0</v>
      </c>
      <c r="AY134">
        <f>IF(Source!BI75=2,I134, 0)</f>
        <v>0</v>
      </c>
      <c r="AZ134">
        <f>IF(Source!BI75=2,0, 0)</f>
        <v>0</v>
      </c>
      <c r="BA134">
        <f>IF(Source!BI75=2,0, 0)</f>
        <v>0</v>
      </c>
      <c r="BQ134" s="69">
        <f>I134</f>
        <v>672.29</v>
      </c>
      <c r="BS134" s="70">
        <f>K134</f>
        <v>4148</v>
      </c>
    </row>
    <row r="135" spans="1:71" ht="27.6">
      <c r="A135" s="110" t="str">
        <f>Source!E76</f>
        <v>10</v>
      </c>
      <c r="B135" s="111" t="str">
        <f>Source!F76</f>
        <v>ТЦ-14.4.00.00_69_</v>
      </c>
      <c r="C135" s="111" t="str">
        <f>Source!G76</f>
        <v>Грунтовка акриловая  CAPAROL Putzfestiger (724,17/6,17)</v>
      </c>
      <c r="D135" s="81" t="str">
        <f>Source!H76</f>
        <v>л</v>
      </c>
      <c r="E135" s="82">
        <f>Source!K76</f>
        <v>3.51</v>
      </c>
      <c r="F135" s="82"/>
      <c r="G135" s="82">
        <f>Source!I76</f>
        <v>3.51</v>
      </c>
      <c r="H135" s="83">
        <f>Source!AL76</f>
        <v>724.17</v>
      </c>
      <c r="I135" s="84"/>
      <c r="J135" s="85">
        <f>Source!P76</f>
        <v>411.99</v>
      </c>
      <c r="K135" s="84">
        <f>IF(Source!BC76&lt;&gt; 0, Source!BC76, 1)</f>
        <v>6.17</v>
      </c>
      <c r="L135" s="86">
        <f>Source!HG76</f>
        <v>2542</v>
      </c>
      <c r="AC135">
        <f>Source!X76</f>
        <v>0</v>
      </c>
      <c r="AD135">
        <f>Source!HK76</f>
        <v>0</v>
      </c>
      <c r="AE135">
        <f>Source!Y76</f>
        <v>0</v>
      </c>
      <c r="AF135">
        <f>Source!HL76</f>
        <v>0</v>
      </c>
      <c r="AS135">
        <f>IF(Source!BI76&lt;=1,AD135, 0)</f>
        <v>0</v>
      </c>
      <c r="AT135">
        <f>IF(Source!BI76&lt;=1,AF135, 0)</f>
        <v>0</v>
      </c>
      <c r="BC135">
        <f>IF(Source!BI76=2,AD135, 0)</f>
        <v>0</v>
      </c>
      <c r="BD135">
        <f>IF(Source!BI76=2,AF135, 0)</f>
        <v>0</v>
      </c>
    </row>
    <row r="136" spans="1:71">
      <c r="A136" s="71"/>
      <c r="B136" s="71"/>
      <c r="C136" s="71"/>
      <c r="D136" s="71"/>
      <c r="E136" s="71"/>
      <c r="F136" s="71"/>
      <c r="G136" s="71"/>
      <c r="H136" s="71"/>
      <c r="I136" s="71"/>
      <c r="J136" s="71"/>
      <c r="K136" s="71"/>
      <c r="L136" s="71"/>
    </row>
    <row r="137" spans="1:71" ht="13.8">
      <c r="C137" s="95" t="s">
        <v>1386</v>
      </c>
      <c r="D137" s="95"/>
      <c r="E137" s="95"/>
      <c r="F137" s="95"/>
      <c r="G137" s="95"/>
      <c r="H137" s="95"/>
      <c r="I137" s="95">
        <f>J135</f>
        <v>411.99</v>
      </c>
      <c r="J137" s="95"/>
      <c r="K137" s="96">
        <f>L135</f>
        <v>2542</v>
      </c>
      <c r="L137" s="96"/>
      <c r="O137" s="69">
        <f>I137</f>
        <v>411.99</v>
      </c>
      <c r="P137" s="70">
        <f>K137</f>
        <v>2542</v>
      </c>
      <c r="Q137">
        <f>0</f>
        <v>0</v>
      </c>
      <c r="R137">
        <f>0</f>
        <v>0</v>
      </c>
      <c r="U137">
        <f>0</f>
        <v>0</v>
      </c>
      <c r="V137">
        <f>0</f>
        <v>0</v>
      </c>
      <c r="W137">
        <f>0</f>
        <v>0</v>
      </c>
      <c r="X137">
        <f>0</f>
        <v>0</v>
      </c>
      <c r="Z137">
        <f>0</f>
        <v>0</v>
      </c>
      <c r="AB137" s="69">
        <f>I137</f>
        <v>411.99</v>
      </c>
      <c r="AN137">
        <f>IF(Source!BI76&lt;=1,J135, 0)</f>
        <v>411.99</v>
      </c>
      <c r="AO137">
        <f>IF(Source!BI76&lt;=1,I137, 0)</f>
        <v>411.99</v>
      </c>
      <c r="AP137">
        <f>IF(Source!BI76&lt;=1,0, 0)</f>
        <v>0</v>
      </c>
      <c r="AQ137">
        <f>IF(Source!BI76&lt;=1,0, 0)</f>
        <v>0</v>
      </c>
      <c r="AX137">
        <f>IF(Source!BI76=2,J135, 0)</f>
        <v>0</v>
      </c>
      <c r="AY137">
        <f>IF(Source!BI76=2,I137, 0)</f>
        <v>0</v>
      </c>
      <c r="AZ137">
        <f>IF(Source!BI76=2,0, 0)</f>
        <v>0</v>
      </c>
      <c r="BA137">
        <f>IF(Source!BI76=2,0, 0)</f>
        <v>0</v>
      </c>
      <c r="BQ137" s="69">
        <f>I137</f>
        <v>411.99</v>
      </c>
      <c r="BS137" s="70">
        <f>K137</f>
        <v>2542</v>
      </c>
    </row>
    <row r="138" spans="1:71" ht="106.8">
      <c r="A138" s="110" t="str">
        <f>Source!E77</f>
        <v>11</v>
      </c>
      <c r="B138" s="111" t="str">
        <f>Source!F77</f>
        <v>53-16-1</v>
      </c>
      <c r="C138" s="111" t="s">
        <v>1418</v>
      </c>
      <c r="D138" s="81" t="str">
        <f>Source!H77</f>
        <v>1 м3 кладки</v>
      </c>
      <c r="E138" s="82">
        <f>Source!K77</f>
        <v>0.95</v>
      </c>
      <c r="F138" s="82"/>
      <c r="G138" s="82">
        <f>Source!I77</f>
        <v>0.95</v>
      </c>
      <c r="H138" s="83"/>
      <c r="I138" s="84"/>
      <c r="J138" s="85"/>
      <c r="K138" s="84"/>
      <c r="L138" s="86"/>
      <c r="AC138">
        <f>Source!X77</f>
        <v>280.95</v>
      </c>
      <c r="AD138">
        <f>Source!HK77</f>
        <v>6804</v>
      </c>
      <c r="AE138">
        <f>Source!Y77</f>
        <v>158.80000000000001</v>
      </c>
      <c r="AF138">
        <f>Source!HL77</f>
        <v>3846</v>
      </c>
      <c r="AS138">
        <f>IF(Source!BI77&lt;=1,AD138, 0)</f>
        <v>6804</v>
      </c>
      <c r="AT138">
        <f>IF(Source!BI77&lt;=1,AF138, 0)</f>
        <v>3846</v>
      </c>
      <c r="BC138">
        <f>IF(Source!BI77=2,AD138, 0)</f>
        <v>0</v>
      </c>
      <c r="BD138">
        <f>IF(Source!BI77=2,AF138, 0)</f>
        <v>0</v>
      </c>
    </row>
    <row r="140" spans="1:71">
      <c r="C140" s="67" t="str">
        <f>"Объем: "&amp;Source!K77&amp;"=2,5*"&amp;"0,38"</f>
        <v>Объем: 0,95=2,5*0,38</v>
      </c>
    </row>
    <row r="141" spans="1:71" ht="14.4">
      <c r="A141" s="110"/>
      <c r="B141" s="112">
        <v>1</v>
      </c>
      <c r="C141" s="111" t="s">
        <v>1373</v>
      </c>
      <c r="D141" s="81"/>
      <c r="E141" s="82"/>
      <c r="F141" s="82"/>
      <c r="G141" s="82"/>
      <c r="H141" s="83">
        <f>Source!AO77</f>
        <v>273.92</v>
      </c>
      <c r="I141" s="84">
        <f>ROUND(1.15,7)</f>
        <v>1.1499999999999999</v>
      </c>
      <c r="J141" s="85">
        <f>ROUND(Source!AF77*Source!I77, 2)</f>
        <v>299.26</v>
      </c>
      <c r="K141" s="84">
        <f>IF(Source!BA77&lt;&gt; 0, Source!BA77, 1)</f>
        <v>24.22</v>
      </c>
      <c r="L141" s="86">
        <f>Source!HJ77</f>
        <v>7248</v>
      </c>
    </row>
    <row r="142" spans="1:71" ht="14.4">
      <c r="A142" s="110"/>
      <c r="B142" s="112">
        <v>3</v>
      </c>
      <c r="C142" s="111" t="s">
        <v>1374</v>
      </c>
      <c r="D142" s="81"/>
      <c r="E142" s="82"/>
      <c r="F142" s="82"/>
      <c r="G142" s="82"/>
      <c r="H142" s="83">
        <f>Source!AM77</f>
        <v>28.79</v>
      </c>
      <c r="I142" s="84">
        <f>ROUND(1.15,7)</f>
        <v>1.1499999999999999</v>
      </c>
      <c r="J142" s="85">
        <f>ROUND(Source!AD77*Source!I77, 2)</f>
        <v>31.45</v>
      </c>
      <c r="K142" s="84"/>
      <c r="L142" s="86"/>
    </row>
    <row r="143" spans="1:71" ht="14.4">
      <c r="A143" s="110"/>
      <c r="B143" s="112">
        <v>2</v>
      </c>
      <c r="C143" s="111" t="s">
        <v>1375</v>
      </c>
      <c r="D143" s="81"/>
      <c r="E143" s="82"/>
      <c r="F143" s="82"/>
      <c r="G143" s="82"/>
      <c r="H143" s="83">
        <f>Source!AN77</f>
        <v>5.6</v>
      </c>
      <c r="I143" s="84">
        <f>ROUND(1.15,7)</f>
        <v>1.1499999999999999</v>
      </c>
      <c r="J143" s="87">
        <f>ROUND(Source!AE77*Source!I77, 2)</f>
        <v>6.12</v>
      </c>
      <c r="K143" s="84">
        <f>IF(Source!BS77&lt;&gt; 0, Source!BS77, 1)</f>
        <v>24.22</v>
      </c>
      <c r="L143" s="88">
        <f>Source!HI77</f>
        <v>148</v>
      </c>
    </row>
    <row r="144" spans="1:71" ht="14.4">
      <c r="A144" s="110"/>
      <c r="B144" s="112">
        <v>4</v>
      </c>
      <c r="C144" s="111" t="s">
        <v>1408</v>
      </c>
      <c r="D144" s="81"/>
      <c r="E144" s="82"/>
      <c r="F144" s="82"/>
      <c r="G144" s="82"/>
      <c r="H144" s="83">
        <f>Source!AL77</f>
        <v>776.84</v>
      </c>
      <c r="I144" s="84"/>
      <c r="J144" s="85">
        <f>ROUND(Source!AC77*Source!I77, 2)</f>
        <v>738</v>
      </c>
      <c r="K144" s="84"/>
      <c r="L144" s="86"/>
    </row>
    <row r="145" spans="1:56" ht="14.4">
      <c r="A145" s="110"/>
      <c r="B145" s="111"/>
      <c r="C145" s="111" t="s">
        <v>1376</v>
      </c>
      <c r="D145" s="81" t="s">
        <v>1377</v>
      </c>
      <c r="E145" s="82">
        <f>Source!AQ77</f>
        <v>35.39</v>
      </c>
      <c r="F145" s="82">
        <f>ROUND(1.15,7)</f>
        <v>1.1499999999999999</v>
      </c>
      <c r="G145" s="82">
        <f>ROUND(Source!U77, 7)</f>
        <v>38.663575000000002</v>
      </c>
      <c r="H145" s="83"/>
      <c r="I145" s="84"/>
      <c r="J145" s="85"/>
      <c r="K145" s="84"/>
      <c r="L145" s="86"/>
    </row>
    <row r="146" spans="1:56" ht="14.4">
      <c r="A146" s="110"/>
      <c r="B146" s="111"/>
      <c r="C146" s="113" t="s">
        <v>1378</v>
      </c>
      <c r="D146" s="89" t="s">
        <v>1377</v>
      </c>
      <c r="E146" s="90">
        <f>Source!AR77</f>
        <v>0.43</v>
      </c>
      <c r="F146" s="90">
        <f>ROUND(1.15,7)</f>
        <v>1.1499999999999999</v>
      </c>
      <c r="G146" s="90">
        <f>ROUND(Source!V77, 7)</f>
        <v>0.469775</v>
      </c>
      <c r="H146" s="91"/>
      <c r="I146" s="92"/>
      <c r="J146" s="93"/>
      <c r="K146" s="92"/>
      <c r="L146" s="94"/>
    </row>
    <row r="147" spans="1:56" ht="14.4">
      <c r="A147" s="110"/>
      <c r="B147" s="111"/>
      <c r="C147" s="111" t="s">
        <v>1379</v>
      </c>
      <c r="D147" s="81"/>
      <c r="E147" s="82"/>
      <c r="F147" s="82"/>
      <c r="G147" s="82"/>
      <c r="H147" s="83">
        <f>H141+H142+H144</f>
        <v>1079.5500000000002</v>
      </c>
      <c r="I147" s="84"/>
      <c r="J147" s="85">
        <f>J141+J142+J144</f>
        <v>1068.71</v>
      </c>
      <c r="K147" s="84"/>
      <c r="L147" s="86"/>
    </row>
    <row r="148" spans="1:56" ht="14.4">
      <c r="A148" s="110"/>
      <c r="B148" s="111"/>
      <c r="C148" s="111" t="s">
        <v>1380</v>
      </c>
      <c r="D148" s="81"/>
      <c r="E148" s="82"/>
      <c r="F148" s="82"/>
      <c r="G148" s="82"/>
      <c r="H148" s="83"/>
      <c r="I148" s="84"/>
      <c r="J148" s="85">
        <f>SUM(Q138:Q151)+SUM(V138:V151)</f>
        <v>305.38</v>
      </c>
      <c r="K148" s="84"/>
      <c r="L148" s="86">
        <f>SUM(U138:U151)+SUM(W138:W151)</f>
        <v>7396</v>
      </c>
    </row>
    <row r="149" spans="1:56" ht="14.4">
      <c r="A149" s="110"/>
      <c r="B149" s="111" t="s">
        <v>1419</v>
      </c>
      <c r="C149" s="111" t="s">
        <v>1420</v>
      </c>
      <c r="D149" s="81" t="s">
        <v>1383</v>
      </c>
      <c r="E149" s="82">
        <f>Source!BZ77</f>
        <v>92</v>
      </c>
      <c r="F149" s="82"/>
      <c r="G149" s="82">
        <f>Source!AT77</f>
        <v>92</v>
      </c>
      <c r="H149" s="83"/>
      <c r="I149" s="84"/>
      <c r="J149" s="85">
        <f>SUM(AC138:AC151)</f>
        <v>280.95</v>
      </c>
      <c r="K149" s="84"/>
      <c r="L149" s="86">
        <f>SUM(AD138:AD151)</f>
        <v>6804</v>
      </c>
    </row>
    <row r="150" spans="1:56" ht="14.4">
      <c r="A150" s="114"/>
      <c r="B150" s="113" t="s">
        <v>1421</v>
      </c>
      <c r="C150" s="113" t="s">
        <v>1422</v>
      </c>
      <c r="D150" s="89" t="s">
        <v>1383</v>
      </c>
      <c r="E150" s="90">
        <f>Source!CA77</f>
        <v>52</v>
      </c>
      <c r="F150" s="90"/>
      <c r="G150" s="90">
        <f>Source!AU77</f>
        <v>52</v>
      </c>
      <c r="H150" s="91"/>
      <c r="I150" s="92"/>
      <c r="J150" s="93">
        <f>SUM(AE138:AE151)</f>
        <v>158.80000000000001</v>
      </c>
      <c r="K150" s="92"/>
      <c r="L150" s="94">
        <f>SUM(AF138:AF151)</f>
        <v>3846</v>
      </c>
    </row>
    <row r="151" spans="1:56" ht="13.8">
      <c r="C151" s="95" t="s">
        <v>1386</v>
      </c>
      <c r="D151" s="95"/>
      <c r="E151" s="95"/>
      <c r="F151" s="95"/>
      <c r="G151" s="95"/>
      <c r="H151" s="95"/>
      <c r="I151" s="95">
        <f>J141+J142+J144+J149+J150</f>
        <v>1508.46</v>
      </c>
      <c r="J151" s="95"/>
      <c r="O151" s="69">
        <f>I151</f>
        <v>1508.46</v>
      </c>
      <c r="P151">
        <f>K151</f>
        <v>0</v>
      </c>
      <c r="Q151" s="69">
        <f>J141</f>
        <v>299.26</v>
      </c>
      <c r="R151" s="69">
        <f>J141</f>
        <v>299.26</v>
      </c>
      <c r="U151" s="70">
        <f>L141</f>
        <v>7248</v>
      </c>
      <c r="V151" s="69">
        <f>J143</f>
        <v>6.12</v>
      </c>
      <c r="W151" s="70">
        <f>L143</f>
        <v>148</v>
      </c>
      <c r="X151" s="69">
        <f>J142</f>
        <v>31.45</v>
      </c>
      <c r="Z151" s="70">
        <f>L142</f>
        <v>0</v>
      </c>
      <c r="AB151" s="69">
        <f>J144</f>
        <v>738</v>
      </c>
      <c r="AN151">
        <f>IF(Source!BI77&lt;=1,J141+J142+J144+J149+J150, 0)</f>
        <v>1508.46</v>
      </c>
      <c r="AO151">
        <f>IF(Source!BI77&lt;=1,J144, 0)</f>
        <v>738</v>
      </c>
      <c r="AP151">
        <f>IF(Source!BI77&lt;=1,J142, 0)</f>
        <v>31.45</v>
      </c>
      <c r="AQ151">
        <f>IF(Source!BI77&lt;=1,J141, 0)</f>
        <v>299.26</v>
      </c>
      <c r="AX151">
        <f>IF(Source!BI77=2,J141+J142+J144+J149+J150, 0)</f>
        <v>0</v>
      </c>
      <c r="AY151">
        <f>IF(Source!BI77=2,J144, 0)</f>
        <v>0</v>
      </c>
      <c r="AZ151">
        <f>IF(Source!BI77=2,J142, 0)</f>
        <v>0</v>
      </c>
      <c r="BA151">
        <f>IF(Source!BI77=2,J141, 0)</f>
        <v>0</v>
      </c>
    </row>
    <row r="152" spans="1:56" ht="27.6">
      <c r="A152" s="110" t="str">
        <f>Source!E78</f>
        <v>12</v>
      </c>
      <c r="B152" s="111" t="str">
        <f>Source!F78</f>
        <v>404-0005</v>
      </c>
      <c r="C152" s="111" t="str">
        <f>Source!G78</f>
        <v>Кирпич керамический одинарный, размером 250х120х65 мм, марка 100</v>
      </c>
      <c r="D152" s="81" t="str">
        <f>Source!H78</f>
        <v>1000 шт.</v>
      </c>
      <c r="E152" s="82">
        <f>Source!K78</f>
        <v>-0.38190000000000002</v>
      </c>
      <c r="F152" s="82"/>
      <c r="G152" s="82">
        <f>Source!I78</f>
        <v>-0.38190000000000002</v>
      </c>
      <c r="H152" s="83">
        <f>Source!AL78</f>
        <v>1662.7</v>
      </c>
      <c r="I152" s="84"/>
      <c r="J152" s="85">
        <f>ROUND(Source!AC78*Source!I78, 2)</f>
        <v>-634.99</v>
      </c>
      <c r="K152" s="84"/>
      <c r="L152" s="86"/>
      <c r="AC152">
        <f>Source!X78</f>
        <v>0</v>
      </c>
      <c r="AD152">
        <f>Source!HK78</f>
        <v>0</v>
      </c>
      <c r="AE152">
        <f>Source!Y78</f>
        <v>0</v>
      </c>
      <c r="AF152">
        <f>Source!HL78</f>
        <v>0</v>
      </c>
      <c r="AS152">
        <f>IF(Source!BI78&lt;=1,AD152, 0)</f>
        <v>0</v>
      </c>
      <c r="AT152">
        <f>IF(Source!BI78&lt;=1,AF152, 0)</f>
        <v>0</v>
      </c>
      <c r="BC152">
        <f>IF(Source!BI78=2,AD152, 0)</f>
        <v>0</v>
      </c>
      <c r="BD152">
        <f>IF(Source!BI78=2,AF152, 0)</f>
        <v>0</v>
      </c>
    </row>
    <row r="154" spans="1:56">
      <c r="A154" s="71"/>
      <c r="B154" s="71"/>
      <c r="C154" s="72" t="str">
        <f>"Объем: "&amp;Source!K78&amp;"="&amp;Source!I77&amp;"*"&amp;"-"&amp;"0,402"</f>
        <v>Объем: -0,3819=0,95*-0,402</v>
      </c>
      <c r="D154" s="71"/>
      <c r="E154" s="71"/>
      <c r="F154" s="71"/>
      <c r="G154" s="71"/>
      <c r="H154" s="71"/>
      <c r="I154" s="71"/>
      <c r="J154" s="71"/>
      <c r="K154" s="71"/>
      <c r="L154" s="71"/>
    </row>
    <row r="155" spans="1:56" ht="13.8">
      <c r="C155" s="95" t="s">
        <v>1386</v>
      </c>
      <c r="D155" s="95"/>
      <c r="E155" s="95"/>
      <c r="F155" s="95"/>
      <c r="G155" s="95"/>
      <c r="H155" s="95"/>
      <c r="I155" s="95">
        <f>J152</f>
        <v>-634.99</v>
      </c>
      <c r="J155" s="95"/>
      <c r="O155" s="69">
        <f>I155</f>
        <v>-634.99</v>
      </c>
      <c r="P155">
        <f>K155</f>
        <v>0</v>
      </c>
      <c r="Q155">
        <f>0</f>
        <v>0</v>
      </c>
      <c r="R155">
        <f>0</f>
        <v>0</v>
      </c>
      <c r="U155">
        <f>0</f>
        <v>0</v>
      </c>
      <c r="V155">
        <f>0</f>
        <v>0</v>
      </c>
      <c r="W155">
        <f>0</f>
        <v>0</v>
      </c>
      <c r="X155">
        <f>0</f>
        <v>0</v>
      </c>
      <c r="Z155">
        <f>0</f>
        <v>0</v>
      </c>
      <c r="AB155" s="69">
        <f>I155</f>
        <v>-634.99</v>
      </c>
      <c r="AN155">
        <f>IF(Source!BI78&lt;=1,J152, 0)</f>
        <v>-634.99</v>
      </c>
      <c r="AO155">
        <f>IF(Source!BI78&lt;=1,I155, 0)</f>
        <v>-634.99</v>
      </c>
      <c r="AP155">
        <f>IF(Source!BI78&lt;=1,0, 0)</f>
        <v>0</v>
      </c>
      <c r="AQ155">
        <f>IF(Source!BI78&lt;=1,0, 0)</f>
        <v>0</v>
      </c>
      <c r="AX155">
        <f>IF(Source!BI78=2,J152, 0)</f>
        <v>0</v>
      </c>
      <c r="AY155">
        <f>IF(Source!BI78=2,I155, 0)</f>
        <v>0</v>
      </c>
      <c r="AZ155">
        <f>IF(Source!BI78=2,0, 0)</f>
        <v>0</v>
      </c>
      <c r="BA155">
        <f>IF(Source!BI78=2,0, 0)</f>
        <v>0</v>
      </c>
    </row>
    <row r="156" spans="1:56" ht="27.6">
      <c r="A156" s="110" t="str">
        <f>Source!E79</f>
        <v>13</v>
      </c>
      <c r="B156" s="111" t="str">
        <f>Source!F79</f>
        <v>402-0013</v>
      </c>
      <c r="C156" s="111" t="str">
        <f>Source!G79</f>
        <v>Раствор готовый кладочный цементно-известковый марки 50</v>
      </c>
      <c r="D156" s="81" t="str">
        <f>Source!H79</f>
        <v>м3</v>
      </c>
      <c r="E156" s="82">
        <f>Source!K79</f>
        <v>-0.24035000000000001</v>
      </c>
      <c r="F156" s="82"/>
      <c r="G156" s="82">
        <f>Source!I79</f>
        <v>-0.24035000000000001</v>
      </c>
      <c r="H156" s="83">
        <f>Source!AL79</f>
        <v>428.17</v>
      </c>
      <c r="I156" s="84"/>
      <c r="J156" s="85">
        <f>ROUND(Source!AC79*Source!I79, 2)</f>
        <v>-102.91</v>
      </c>
      <c r="K156" s="84"/>
      <c r="L156" s="86"/>
      <c r="AC156">
        <f>Source!X79</f>
        <v>0</v>
      </c>
      <c r="AD156">
        <f>Source!HK79</f>
        <v>0</v>
      </c>
      <c r="AE156">
        <f>Source!Y79</f>
        <v>0</v>
      </c>
      <c r="AF156">
        <f>Source!HL79</f>
        <v>0</v>
      </c>
      <c r="AS156">
        <f>IF(Source!BI79&lt;=1,AD156, 0)</f>
        <v>0</v>
      </c>
      <c r="AT156">
        <f>IF(Source!BI79&lt;=1,AF156, 0)</f>
        <v>0</v>
      </c>
      <c r="BC156">
        <f>IF(Source!BI79=2,AD156, 0)</f>
        <v>0</v>
      </c>
      <c r="BD156">
        <f>IF(Source!BI79=2,AF156, 0)</f>
        <v>0</v>
      </c>
    </row>
    <row r="158" spans="1:56">
      <c r="A158" s="71"/>
      <c r="B158" s="71"/>
      <c r="C158" s="72" t="str">
        <f>"Объем: "&amp;Source!K79&amp;"="&amp;Source!I77&amp;"*"&amp;"-"&amp;"0,253"</f>
        <v>Объем: -0,24035=0,95*-0,253</v>
      </c>
      <c r="D158" s="71"/>
      <c r="E158" s="71"/>
      <c r="F158" s="71"/>
      <c r="G158" s="71"/>
      <c r="H158" s="71"/>
      <c r="I158" s="71"/>
      <c r="J158" s="71"/>
      <c r="K158" s="71"/>
      <c r="L158" s="71"/>
    </row>
    <row r="159" spans="1:56" ht="13.8">
      <c r="C159" s="95" t="s">
        <v>1386</v>
      </c>
      <c r="D159" s="95"/>
      <c r="E159" s="95"/>
      <c r="F159" s="95"/>
      <c r="G159" s="95"/>
      <c r="H159" s="95"/>
      <c r="I159" s="95">
        <f>J156</f>
        <v>-102.91</v>
      </c>
      <c r="J159" s="95"/>
      <c r="O159" s="69">
        <f>I159</f>
        <v>-102.91</v>
      </c>
      <c r="P159">
        <f>K159</f>
        <v>0</v>
      </c>
      <c r="Q159">
        <f>0</f>
        <v>0</v>
      </c>
      <c r="R159">
        <f>0</f>
        <v>0</v>
      </c>
      <c r="U159">
        <f>0</f>
        <v>0</v>
      </c>
      <c r="V159">
        <f>0</f>
        <v>0</v>
      </c>
      <c r="W159">
        <f>0</f>
        <v>0</v>
      </c>
      <c r="X159">
        <f>0</f>
        <v>0</v>
      </c>
      <c r="Z159">
        <f>0</f>
        <v>0</v>
      </c>
      <c r="AB159" s="69">
        <f>I159</f>
        <v>-102.91</v>
      </c>
      <c r="AN159">
        <f>IF(Source!BI79&lt;=1,J156, 0)</f>
        <v>-102.91</v>
      </c>
      <c r="AO159">
        <f>IF(Source!BI79&lt;=1,I159, 0)</f>
        <v>-102.91</v>
      </c>
      <c r="AP159">
        <f>IF(Source!BI79&lt;=1,0, 0)</f>
        <v>0</v>
      </c>
      <c r="AQ159">
        <f>IF(Source!BI79&lt;=1,0, 0)</f>
        <v>0</v>
      </c>
      <c r="AX159">
        <f>IF(Source!BI79=2,J156, 0)</f>
        <v>0</v>
      </c>
      <c r="AY159">
        <f>IF(Source!BI79=2,I159, 0)</f>
        <v>0</v>
      </c>
      <c r="AZ159">
        <f>IF(Source!BI79=2,0, 0)</f>
        <v>0</v>
      </c>
      <c r="BA159">
        <f>IF(Source!BI79=2,0, 0)</f>
        <v>0</v>
      </c>
    </row>
    <row r="160" spans="1:56" ht="27.6">
      <c r="A160" s="110" t="str">
        <f>Source!E80</f>
        <v>14</v>
      </c>
      <c r="B160" s="111" t="str">
        <f>Source!F80</f>
        <v>404-0007</v>
      </c>
      <c r="C160" s="111" t="str">
        <f>Source!G80</f>
        <v>Кирпич керамический одинарный, размером 250х120х65 мм, марка 150</v>
      </c>
      <c r="D160" s="81" t="str">
        <f>Source!H80</f>
        <v>1000 шт.</v>
      </c>
      <c r="E160" s="82">
        <f>Source!K80</f>
        <v>0.38190000000000002</v>
      </c>
      <c r="F160" s="82"/>
      <c r="G160" s="82">
        <f>Source!I80</f>
        <v>0.38190000000000002</v>
      </c>
      <c r="H160" s="83">
        <f>Source!AL80</f>
        <v>1912.53</v>
      </c>
      <c r="I160" s="84"/>
      <c r="J160" s="85">
        <f>ROUND(Source!AC80*Source!I80, 2)</f>
        <v>730.4</v>
      </c>
      <c r="K160" s="84"/>
      <c r="L160" s="86"/>
      <c r="AC160">
        <f>Source!X80</f>
        <v>0</v>
      </c>
      <c r="AD160">
        <f>Source!HK80</f>
        <v>0</v>
      </c>
      <c r="AE160">
        <f>Source!Y80</f>
        <v>0</v>
      </c>
      <c r="AF160">
        <f>Source!HL80</f>
        <v>0</v>
      </c>
      <c r="AS160">
        <f>IF(Source!BI80&lt;=1,AD160, 0)</f>
        <v>0</v>
      </c>
      <c r="AT160">
        <f>IF(Source!BI80&lt;=1,AF160, 0)</f>
        <v>0</v>
      </c>
      <c r="BC160">
        <f>IF(Source!BI80=2,AD160, 0)</f>
        <v>0</v>
      </c>
      <c r="BD160">
        <f>IF(Source!BI80=2,AF160, 0)</f>
        <v>0</v>
      </c>
    </row>
    <row r="162" spans="1:56">
      <c r="A162" s="71"/>
      <c r="B162" s="71"/>
      <c r="C162" s="72" t="str">
        <f>"Объем: "&amp;Source!K80&amp;"=(381,9)/"&amp;"1000"</f>
        <v>Объем: 0,3819=(381,9)/1000</v>
      </c>
      <c r="D162" s="71"/>
      <c r="E162" s="71"/>
      <c r="F162" s="71"/>
      <c r="G162" s="71"/>
      <c r="H162" s="71"/>
      <c r="I162" s="71"/>
      <c r="J162" s="71"/>
      <c r="K162" s="71"/>
      <c r="L162" s="71"/>
    </row>
    <row r="163" spans="1:56" ht="13.8">
      <c r="C163" s="95" t="s">
        <v>1386</v>
      </c>
      <c r="D163" s="95"/>
      <c r="E163" s="95"/>
      <c r="F163" s="95"/>
      <c r="G163" s="95"/>
      <c r="H163" s="95"/>
      <c r="I163" s="95">
        <f>J160</f>
        <v>730.4</v>
      </c>
      <c r="J163" s="95"/>
      <c r="O163" s="69">
        <f>I163</f>
        <v>730.4</v>
      </c>
      <c r="P163">
        <f>K163</f>
        <v>0</v>
      </c>
      <c r="Q163">
        <f>0</f>
        <v>0</v>
      </c>
      <c r="R163">
        <f>0</f>
        <v>0</v>
      </c>
      <c r="U163">
        <f>0</f>
        <v>0</v>
      </c>
      <c r="V163">
        <f>0</f>
        <v>0</v>
      </c>
      <c r="W163">
        <f>0</f>
        <v>0</v>
      </c>
      <c r="X163">
        <f>0</f>
        <v>0</v>
      </c>
      <c r="Z163">
        <f>0</f>
        <v>0</v>
      </c>
      <c r="AB163" s="69">
        <f>I163</f>
        <v>730.4</v>
      </c>
      <c r="AN163">
        <f>IF(Source!BI80&lt;=1,J160, 0)</f>
        <v>730.4</v>
      </c>
      <c r="AO163">
        <f>IF(Source!BI80&lt;=1,I163, 0)</f>
        <v>730.4</v>
      </c>
      <c r="AP163">
        <f>IF(Source!BI80&lt;=1,0, 0)</f>
        <v>0</v>
      </c>
      <c r="AQ163">
        <f>IF(Source!BI80&lt;=1,0, 0)</f>
        <v>0</v>
      </c>
      <c r="AX163">
        <f>IF(Source!BI80=2,J160, 0)</f>
        <v>0</v>
      </c>
      <c r="AY163">
        <f>IF(Source!BI80=2,I163, 0)</f>
        <v>0</v>
      </c>
      <c r="AZ163">
        <f>IF(Source!BI80=2,0, 0)</f>
        <v>0</v>
      </c>
      <c r="BA163">
        <f>IF(Source!BI80=2,0, 0)</f>
        <v>0</v>
      </c>
    </row>
    <row r="164" spans="1:56" ht="27.6">
      <c r="A164" s="110" t="str">
        <f>Source!E81</f>
        <v>15</v>
      </c>
      <c r="B164" s="111" t="str">
        <f>Source!F81</f>
        <v>402-0015</v>
      </c>
      <c r="C164" s="111" t="str">
        <f>Source!G81</f>
        <v>Раствор готовый кладочный цементно-известковый марки 100</v>
      </c>
      <c r="D164" s="81" t="str">
        <f>Source!H81</f>
        <v>м3</v>
      </c>
      <c r="E164" s="82">
        <f>Source!K81</f>
        <v>0.24035000000000001</v>
      </c>
      <c r="F164" s="82"/>
      <c r="G164" s="82">
        <f>Source!I81</f>
        <v>0.24035000000000001</v>
      </c>
      <c r="H164" s="83">
        <f>Source!AL81</f>
        <v>483.76</v>
      </c>
      <c r="I164" s="84"/>
      <c r="J164" s="85">
        <f>ROUND(Source!AC81*Source!I81, 2)</f>
        <v>116.27</v>
      </c>
      <c r="K164" s="84"/>
      <c r="L164" s="86"/>
      <c r="AC164">
        <f>Source!X81</f>
        <v>0</v>
      </c>
      <c r="AD164">
        <f>Source!HK81</f>
        <v>0</v>
      </c>
      <c r="AE164">
        <f>Source!Y81</f>
        <v>0</v>
      </c>
      <c r="AF164">
        <f>Source!HL81</f>
        <v>0</v>
      </c>
      <c r="AS164">
        <f>IF(Source!BI81&lt;=1,AD164, 0)</f>
        <v>0</v>
      </c>
      <c r="AT164">
        <f>IF(Source!BI81&lt;=1,AF164, 0)</f>
        <v>0</v>
      </c>
      <c r="BC164">
        <f>IF(Source!BI81=2,AD164, 0)</f>
        <v>0</v>
      </c>
      <c r="BD164">
        <f>IF(Source!BI81=2,AF164, 0)</f>
        <v>0</v>
      </c>
    </row>
    <row r="165" spans="1:56">
      <c r="A165" s="71"/>
      <c r="B165" s="71"/>
      <c r="C165" s="71"/>
      <c r="D165" s="71"/>
      <c r="E165" s="71"/>
      <c r="F165" s="71"/>
      <c r="G165" s="71"/>
      <c r="H165" s="71"/>
      <c r="I165" s="71"/>
      <c r="J165" s="71"/>
      <c r="K165" s="71"/>
      <c r="L165" s="71"/>
    </row>
    <row r="166" spans="1:56" ht="13.8">
      <c r="C166" s="95" t="s">
        <v>1386</v>
      </c>
      <c r="D166" s="95"/>
      <c r="E166" s="95"/>
      <c r="F166" s="95"/>
      <c r="G166" s="95"/>
      <c r="H166" s="95"/>
      <c r="I166" s="95">
        <f>J164</f>
        <v>116.27</v>
      </c>
      <c r="J166" s="95"/>
      <c r="O166" s="69">
        <f>I166</f>
        <v>116.27</v>
      </c>
      <c r="P166">
        <f>K166</f>
        <v>0</v>
      </c>
      <c r="Q166">
        <f>0</f>
        <v>0</v>
      </c>
      <c r="R166">
        <f>0</f>
        <v>0</v>
      </c>
      <c r="U166">
        <f>0</f>
        <v>0</v>
      </c>
      <c r="V166">
        <f>0</f>
        <v>0</v>
      </c>
      <c r="W166">
        <f>0</f>
        <v>0</v>
      </c>
      <c r="X166">
        <f>0</f>
        <v>0</v>
      </c>
      <c r="Z166">
        <f>0</f>
        <v>0</v>
      </c>
      <c r="AB166" s="69">
        <f>I166</f>
        <v>116.27</v>
      </c>
      <c r="AN166">
        <f>IF(Source!BI81&lt;=1,J164, 0)</f>
        <v>116.27</v>
      </c>
      <c r="AO166">
        <f>IF(Source!BI81&lt;=1,I166, 0)</f>
        <v>116.27</v>
      </c>
      <c r="AP166">
        <f>IF(Source!BI81&lt;=1,0, 0)</f>
        <v>0</v>
      </c>
      <c r="AQ166">
        <f>IF(Source!BI81&lt;=1,0, 0)</f>
        <v>0</v>
      </c>
      <c r="AX166">
        <f>IF(Source!BI81=2,J164, 0)</f>
        <v>0</v>
      </c>
      <c r="AY166">
        <f>IF(Source!BI81=2,I166, 0)</f>
        <v>0</v>
      </c>
      <c r="AZ166">
        <f>IF(Source!BI81=2,0, 0)</f>
        <v>0</v>
      </c>
      <c r="BA166">
        <f>IF(Source!BI81=2,0, 0)</f>
        <v>0</v>
      </c>
    </row>
    <row r="167" spans="1:56" ht="147">
      <c r="A167" s="110" t="str">
        <f>Source!E82</f>
        <v>16</v>
      </c>
      <c r="B167" s="111" t="str">
        <f>Source!F82</f>
        <v>15-02-001-1</v>
      </c>
      <c r="C167" s="111" t="s">
        <v>1423</v>
      </c>
      <c r="D167" s="81" t="str">
        <f>Source!H82</f>
        <v>100 м2 оштукатуриваемой поверхности</v>
      </c>
      <c r="E167" s="82">
        <f>Source!K82</f>
        <v>2.7E-2</v>
      </c>
      <c r="F167" s="82"/>
      <c r="G167" s="82">
        <f>Source!I82</f>
        <v>2.7E-2</v>
      </c>
      <c r="H167" s="83"/>
      <c r="I167" s="84"/>
      <c r="J167" s="85"/>
      <c r="K167" s="84"/>
      <c r="L167" s="86"/>
      <c r="AC167">
        <f>Source!X82</f>
        <v>22</v>
      </c>
      <c r="AD167">
        <f>Source!HK82</f>
        <v>533</v>
      </c>
      <c r="AE167">
        <f>Source!Y82</f>
        <v>10.18</v>
      </c>
      <c r="AF167">
        <f>Source!HL82</f>
        <v>247</v>
      </c>
      <c r="AS167">
        <f>IF(Source!BI82&lt;=1,AD167, 0)</f>
        <v>533</v>
      </c>
      <c r="AT167">
        <f>IF(Source!BI82&lt;=1,AF167, 0)</f>
        <v>247</v>
      </c>
      <c r="BC167">
        <f>IF(Source!BI82=2,AD167, 0)</f>
        <v>0</v>
      </c>
      <c r="BD167">
        <f>IF(Source!BI82=2,AF167, 0)</f>
        <v>0</v>
      </c>
    </row>
    <row r="169" spans="1:56">
      <c r="C169" s="67" t="str">
        <f>"Объем: "&amp;Source!K82&amp;"=2,7/"&amp;"100"</f>
        <v>Объем: 0,027=2,7/100</v>
      </c>
    </row>
    <row r="170" spans="1:56" ht="14.4">
      <c r="A170" s="110"/>
      <c r="B170" s="112">
        <v>1</v>
      </c>
      <c r="C170" s="111" t="s">
        <v>1373</v>
      </c>
      <c r="D170" s="81"/>
      <c r="E170" s="82"/>
      <c r="F170" s="82"/>
      <c r="G170" s="82"/>
      <c r="H170" s="83">
        <f>Source!AO82</f>
        <v>658.48</v>
      </c>
      <c r="I170" s="84">
        <f>ROUND(1.15*1.15,7)</f>
        <v>1.3225</v>
      </c>
      <c r="J170" s="85">
        <f>ROUND(Source!AF82*Source!I82, 2)</f>
        <v>23.51</v>
      </c>
      <c r="K170" s="84">
        <f>IF(Source!BA82&lt;&gt; 0, Source!BA82, 1)</f>
        <v>24.22</v>
      </c>
      <c r="L170" s="86">
        <f>Source!HJ82</f>
        <v>569</v>
      </c>
    </row>
    <row r="171" spans="1:56" ht="14.4">
      <c r="A171" s="110"/>
      <c r="B171" s="112">
        <v>3</v>
      </c>
      <c r="C171" s="111" t="s">
        <v>1374</v>
      </c>
      <c r="D171" s="81"/>
      <c r="E171" s="82"/>
      <c r="F171" s="82"/>
      <c r="G171" s="82"/>
      <c r="H171" s="83">
        <f>Source!AM82</f>
        <v>60.66</v>
      </c>
      <c r="I171" s="84">
        <f>ROUND(1.25*1.15,7)</f>
        <v>1.4375</v>
      </c>
      <c r="J171" s="85">
        <f>ROUND(Source!AD82*Source!I82, 2)</f>
        <v>2.35</v>
      </c>
      <c r="K171" s="84"/>
      <c r="L171" s="86"/>
    </row>
    <row r="172" spans="1:56" ht="14.4">
      <c r="A172" s="110"/>
      <c r="B172" s="112">
        <v>2</v>
      </c>
      <c r="C172" s="111" t="s">
        <v>1375</v>
      </c>
      <c r="D172" s="81"/>
      <c r="E172" s="82"/>
      <c r="F172" s="82"/>
      <c r="G172" s="82"/>
      <c r="H172" s="83">
        <f>Source!AN82</f>
        <v>23.91</v>
      </c>
      <c r="I172" s="84">
        <f>ROUND(1.25*1.15,7)</f>
        <v>1.4375</v>
      </c>
      <c r="J172" s="87">
        <f>ROUND(Source!AE82*Source!I82, 2)</f>
        <v>0.93</v>
      </c>
      <c r="K172" s="84">
        <f>IF(Source!BS82&lt;&gt; 0, Source!BS82, 1)</f>
        <v>24.22</v>
      </c>
      <c r="L172" s="88">
        <f>Source!HI82</f>
        <v>23</v>
      </c>
    </row>
    <row r="173" spans="1:56" ht="14.4">
      <c r="A173" s="110"/>
      <c r="B173" s="112">
        <v>4</v>
      </c>
      <c r="C173" s="111" t="s">
        <v>1408</v>
      </c>
      <c r="D173" s="81"/>
      <c r="E173" s="82"/>
      <c r="F173" s="82"/>
      <c r="G173" s="82"/>
      <c r="H173" s="83">
        <f>Source!AL82</f>
        <v>1078.21</v>
      </c>
      <c r="I173" s="84"/>
      <c r="J173" s="85">
        <f>ROUND(Source!AC82*Source!I82, 2)</f>
        <v>29.11</v>
      </c>
      <c r="K173" s="84"/>
      <c r="L173" s="86"/>
    </row>
    <row r="174" spans="1:56" ht="14.4">
      <c r="A174" s="110"/>
      <c r="B174" s="111"/>
      <c r="C174" s="111" t="s">
        <v>1376</v>
      </c>
      <c r="D174" s="81" t="s">
        <v>1377</v>
      </c>
      <c r="E174" s="82">
        <f>Source!AQ82</f>
        <v>70.88</v>
      </c>
      <c r="F174" s="82">
        <f>ROUND(1.15*1.15,7)</f>
        <v>1.3225</v>
      </c>
      <c r="G174" s="82">
        <f>ROUND(Source!U82, 7)</f>
        <v>2.5309476000000002</v>
      </c>
      <c r="H174" s="83"/>
      <c r="I174" s="84"/>
      <c r="J174" s="85"/>
      <c r="K174" s="84"/>
      <c r="L174" s="86"/>
    </row>
    <row r="175" spans="1:56" ht="14.4">
      <c r="A175" s="110"/>
      <c r="B175" s="111"/>
      <c r="C175" s="113" t="s">
        <v>1378</v>
      </c>
      <c r="D175" s="89" t="s">
        <v>1377</v>
      </c>
      <c r="E175" s="90">
        <f>Source!AR82</f>
        <v>2.78</v>
      </c>
      <c r="F175" s="90">
        <f>ROUND(1.25*1.15,7)</f>
        <v>1.4375</v>
      </c>
      <c r="G175" s="90">
        <f>ROUND(Source!V82, 7)</f>
        <v>0.1078988</v>
      </c>
      <c r="H175" s="91"/>
      <c r="I175" s="92"/>
      <c r="J175" s="93"/>
      <c r="K175" s="92"/>
      <c r="L175" s="94"/>
    </row>
    <row r="176" spans="1:56" ht="14.4">
      <c r="A176" s="110"/>
      <c r="B176" s="111"/>
      <c r="C176" s="111" t="s">
        <v>1379</v>
      </c>
      <c r="D176" s="81"/>
      <c r="E176" s="82"/>
      <c r="F176" s="82"/>
      <c r="G176" s="82"/>
      <c r="H176" s="83">
        <f>H170+H171+H173</f>
        <v>1797.35</v>
      </c>
      <c r="I176" s="84"/>
      <c r="J176" s="85">
        <f>J170+J171+J173</f>
        <v>54.97</v>
      </c>
      <c r="K176" s="84"/>
      <c r="L176" s="86"/>
    </row>
    <row r="177" spans="1:71" ht="14.4">
      <c r="A177" s="110"/>
      <c r="B177" s="111"/>
      <c r="C177" s="111" t="s">
        <v>1380</v>
      </c>
      <c r="D177" s="81"/>
      <c r="E177" s="82"/>
      <c r="F177" s="82"/>
      <c r="G177" s="82"/>
      <c r="H177" s="83"/>
      <c r="I177" s="84"/>
      <c r="J177" s="85">
        <f>SUM(Q167:Q180)+SUM(V167:V180)</f>
        <v>24.44</v>
      </c>
      <c r="K177" s="84"/>
      <c r="L177" s="86">
        <f>SUM(U167:U180)+SUM(W167:W180)</f>
        <v>592</v>
      </c>
    </row>
    <row r="178" spans="1:71" ht="14.4">
      <c r="A178" s="110"/>
      <c r="B178" s="111" t="s">
        <v>1414</v>
      </c>
      <c r="C178" s="111" t="s">
        <v>1415</v>
      </c>
      <c r="D178" s="81" t="s">
        <v>1383</v>
      </c>
      <c r="E178" s="82">
        <f>Source!BZ82</f>
        <v>100</v>
      </c>
      <c r="F178" s="82">
        <f>ROUND(0.9,7)</f>
        <v>0.9</v>
      </c>
      <c r="G178" s="82">
        <f>Source!AT82</f>
        <v>90</v>
      </c>
      <c r="H178" s="83"/>
      <c r="I178" s="84"/>
      <c r="J178" s="85">
        <f>SUM(AC167:AC180)</f>
        <v>22</v>
      </c>
      <c r="K178" s="84"/>
      <c r="L178" s="86">
        <f>SUM(AD167:AD180)</f>
        <v>533</v>
      </c>
    </row>
    <row r="179" spans="1:71" ht="14.4">
      <c r="A179" s="114"/>
      <c r="B179" s="113" t="s">
        <v>1416</v>
      </c>
      <c r="C179" s="113" t="s">
        <v>1417</v>
      </c>
      <c r="D179" s="89" t="s">
        <v>1383</v>
      </c>
      <c r="E179" s="90">
        <f>Source!CA82</f>
        <v>49</v>
      </c>
      <c r="F179" s="90">
        <f>ROUND(0.85,7)</f>
        <v>0.85</v>
      </c>
      <c r="G179" s="90">
        <f>Source!AU82</f>
        <v>41.65</v>
      </c>
      <c r="H179" s="91"/>
      <c r="I179" s="92"/>
      <c r="J179" s="93">
        <f>SUM(AE167:AE180)</f>
        <v>10.18</v>
      </c>
      <c r="K179" s="92"/>
      <c r="L179" s="94">
        <f>SUM(AF167:AF180)</f>
        <v>247</v>
      </c>
    </row>
    <row r="180" spans="1:71" ht="13.8">
      <c r="C180" s="95" t="s">
        <v>1386</v>
      </c>
      <c r="D180" s="95"/>
      <c r="E180" s="95"/>
      <c r="F180" s="95"/>
      <c r="G180" s="95"/>
      <c r="H180" s="95"/>
      <c r="I180" s="95">
        <f>J170+J171+J173+J178+J179</f>
        <v>87.15</v>
      </c>
      <c r="J180" s="95"/>
      <c r="O180" s="69">
        <f>I180</f>
        <v>87.15</v>
      </c>
      <c r="P180">
        <f>K180</f>
        <v>0</v>
      </c>
      <c r="Q180" s="69">
        <f>J170</f>
        <v>23.51</v>
      </c>
      <c r="R180" s="69">
        <f>J170</f>
        <v>23.51</v>
      </c>
      <c r="U180" s="70">
        <f>L170</f>
        <v>569</v>
      </c>
      <c r="V180" s="69">
        <f>J172</f>
        <v>0.93</v>
      </c>
      <c r="W180" s="70">
        <f>L172</f>
        <v>23</v>
      </c>
      <c r="X180" s="69">
        <f>J171</f>
        <v>2.35</v>
      </c>
      <c r="Z180" s="70">
        <f>L171</f>
        <v>0</v>
      </c>
      <c r="AB180" s="69">
        <f>J173</f>
        <v>29.11</v>
      </c>
      <c r="AN180">
        <f>IF(Source!BI82&lt;=1,J170+J171+J173+J178+J179, 0)</f>
        <v>87.15</v>
      </c>
      <c r="AO180">
        <f>IF(Source!BI82&lt;=1,J173, 0)</f>
        <v>29.11</v>
      </c>
      <c r="AP180">
        <f>IF(Source!BI82&lt;=1,J171, 0)</f>
        <v>2.35</v>
      </c>
      <c r="AQ180">
        <f>IF(Source!BI82&lt;=1,J170, 0)</f>
        <v>23.51</v>
      </c>
      <c r="AX180">
        <f>IF(Source!BI82=2,J170+J171+J173+J178+J179, 0)</f>
        <v>0</v>
      </c>
      <c r="AY180">
        <f>IF(Source!BI82=2,J173, 0)</f>
        <v>0</v>
      </c>
      <c r="AZ180">
        <f>IF(Source!BI82=2,J171, 0)</f>
        <v>0</v>
      </c>
      <c r="BA180">
        <f>IF(Source!BI82=2,J170, 0)</f>
        <v>0</v>
      </c>
    </row>
    <row r="181" spans="1:71" ht="27.6">
      <c r="A181" s="110" t="str">
        <f>Source!E83</f>
        <v>17</v>
      </c>
      <c r="B181" s="111" t="str">
        <f>Source!F83</f>
        <v>402-0083</v>
      </c>
      <c r="C181" s="111" t="str">
        <f>Source!G83</f>
        <v>Раствор готовый отделочный тяжелый, цементно-известковый 1:1:6</v>
      </c>
      <c r="D181" s="81" t="str">
        <f>Source!H83</f>
        <v>м3</v>
      </c>
      <c r="E181" s="82">
        <f>Source!K83</f>
        <v>-5.1029999999999999E-2</v>
      </c>
      <c r="F181" s="82"/>
      <c r="G181" s="82">
        <f>Source!I83</f>
        <v>-5.1029999999999999E-2</v>
      </c>
      <c r="H181" s="83">
        <f>Source!AL83</f>
        <v>570.03</v>
      </c>
      <c r="I181" s="84"/>
      <c r="J181" s="85">
        <f>ROUND(Source!AC83*Source!I83, 2)</f>
        <v>-29.09</v>
      </c>
      <c r="K181" s="84"/>
      <c r="L181" s="86"/>
      <c r="AC181">
        <f>Source!X83</f>
        <v>0</v>
      </c>
      <c r="AD181">
        <f>Source!HK83</f>
        <v>0</v>
      </c>
      <c r="AE181">
        <f>Source!Y83</f>
        <v>0</v>
      </c>
      <c r="AF181">
        <f>Source!HL83</f>
        <v>0</v>
      </c>
      <c r="AS181">
        <f>IF(Source!BI83&lt;=1,AD181, 0)</f>
        <v>0</v>
      </c>
      <c r="AT181">
        <f>IF(Source!BI83&lt;=1,AF181, 0)</f>
        <v>0</v>
      </c>
      <c r="BC181">
        <f>IF(Source!BI83=2,AD181, 0)</f>
        <v>0</v>
      </c>
      <c r="BD181">
        <f>IF(Source!BI83=2,AF181, 0)</f>
        <v>0</v>
      </c>
    </row>
    <row r="183" spans="1:71">
      <c r="A183" s="71"/>
      <c r="B183" s="71"/>
      <c r="C183" s="72" t="str">
        <f>"Объем: "&amp;Source!K83&amp;"="&amp;Source!I82&amp;"*"&amp;"-"&amp;"1,89"</f>
        <v>Объем: -0,05103=0,027*-1,89</v>
      </c>
      <c r="D183" s="71"/>
      <c r="E183" s="71"/>
      <c r="F183" s="71"/>
      <c r="G183" s="71"/>
      <c r="H183" s="71"/>
      <c r="I183" s="71"/>
      <c r="J183" s="71"/>
      <c r="K183" s="71"/>
      <c r="L183" s="71"/>
    </row>
    <row r="184" spans="1:71" ht="13.8">
      <c r="C184" s="95" t="s">
        <v>1386</v>
      </c>
      <c r="D184" s="95"/>
      <c r="E184" s="95"/>
      <c r="F184" s="95"/>
      <c r="G184" s="95"/>
      <c r="H184" s="95"/>
      <c r="I184" s="95">
        <f>J181</f>
        <v>-29.09</v>
      </c>
      <c r="J184" s="95"/>
      <c r="O184" s="69">
        <f>I184</f>
        <v>-29.09</v>
      </c>
      <c r="P184">
        <f>K184</f>
        <v>0</v>
      </c>
      <c r="Q184">
        <f>0</f>
        <v>0</v>
      </c>
      <c r="R184">
        <f>0</f>
        <v>0</v>
      </c>
      <c r="U184">
        <f>0</f>
        <v>0</v>
      </c>
      <c r="V184">
        <f>0</f>
        <v>0</v>
      </c>
      <c r="W184">
        <f>0</f>
        <v>0</v>
      </c>
      <c r="X184">
        <f>0</f>
        <v>0</v>
      </c>
      <c r="Z184">
        <f>0</f>
        <v>0</v>
      </c>
      <c r="AB184" s="69">
        <f>I184</f>
        <v>-29.09</v>
      </c>
      <c r="AN184">
        <f>IF(Source!BI83&lt;=1,J181, 0)</f>
        <v>-29.09</v>
      </c>
      <c r="AO184">
        <f>IF(Source!BI83&lt;=1,I184, 0)</f>
        <v>-29.09</v>
      </c>
      <c r="AP184">
        <f>IF(Source!BI83&lt;=1,0, 0)</f>
        <v>0</v>
      </c>
      <c r="AQ184">
        <f>IF(Source!BI83&lt;=1,0, 0)</f>
        <v>0</v>
      </c>
      <c r="AX184">
        <f>IF(Source!BI83=2,J181, 0)</f>
        <v>0</v>
      </c>
      <c r="AY184">
        <f>IF(Source!BI83=2,I184, 0)</f>
        <v>0</v>
      </c>
      <c r="AZ184">
        <f>IF(Source!BI83=2,0, 0)</f>
        <v>0</v>
      </c>
      <c r="BA184">
        <f>IF(Source!BI83=2,0, 0)</f>
        <v>0</v>
      </c>
    </row>
    <row r="185" spans="1:71" ht="41.4">
      <c r="A185" s="110" t="str">
        <f>Source!E84</f>
        <v>18</v>
      </c>
      <c r="B185" s="111" t="str">
        <f>Source!F84</f>
        <v>ТЦ_01.7.10.14_69_0_02</v>
      </c>
      <c r="C185" s="111" t="str">
        <f>Source!G84</f>
        <v>Смеси штукатурные, марка Capatect  Leichtgrundputz 170 / Расход 36 кг/м2/30мм (30,83/6,17)</v>
      </c>
      <c r="D185" s="81" t="str">
        <f>Source!H84</f>
        <v>кг</v>
      </c>
      <c r="E185" s="82">
        <f>Source!K84</f>
        <v>97.2</v>
      </c>
      <c r="F185" s="82"/>
      <c r="G185" s="82">
        <f>Source!I84</f>
        <v>97.2</v>
      </c>
      <c r="H185" s="83">
        <f>Source!AL84</f>
        <v>30.83</v>
      </c>
      <c r="I185" s="84"/>
      <c r="J185" s="85">
        <f>Source!P84</f>
        <v>485.74</v>
      </c>
      <c r="K185" s="84">
        <f>IF(Source!BC84&lt;&gt; 0, Source!BC84, 1)</f>
        <v>6.17</v>
      </c>
      <c r="L185" s="86">
        <f>Source!HG84</f>
        <v>2997</v>
      </c>
      <c r="AC185">
        <f>Source!X84</f>
        <v>0</v>
      </c>
      <c r="AD185">
        <f>Source!HK84</f>
        <v>0</v>
      </c>
      <c r="AE185">
        <f>Source!Y84</f>
        <v>0</v>
      </c>
      <c r="AF185">
        <f>Source!HL84</f>
        <v>0</v>
      </c>
      <c r="AS185">
        <f>IF(Source!BI84&lt;=1,AD185, 0)</f>
        <v>0</v>
      </c>
      <c r="AT185">
        <f>IF(Source!BI84&lt;=1,AF185, 0)</f>
        <v>0</v>
      </c>
      <c r="BC185">
        <f>IF(Source!BI84=2,AD185, 0)</f>
        <v>0</v>
      </c>
      <c r="BD185">
        <f>IF(Source!BI84=2,AF185, 0)</f>
        <v>0</v>
      </c>
    </row>
    <row r="186" spans="1:71">
      <c r="A186" s="71"/>
      <c r="B186" s="71"/>
      <c r="C186" s="71"/>
      <c r="D186" s="71"/>
      <c r="E186" s="71"/>
      <c r="F186" s="71"/>
      <c r="G186" s="71"/>
      <c r="H186" s="71"/>
      <c r="I186" s="71"/>
      <c r="J186" s="71"/>
      <c r="K186" s="71"/>
      <c r="L186" s="71"/>
    </row>
    <row r="187" spans="1:71" ht="13.8">
      <c r="C187" s="95" t="s">
        <v>1386</v>
      </c>
      <c r="D187" s="95"/>
      <c r="E187" s="95"/>
      <c r="F187" s="95"/>
      <c r="G187" s="95"/>
      <c r="H187" s="95"/>
      <c r="I187" s="95">
        <f>J185</f>
        <v>485.74</v>
      </c>
      <c r="J187" s="95"/>
      <c r="K187" s="96">
        <f>L185</f>
        <v>2997</v>
      </c>
      <c r="L187" s="96"/>
      <c r="O187" s="69">
        <f>I187</f>
        <v>485.74</v>
      </c>
      <c r="P187" s="70">
        <f>K187</f>
        <v>2997</v>
      </c>
      <c r="Q187">
        <f>0</f>
        <v>0</v>
      </c>
      <c r="R187">
        <f>0</f>
        <v>0</v>
      </c>
      <c r="U187">
        <f>0</f>
        <v>0</v>
      </c>
      <c r="V187">
        <f>0</f>
        <v>0</v>
      </c>
      <c r="W187">
        <f>0</f>
        <v>0</v>
      </c>
      <c r="X187">
        <f>0</f>
        <v>0</v>
      </c>
      <c r="Z187">
        <f>0</f>
        <v>0</v>
      </c>
      <c r="AB187" s="69">
        <f>I187</f>
        <v>485.74</v>
      </c>
      <c r="AN187">
        <f>IF(Source!BI84&lt;=1,J185, 0)</f>
        <v>485.74</v>
      </c>
      <c r="AO187">
        <f>IF(Source!BI84&lt;=1,I187, 0)</f>
        <v>485.74</v>
      </c>
      <c r="AP187">
        <f>IF(Source!BI84&lt;=1,0, 0)</f>
        <v>0</v>
      </c>
      <c r="AQ187">
        <f>IF(Source!BI84&lt;=1,0, 0)</f>
        <v>0</v>
      </c>
      <c r="AX187">
        <f>IF(Source!BI84=2,J185, 0)</f>
        <v>0</v>
      </c>
      <c r="AY187">
        <f>IF(Source!BI84=2,I187, 0)</f>
        <v>0</v>
      </c>
      <c r="AZ187">
        <f>IF(Source!BI84=2,0, 0)</f>
        <v>0</v>
      </c>
      <c r="BA187">
        <f>IF(Source!BI84=2,0, 0)</f>
        <v>0</v>
      </c>
      <c r="BQ187" s="69">
        <f>I187</f>
        <v>485.74</v>
      </c>
      <c r="BS187" s="70">
        <f>K187</f>
        <v>2997</v>
      </c>
    </row>
    <row r="188" spans="1:71" ht="147">
      <c r="A188" s="110" t="str">
        <f>Source!E85</f>
        <v>19</v>
      </c>
      <c r="B188" s="111" t="str">
        <f>Source!F85</f>
        <v>15-04-019-5</v>
      </c>
      <c r="C188" s="111" t="s">
        <v>1413</v>
      </c>
      <c r="D188" s="81" t="str">
        <f>Source!H85</f>
        <v>100 м2 окрашиваемой поверхности</v>
      </c>
      <c r="E188" s="82">
        <f>Source!K85</f>
        <v>2.7E-2</v>
      </c>
      <c r="F188" s="82"/>
      <c r="G188" s="82">
        <f>Source!I85</f>
        <v>2.7E-2</v>
      </c>
      <c r="H188" s="83"/>
      <c r="I188" s="84"/>
      <c r="J188" s="85"/>
      <c r="K188" s="84"/>
      <c r="L188" s="86"/>
      <c r="AC188">
        <f>Source!X85</f>
        <v>3.98</v>
      </c>
      <c r="AD188">
        <f>Source!HK85</f>
        <v>96</v>
      </c>
      <c r="AE188">
        <f>Source!Y85</f>
        <v>1.84</v>
      </c>
      <c r="AF188">
        <f>Source!HL85</f>
        <v>45</v>
      </c>
      <c r="AS188">
        <f>IF(Source!BI85&lt;=1,AD188, 0)</f>
        <v>96</v>
      </c>
      <c r="AT188">
        <f>IF(Source!BI85&lt;=1,AF188, 0)</f>
        <v>45</v>
      </c>
      <c r="BC188">
        <f>IF(Source!BI85=2,AD188, 0)</f>
        <v>0</v>
      </c>
      <c r="BD188">
        <f>IF(Source!BI85=2,AF188, 0)</f>
        <v>0</v>
      </c>
    </row>
    <row r="190" spans="1:71">
      <c r="C190" s="67" t="str">
        <f>"Объем: "&amp;Source!K85&amp;"=2,7/"&amp;"100"</f>
        <v>Объем: 0,027=2,7/100</v>
      </c>
    </row>
    <row r="191" spans="1:71" ht="14.4">
      <c r="A191" s="110"/>
      <c r="B191" s="112">
        <v>1</v>
      </c>
      <c r="C191" s="111" t="s">
        <v>1373</v>
      </c>
      <c r="D191" s="81"/>
      <c r="E191" s="82"/>
      <c r="F191" s="82"/>
      <c r="G191" s="82"/>
      <c r="H191" s="83">
        <f>Source!AO85</f>
        <v>123.79</v>
      </c>
      <c r="I191" s="84">
        <f>ROUND(1.15*1.15,7)</f>
        <v>1.3225</v>
      </c>
      <c r="J191" s="85">
        <f>ROUND(Source!AF85*Source!I85, 2)</f>
        <v>4.42</v>
      </c>
      <c r="K191" s="84">
        <f>IF(Source!BA85&lt;&gt; 0, Source!BA85, 1)</f>
        <v>24.22</v>
      </c>
      <c r="L191" s="86">
        <f>Source!HJ85</f>
        <v>107</v>
      </c>
    </row>
    <row r="192" spans="1:71" ht="14.4">
      <c r="A192" s="110"/>
      <c r="B192" s="112">
        <v>3</v>
      </c>
      <c r="C192" s="111" t="s">
        <v>1374</v>
      </c>
      <c r="D192" s="81"/>
      <c r="E192" s="82"/>
      <c r="F192" s="82"/>
      <c r="G192" s="82"/>
      <c r="H192" s="83">
        <f>Source!AM85</f>
        <v>7.48</v>
      </c>
      <c r="I192" s="84">
        <f>ROUND(1.25*1.15,7)</f>
        <v>1.4375</v>
      </c>
      <c r="J192" s="85">
        <f>ROUND(Source!AD85*Source!I85, 2)</f>
        <v>0.28999999999999998</v>
      </c>
      <c r="K192" s="84"/>
      <c r="L192" s="86"/>
    </row>
    <row r="193" spans="1:56" ht="14.4">
      <c r="A193" s="110"/>
      <c r="B193" s="112">
        <v>4</v>
      </c>
      <c r="C193" s="111" t="s">
        <v>1408</v>
      </c>
      <c r="D193" s="81"/>
      <c r="E193" s="82"/>
      <c r="F193" s="82"/>
      <c r="G193" s="82"/>
      <c r="H193" s="83">
        <f>Source!AL85</f>
        <v>611.53</v>
      </c>
      <c r="I193" s="84"/>
      <c r="J193" s="85">
        <f>ROUND(Source!AC85*Source!I85, 2)</f>
        <v>16.510000000000002</v>
      </c>
      <c r="K193" s="84"/>
      <c r="L193" s="86"/>
    </row>
    <row r="194" spans="1:56" ht="14.4">
      <c r="A194" s="110"/>
      <c r="B194" s="111"/>
      <c r="C194" s="113" t="s">
        <v>1376</v>
      </c>
      <c r="D194" s="89" t="s">
        <v>1377</v>
      </c>
      <c r="E194" s="90">
        <f>Source!AQ85</f>
        <v>13.8</v>
      </c>
      <c r="F194" s="90">
        <f>ROUND(1.15*1.15,7)</f>
        <v>1.3225</v>
      </c>
      <c r="G194" s="90">
        <f>ROUND(Source!U85, 7)</f>
        <v>0.49276350000000002</v>
      </c>
      <c r="H194" s="91"/>
      <c r="I194" s="92"/>
      <c r="J194" s="93"/>
      <c r="K194" s="92"/>
      <c r="L194" s="94"/>
    </row>
    <row r="195" spans="1:56" ht="14.4">
      <c r="A195" s="110"/>
      <c r="B195" s="111"/>
      <c r="C195" s="111" t="s">
        <v>1379</v>
      </c>
      <c r="D195" s="81"/>
      <c r="E195" s="82"/>
      <c r="F195" s="82"/>
      <c r="G195" s="82"/>
      <c r="H195" s="83">
        <f>H191+H192+H193</f>
        <v>742.8</v>
      </c>
      <c r="I195" s="84"/>
      <c r="J195" s="85">
        <f>J191+J192+J193</f>
        <v>21.220000000000002</v>
      </c>
      <c r="K195" s="84"/>
      <c r="L195" s="86"/>
    </row>
    <row r="196" spans="1:56" ht="14.4">
      <c r="A196" s="110"/>
      <c r="B196" s="111"/>
      <c r="C196" s="111" t="s">
        <v>1380</v>
      </c>
      <c r="D196" s="81"/>
      <c r="E196" s="82"/>
      <c r="F196" s="82"/>
      <c r="G196" s="82"/>
      <c r="H196" s="83"/>
      <c r="I196" s="84"/>
      <c r="J196" s="85">
        <f>SUM(Q188:Q199)+SUM(V188:V199)</f>
        <v>4.42</v>
      </c>
      <c r="K196" s="84"/>
      <c r="L196" s="86">
        <f>SUM(U188:U199)+SUM(W188:W199)</f>
        <v>107</v>
      </c>
    </row>
    <row r="197" spans="1:56" ht="14.4">
      <c r="A197" s="110"/>
      <c r="B197" s="111" t="s">
        <v>1414</v>
      </c>
      <c r="C197" s="111" t="s">
        <v>1415</v>
      </c>
      <c r="D197" s="81" t="s">
        <v>1383</v>
      </c>
      <c r="E197" s="82">
        <f>Source!BZ85</f>
        <v>100</v>
      </c>
      <c r="F197" s="82">
        <f>ROUND(0.9,7)</f>
        <v>0.9</v>
      </c>
      <c r="G197" s="82">
        <f>Source!AT85</f>
        <v>90</v>
      </c>
      <c r="H197" s="83"/>
      <c r="I197" s="84"/>
      <c r="J197" s="85">
        <f>SUM(AC188:AC199)</f>
        <v>3.98</v>
      </c>
      <c r="K197" s="84"/>
      <c r="L197" s="86">
        <f>SUM(AD188:AD199)</f>
        <v>96</v>
      </c>
    </row>
    <row r="198" spans="1:56" ht="14.4">
      <c r="A198" s="114"/>
      <c r="B198" s="113" t="s">
        <v>1416</v>
      </c>
      <c r="C198" s="113" t="s">
        <v>1417</v>
      </c>
      <c r="D198" s="89" t="s">
        <v>1383</v>
      </c>
      <c r="E198" s="90">
        <f>Source!CA85</f>
        <v>49</v>
      </c>
      <c r="F198" s="90">
        <f>ROUND(0.85,7)</f>
        <v>0.85</v>
      </c>
      <c r="G198" s="90">
        <f>Source!AU85</f>
        <v>41.65</v>
      </c>
      <c r="H198" s="91"/>
      <c r="I198" s="92"/>
      <c r="J198" s="93">
        <f>SUM(AE188:AE199)</f>
        <v>1.84</v>
      </c>
      <c r="K198" s="92"/>
      <c r="L198" s="94">
        <f>SUM(AF188:AF199)</f>
        <v>45</v>
      </c>
    </row>
    <row r="199" spans="1:56" ht="13.8">
      <c r="C199" s="95" t="s">
        <v>1386</v>
      </c>
      <c r="D199" s="95"/>
      <c r="E199" s="95"/>
      <c r="F199" s="95"/>
      <c r="G199" s="95"/>
      <c r="H199" s="95"/>
      <c r="I199" s="95">
        <f>J191+J192+J193+J197+J198</f>
        <v>27.040000000000003</v>
      </c>
      <c r="J199" s="95"/>
      <c r="O199" s="69">
        <f>I199</f>
        <v>27.040000000000003</v>
      </c>
      <c r="P199">
        <f>K199</f>
        <v>0</v>
      </c>
      <c r="Q199" s="69">
        <f>J191</f>
        <v>4.42</v>
      </c>
      <c r="R199" s="69">
        <f>J191</f>
        <v>4.42</v>
      </c>
      <c r="U199" s="70">
        <f>L191</f>
        <v>107</v>
      </c>
      <c r="V199">
        <f>0</f>
        <v>0</v>
      </c>
      <c r="W199">
        <f>0</f>
        <v>0</v>
      </c>
      <c r="X199" s="69">
        <f>J192</f>
        <v>0.28999999999999998</v>
      </c>
      <c r="Z199" s="70">
        <f>L192</f>
        <v>0</v>
      </c>
      <c r="AB199" s="69">
        <f>J193</f>
        <v>16.510000000000002</v>
      </c>
      <c r="AN199">
        <f>IF(Source!BI85&lt;=1,J191+J192+J193+J197+J198, 0)</f>
        <v>27.040000000000003</v>
      </c>
      <c r="AO199">
        <f>IF(Source!BI85&lt;=1,J193, 0)</f>
        <v>16.510000000000002</v>
      </c>
      <c r="AP199">
        <f>IF(Source!BI85&lt;=1,J192, 0)</f>
        <v>0.28999999999999998</v>
      </c>
      <c r="AQ199">
        <f>IF(Source!BI85&lt;=1,J191, 0)</f>
        <v>4.42</v>
      </c>
      <c r="AX199">
        <f>IF(Source!BI85=2,J191+J192+J193+J197+J198, 0)</f>
        <v>0</v>
      </c>
      <c r="AY199">
        <f>IF(Source!BI85=2,J193, 0)</f>
        <v>0</v>
      </c>
      <c r="AZ199">
        <f>IF(Source!BI85=2,J192, 0)</f>
        <v>0</v>
      </c>
      <c r="BA199">
        <f>IF(Source!BI85=2,J191, 0)</f>
        <v>0</v>
      </c>
    </row>
    <row r="200" spans="1:56" ht="14.4">
      <c r="A200" s="110" t="str">
        <f>Source!E86</f>
        <v>20</v>
      </c>
      <c r="B200" s="111" t="str">
        <f>Source!F86</f>
        <v>101-4163</v>
      </c>
      <c r="C200" s="111" t="str">
        <f>Source!G86</f>
        <v>Грунтовка акриловая НОРТЕКС-ГРУНТ</v>
      </c>
      <c r="D200" s="81" t="str">
        <f>Source!H86</f>
        <v>кг</v>
      </c>
      <c r="E200" s="82">
        <f>Source!K86</f>
        <v>-0.35099999999999998</v>
      </c>
      <c r="F200" s="82"/>
      <c r="G200" s="82">
        <f>Source!I86</f>
        <v>-0.35099999999999998</v>
      </c>
      <c r="H200" s="83">
        <f>Source!AL86</f>
        <v>16.579999999999998</v>
      </c>
      <c r="I200" s="84"/>
      <c r="J200" s="85">
        <f>ROUND(Source!AC86*Source!I86, 2)</f>
        <v>-5.82</v>
      </c>
      <c r="K200" s="84"/>
      <c r="L200" s="86"/>
      <c r="AC200">
        <f>Source!X86</f>
        <v>0</v>
      </c>
      <c r="AD200">
        <f>Source!HK86</f>
        <v>0</v>
      </c>
      <c r="AE200">
        <f>Source!Y86</f>
        <v>0</v>
      </c>
      <c r="AF200">
        <f>Source!HL86</f>
        <v>0</v>
      </c>
      <c r="AS200">
        <f>IF(Source!BI86&lt;=1,AD200, 0)</f>
        <v>0</v>
      </c>
      <c r="AT200">
        <f>IF(Source!BI86&lt;=1,AF200, 0)</f>
        <v>0</v>
      </c>
      <c r="BC200">
        <f>IF(Source!BI86=2,AD200, 0)</f>
        <v>0</v>
      </c>
      <c r="BD200">
        <f>IF(Source!BI86=2,AF200, 0)</f>
        <v>0</v>
      </c>
    </row>
    <row r="202" spans="1:56">
      <c r="A202" s="71"/>
      <c r="B202" s="71"/>
      <c r="C202" s="72" t="str">
        <f>"Объем: "&amp;Source!K86&amp;"="&amp;Source!I85&amp;"*"&amp;"-"&amp;"13"</f>
        <v>Объем: -0,351=0,027*-13</v>
      </c>
      <c r="D202" s="71"/>
      <c r="E202" s="71"/>
      <c r="F202" s="71"/>
      <c r="G202" s="71"/>
      <c r="H202" s="71"/>
      <c r="I202" s="71"/>
      <c r="J202" s="71"/>
      <c r="K202" s="71"/>
      <c r="L202" s="71"/>
    </row>
    <row r="203" spans="1:56" ht="13.8">
      <c r="C203" s="95" t="s">
        <v>1386</v>
      </c>
      <c r="D203" s="95"/>
      <c r="E203" s="95"/>
      <c r="F203" s="95"/>
      <c r="G203" s="95"/>
      <c r="H203" s="95"/>
      <c r="I203" s="95">
        <f>J200</f>
        <v>-5.82</v>
      </c>
      <c r="J203" s="95"/>
      <c r="O203" s="69">
        <f>I203</f>
        <v>-5.82</v>
      </c>
      <c r="P203">
        <f>K203</f>
        <v>0</v>
      </c>
      <c r="Q203">
        <f>0</f>
        <v>0</v>
      </c>
      <c r="R203">
        <f>0</f>
        <v>0</v>
      </c>
      <c r="U203">
        <f>0</f>
        <v>0</v>
      </c>
      <c r="V203">
        <f>0</f>
        <v>0</v>
      </c>
      <c r="W203">
        <f>0</f>
        <v>0</v>
      </c>
      <c r="X203">
        <f>0</f>
        <v>0</v>
      </c>
      <c r="Z203">
        <f>0</f>
        <v>0</v>
      </c>
      <c r="AB203" s="69">
        <f>I203</f>
        <v>-5.82</v>
      </c>
      <c r="AN203">
        <f>IF(Source!BI86&lt;=1,J200, 0)</f>
        <v>-5.82</v>
      </c>
      <c r="AO203">
        <f>IF(Source!BI86&lt;=1,I203, 0)</f>
        <v>-5.82</v>
      </c>
      <c r="AP203">
        <f>IF(Source!BI86&lt;=1,0, 0)</f>
        <v>0</v>
      </c>
      <c r="AQ203">
        <f>IF(Source!BI86&lt;=1,0, 0)</f>
        <v>0</v>
      </c>
      <c r="AX203">
        <f>IF(Source!BI86=2,J200, 0)</f>
        <v>0</v>
      </c>
      <c r="AY203">
        <f>IF(Source!BI86=2,I203, 0)</f>
        <v>0</v>
      </c>
      <c r="AZ203">
        <f>IF(Source!BI86=2,0, 0)</f>
        <v>0</v>
      </c>
      <c r="BA203">
        <f>IF(Source!BI86=2,0, 0)</f>
        <v>0</v>
      </c>
    </row>
    <row r="204" spans="1:56" ht="27.6">
      <c r="A204" s="110" t="str">
        <f>Source!E87</f>
        <v>21</v>
      </c>
      <c r="B204" s="111" t="str">
        <f>Source!F87</f>
        <v>101-3469</v>
      </c>
      <c r="C204" s="111" t="str">
        <f>Source!G87</f>
        <v>Краска фактурная ВД-АК-1180, фасадная ВГТ</v>
      </c>
      <c r="D204" s="81" t="str">
        <f>Source!H87</f>
        <v>т</v>
      </c>
      <c r="E204" s="82">
        <f>Source!K87</f>
        <v>-1.026E-3</v>
      </c>
      <c r="F204" s="82"/>
      <c r="G204" s="82">
        <f>Source!I87</f>
        <v>-1.026E-3</v>
      </c>
      <c r="H204" s="83">
        <f>Source!AL87</f>
        <v>7439.37</v>
      </c>
      <c r="I204" s="84"/>
      <c r="J204" s="85">
        <f>ROUND(Source!AC87*Source!I87, 2)</f>
        <v>-7.63</v>
      </c>
      <c r="K204" s="84"/>
      <c r="L204" s="86"/>
      <c r="AC204">
        <f>Source!X87</f>
        <v>0</v>
      </c>
      <c r="AD204">
        <f>Source!HK87</f>
        <v>0</v>
      </c>
      <c r="AE204">
        <f>Source!Y87</f>
        <v>0</v>
      </c>
      <c r="AF204">
        <f>Source!HL87</f>
        <v>0</v>
      </c>
      <c r="AS204">
        <f>IF(Source!BI87&lt;=1,AD204, 0)</f>
        <v>0</v>
      </c>
      <c r="AT204">
        <f>IF(Source!BI87&lt;=1,AF204, 0)</f>
        <v>0</v>
      </c>
      <c r="BC204">
        <f>IF(Source!BI87=2,AD204, 0)</f>
        <v>0</v>
      </c>
      <c r="BD204">
        <f>IF(Source!BI87=2,AF204, 0)</f>
        <v>0</v>
      </c>
    </row>
    <row r="206" spans="1:56">
      <c r="A206" s="71"/>
      <c r="B206" s="71"/>
      <c r="C206" s="72" t="str">
        <f>"Объем: "&amp;Source!K87&amp;"="&amp;Source!I85&amp;"*"&amp;"-"&amp;"0,038"</f>
        <v>Объем: -0,001026=0,027*-0,038</v>
      </c>
      <c r="D206" s="71"/>
      <c r="E206" s="71"/>
      <c r="F206" s="71"/>
      <c r="G206" s="71"/>
      <c r="H206" s="71"/>
      <c r="I206" s="71"/>
      <c r="J206" s="71"/>
      <c r="K206" s="71"/>
      <c r="L206" s="71"/>
    </row>
    <row r="207" spans="1:56" ht="13.8">
      <c r="C207" s="95" t="s">
        <v>1386</v>
      </c>
      <c r="D207" s="95"/>
      <c r="E207" s="95"/>
      <c r="F207" s="95"/>
      <c r="G207" s="95"/>
      <c r="H207" s="95"/>
      <c r="I207" s="95">
        <f>J204</f>
        <v>-7.63</v>
      </c>
      <c r="J207" s="95"/>
      <c r="O207" s="69">
        <f>I207</f>
        <v>-7.63</v>
      </c>
      <c r="P207">
        <f>K207</f>
        <v>0</v>
      </c>
      <c r="Q207">
        <f>0</f>
        <v>0</v>
      </c>
      <c r="R207">
        <f>0</f>
        <v>0</v>
      </c>
      <c r="U207">
        <f>0</f>
        <v>0</v>
      </c>
      <c r="V207">
        <f>0</f>
        <v>0</v>
      </c>
      <c r="W207">
        <f>0</f>
        <v>0</v>
      </c>
      <c r="X207">
        <f>0</f>
        <v>0</v>
      </c>
      <c r="Z207">
        <f>0</f>
        <v>0</v>
      </c>
      <c r="AB207" s="69">
        <f>I207</f>
        <v>-7.63</v>
      </c>
      <c r="AN207">
        <f>IF(Source!BI87&lt;=1,J204, 0)</f>
        <v>-7.63</v>
      </c>
      <c r="AO207">
        <f>IF(Source!BI87&lt;=1,I207, 0)</f>
        <v>-7.63</v>
      </c>
      <c r="AP207">
        <f>IF(Source!BI87&lt;=1,0, 0)</f>
        <v>0</v>
      </c>
      <c r="AQ207">
        <f>IF(Source!BI87&lt;=1,0, 0)</f>
        <v>0</v>
      </c>
      <c r="AX207">
        <f>IF(Source!BI87=2,J204, 0)</f>
        <v>0</v>
      </c>
      <c r="AY207">
        <f>IF(Source!BI87=2,I207, 0)</f>
        <v>0</v>
      </c>
      <c r="AZ207">
        <f>IF(Source!BI87=2,0, 0)</f>
        <v>0</v>
      </c>
      <c r="BA207">
        <f>IF(Source!BI87=2,0, 0)</f>
        <v>0</v>
      </c>
    </row>
    <row r="208" spans="1:56" ht="27.6">
      <c r="A208" s="110" t="str">
        <f>Source!E88</f>
        <v>22</v>
      </c>
      <c r="B208" s="111" t="str">
        <f>Source!F88</f>
        <v>ТЦ-14.4.00.00_69_0-02</v>
      </c>
      <c r="C208" s="111" t="str">
        <f>Source!G88</f>
        <v>Краска акриловая  CAPAROL AmphiSilan plus (886,25/6,17)</v>
      </c>
      <c r="D208" s="81" t="str">
        <f>Source!H88</f>
        <v>л</v>
      </c>
      <c r="E208" s="82">
        <f>Source!K88</f>
        <v>1.08</v>
      </c>
      <c r="F208" s="82"/>
      <c r="G208" s="82">
        <f>Source!I88</f>
        <v>1.08</v>
      </c>
      <c r="H208" s="83">
        <f>Source!AL88</f>
        <v>886.25</v>
      </c>
      <c r="I208" s="84"/>
      <c r="J208" s="85">
        <f>Source!P88</f>
        <v>155.11000000000001</v>
      </c>
      <c r="K208" s="84">
        <f>IF(Source!BC88&lt;&gt; 0, Source!BC88, 1)</f>
        <v>6.17</v>
      </c>
      <c r="L208" s="86">
        <f>Source!HG88</f>
        <v>957</v>
      </c>
      <c r="AC208">
        <f>Source!X88</f>
        <v>0</v>
      </c>
      <c r="AD208">
        <f>Source!HK88</f>
        <v>0</v>
      </c>
      <c r="AE208">
        <f>Source!Y88</f>
        <v>0</v>
      </c>
      <c r="AF208">
        <f>Source!HL88</f>
        <v>0</v>
      </c>
      <c r="AS208">
        <f>IF(Source!BI88&lt;=1,AD208, 0)</f>
        <v>0</v>
      </c>
      <c r="AT208">
        <f>IF(Source!BI88&lt;=1,AF208, 0)</f>
        <v>0</v>
      </c>
      <c r="BC208">
        <f>IF(Source!BI88=2,AD208, 0)</f>
        <v>0</v>
      </c>
      <c r="BD208">
        <f>IF(Source!BI88=2,AF208, 0)</f>
        <v>0</v>
      </c>
    </row>
    <row r="209" spans="1:71">
      <c r="A209" s="71"/>
      <c r="B209" s="71"/>
      <c r="C209" s="71"/>
      <c r="D209" s="71"/>
      <c r="E209" s="71"/>
      <c r="F209" s="71"/>
      <c r="G209" s="71"/>
      <c r="H209" s="71"/>
      <c r="I209" s="71"/>
      <c r="J209" s="71"/>
      <c r="K209" s="71"/>
      <c r="L209" s="71"/>
    </row>
    <row r="210" spans="1:71" ht="13.8">
      <c r="C210" s="95" t="s">
        <v>1386</v>
      </c>
      <c r="D210" s="95"/>
      <c r="E210" s="95"/>
      <c r="F210" s="95"/>
      <c r="G210" s="95"/>
      <c r="H210" s="95"/>
      <c r="I210" s="95">
        <f>J208</f>
        <v>155.11000000000001</v>
      </c>
      <c r="J210" s="95"/>
      <c r="K210" s="96">
        <f>L208</f>
        <v>957</v>
      </c>
      <c r="L210" s="96"/>
      <c r="O210" s="69">
        <f>I210</f>
        <v>155.11000000000001</v>
      </c>
      <c r="P210" s="70">
        <f>K210</f>
        <v>957</v>
      </c>
      <c r="Q210">
        <f>0</f>
        <v>0</v>
      </c>
      <c r="R210">
        <f>0</f>
        <v>0</v>
      </c>
      <c r="U210">
        <f>0</f>
        <v>0</v>
      </c>
      <c r="V210">
        <f>0</f>
        <v>0</v>
      </c>
      <c r="W210">
        <f>0</f>
        <v>0</v>
      </c>
      <c r="X210">
        <f>0</f>
        <v>0</v>
      </c>
      <c r="Z210">
        <f>0</f>
        <v>0</v>
      </c>
      <c r="AB210" s="69">
        <f>I210</f>
        <v>155.11000000000001</v>
      </c>
      <c r="AN210">
        <f>IF(Source!BI88&lt;=1,J208, 0)</f>
        <v>155.11000000000001</v>
      </c>
      <c r="AO210">
        <f>IF(Source!BI88&lt;=1,I210, 0)</f>
        <v>155.11000000000001</v>
      </c>
      <c r="AP210">
        <f>IF(Source!BI88&lt;=1,0, 0)</f>
        <v>0</v>
      </c>
      <c r="AQ210">
        <f>IF(Source!BI88&lt;=1,0, 0)</f>
        <v>0</v>
      </c>
      <c r="AX210">
        <f>IF(Source!BI88=2,J208, 0)</f>
        <v>0</v>
      </c>
      <c r="AY210">
        <f>IF(Source!BI88=2,I210, 0)</f>
        <v>0</v>
      </c>
      <c r="AZ210">
        <f>IF(Source!BI88=2,0, 0)</f>
        <v>0</v>
      </c>
      <c r="BA210">
        <f>IF(Source!BI88=2,0, 0)</f>
        <v>0</v>
      </c>
      <c r="BQ210" s="69">
        <f>I210</f>
        <v>155.11000000000001</v>
      </c>
      <c r="BS210" s="70">
        <f>K210</f>
        <v>957</v>
      </c>
    </row>
    <row r="211" spans="1:71" ht="27.6">
      <c r="A211" s="110" t="str">
        <f>Source!E89</f>
        <v>23</v>
      </c>
      <c r="B211" s="111" t="str">
        <f>Source!F89</f>
        <v>ТЦ-14.4.00.00_69_0_02</v>
      </c>
      <c r="C211" s="111" t="str">
        <f>Source!G89</f>
        <v>Грунтовка акриловая  CAPAROL Putzfestiger (724,17/6,17)</v>
      </c>
      <c r="D211" s="81" t="str">
        <f>Source!H89</f>
        <v>л</v>
      </c>
      <c r="E211" s="82">
        <f>Source!K89</f>
        <v>0.81</v>
      </c>
      <c r="F211" s="82"/>
      <c r="G211" s="82">
        <f>Source!I89</f>
        <v>0.81</v>
      </c>
      <c r="H211" s="83">
        <f>Source!AL89</f>
        <v>724.17</v>
      </c>
      <c r="I211" s="84"/>
      <c r="J211" s="85">
        <f>Source!P89</f>
        <v>95.14</v>
      </c>
      <c r="K211" s="84">
        <f>IF(Source!BC89&lt;&gt; 0, Source!BC89, 1)</f>
        <v>6.17</v>
      </c>
      <c r="L211" s="86">
        <f>Source!HG89</f>
        <v>587</v>
      </c>
      <c r="AC211">
        <f>Source!X89</f>
        <v>0</v>
      </c>
      <c r="AD211">
        <f>Source!HK89</f>
        <v>0</v>
      </c>
      <c r="AE211">
        <f>Source!Y89</f>
        <v>0</v>
      </c>
      <c r="AF211">
        <f>Source!HL89</f>
        <v>0</v>
      </c>
      <c r="AS211">
        <f>IF(Source!BI89&lt;=1,AD211, 0)</f>
        <v>0</v>
      </c>
      <c r="AT211">
        <f>IF(Source!BI89&lt;=1,AF211, 0)</f>
        <v>0</v>
      </c>
      <c r="BC211">
        <f>IF(Source!BI89=2,AD211, 0)</f>
        <v>0</v>
      </c>
      <c r="BD211">
        <f>IF(Source!BI89=2,AF211, 0)</f>
        <v>0</v>
      </c>
    </row>
    <row r="212" spans="1:71">
      <c r="A212" s="71"/>
      <c r="B212" s="71"/>
      <c r="C212" s="71"/>
      <c r="D212" s="71"/>
      <c r="E212" s="71"/>
      <c r="F212" s="71"/>
      <c r="G212" s="71"/>
      <c r="H212" s="71"/>
      <c r="I212" s="71"/>
      <c r="J212" s="71"/>
      <c r="K212" s="71"/>
      <c r="L212" s="71"/>
    </row>
    <row r="213" spans="1:71" ht="13.8">
      <c r="C213" s="95" t="s">
        <v>1386</v>
      </c>
      <c r="D213" s="95"/>
      <c r="E213" s="95"/>
      <c r="F213" s="95"/>
      <c r="G213" s="95"/>
      <c r="H213" s="95"/>
      <c r="I213" s="95">
        <f>J211</f>
        <v>95.14</v>
      </c>
      <c r="J213" s="95"/>
      <c r="K213" s="96">
        <f>L211</f>
        <v>587</v>
      </c>
      <c r="L213" s="96"/>
      <c r="O213" s="69">
        <f>I213</f>
        <v>95.14</v>
      </c>
      <c r="P213" s="70">
        <f>K213</f>
        <v>587</v>
      </c>
      <c r="Q213">
        <f>0</f>
        <v>0</v>
      </c>
      <c r="R213">
        <f>0</f>
        <v>0</v>
      </c>
      <c r="U213">
        <f>0</f>
        <v>0</v>
      </c>
      <c r="V213">
        <f>0</f>
        <v>0</v>
      </c>
      <c r="W213">
        <f>0</f>
        <v>0</v>
      </c>
      <c r="X213">
        <f>0</f>
        <v>0</v>
      </c>
      <c r="Z213">
        <f>0</f>
        <v>0</v>
      </c>
      <c r="AB213" s="69">
        <f>I213</f>
        <v>95.14</v>
      </c>
      <c r="AN213">
        <f>IF(Source!BI89&lt;=1,J211, 0)</f>
        <v>95.14</v>
      </c>
      <c r="AO213">
        <f>IF(Source!BI89&lt;=1,I213, 0)</f>
        <v>95.14</v>
      </c>
      <c r="AP213">
        <f>IF(Source!BI89&lt;=1,0, 0)</f>
        <v>0</v>
      </c>
      <c r="AQ213">
        <f>IF(Source!BI89&lt;=1,0, 0)</f>
        <v>0</v>
      </c>
      <c r="AX213">
        <f>IF(Source!BI89=2,J211, 0)</f>
        <v>0</v>
      </c>
      <c r="AY213">
        <f>IF(Source!BI89=2,I213, 0)</f>
        <v>0</v>
      </c>
      <c r="AZ213">
        <f>IF(Source!BI89=2,0, 0)</f>
        <v>0</v>
      </c>
      <c r="BA213">
        <f>IF(Source!BI89=2,0, 0)</f>
        <v>0</v>
      </c>
      <c r="BQ213" s="69">
        <f>I213</f>
        <v>95.14</v>
      </c>
      <c r="BS213" s="70">
        <f>K213</f>
        <v>587</v>
      </c>
    </row>
    <row r="214" spans="1:71" ht="147">
      <c r="A214" s="110" t="str">
        <f>Source!E90</f>
        <v>24</v>
      </c>
      <c r="B214" s="111" t="str">
        <f>Source!F90</f>
        <v>12-01-010-1</v>
      </c>
      <c r="C214" s="111" t="s">
        <v>1424</v>
      </c>
      <c r="D214" s="81" t="str">
        <f>Source!H90</f>
        <v>100 м2 покрытия</v>
      </c>
      <c r="E214" s="82">
        <f>Source!K90</f>
        <v>2.4299999999999999E-2</v>
      </c>
      <c r="F214" s="82"/>
      <c r="G214" s="82">
        <f>Source!I90</f>
        <v>2.4299999999999999E-2</v>
      </c>
      <c r="H214" s="83"/>
      <c r="I214" s="84"/>
      <c r="J214" s="85"/>
      <c r="K214" s="84"/>
      <c r="L214" s="86"/>
      <c r="AC214">
        <f>Source!X90</f>
        <v>29.34</v>
      </c>
      <c r="AD214">
        <f>Source!HK90</f>
        <v>710</v>
      </c>
      <c r="AE214">
        <f>Source!Y90</f>
        <v>14.49</v>
      </c>
      <c r="AF214">
        <f>Source!HL90</f>
        <v>351</v>
      </c>
      <c r="AS214">
        <f>IF(Source!BI90&lt;=1,AD214, 0)</f>
        <v>710</v>
      </c>
      <c r="AT214">
        <f>IF(Source!BI90&lt;=1,AF214, 0)</f>
        <v>351</v>
      </c>
      <c r="BC214">
        <f>IF(Source!BI90=2,AD214, 0)</f>
        <v>0</v>
      </c>
      <c r="BD214">
        <f>IF(Source!BI90=2,AF214, 0)</f>
        <v>0</v>
      </c>
    </row>
    <row r="216" spans="1:71">
      <c r="C216" s="67" t="str">
        <f>"Объем: "&amp;Source!K90&amp;"=2,43/"&amp;"100"</f>
        <v>Объем: 0,0243=2,43/100</v>
      </c>
    </row>
    <row r="217" spans="1:71" ht="14.4">
      <c r="A217" s="110"/>
      <c r="B217" s="112">
        <v>1</v>
      </c>
      <c r="C217" s="111" t="s">
        <v>1373</v>
      </c>
      <c r="D217" s="81"/>
      <c r="E217" s="82"/>
      <c r="F217" s="82"/>
      <c r="G217" s="82"/>
      <c r="H217" s="83">
        <f>Source!AO90</f>
        <v>927.93</v>
      </c>
      <c r="I217" s="84">
        <f>ROUND(1.15*1.15,7)</f>
        <v>1.3225</v>
      </c>
      <c r="J217" s="85">
        <f>ROUND(Source!AF90*Source!I90, 2)</f>
        <v>29.82</v>
      </c>
      <c r="K217" s="84">
        <f>IF(Source!BA90&lt;&gt; 0, Source!BA90, 1)</f>
        <v>24.22</v>
      </c>
      <c r="L217" s="86">
        <f>Source!HJ90</f>
        <v>722</v>
      </c>
    </row>
    <row r="218" spans="1:71" ht="14.4">
      <c r="A218" s="110"/>
      <c r="B218" s="112">
        <v>3</v>
      </c>
      <c r="C218" s="111" t="s">
        <v>1374</v>
      </c>
      <c r="D218" s="81"/>
      <c r="E218" s="82"/>
      <c r="F218" s="82"/>
      <c r="G218" s="82"/>
      <c r="H218" s="83">
        <f>Source!AM90</f>
        <v>23.6</v>
      </c>
      <c r="I218" s="84">
        <f>ROUND(1.25*1.15,7)</f>
        <v>1.4375</v>
      </c>
      <c r="J218" s="85">
        <f>ROUND(Source!AD90*Source!I90, 2)</f>
        <v>0.82</v>
      </c>
      <c r="K218" s="84"/>
      <c r="L218" s="86"/>
    </row>
    <row r="219" spans="1:71" ht="14.4">
      <c r="A219" s="110"/>
      <c r="B219" s="112">
        <v>2</v>
      </c>
      <c r="C219" s="111" t="s">
        <v>1375</v>
      </c>
      <c r="D219" s="81"/>
      <c r="E219" s="82"/>
      <c r="F219" s="82"/>
      <c r="G219" s="82"/>
      <c r="H219" s="83">
        <f>Source!AN90</f>
        <v>2.61</v>
      </c>
      <c r="I219" s="84">
        <f>ROUND(1.25*1.15,7)</f>
        <v>1.4375</v>
      </c>
      <c r="J219" s="87">
        <f>ROUND(Source!AE90*Source!I90, 2)</f>
        <v>0.09</v>
      </c>
      <c r="K219" s="84">
        <f>IF(Source!BS90&lt;&gt; 0, Source!BS90, 1)</f>
        <v>24.22</v>
      </c>
      <c r="L219" s="88">
        <f>Source!HI90</f>
        <v>2</v>
      </c>
    </row>
    <row r="220" spans="1:71" ht="14.4">
      <c r="A220" s="110"/>
      <c r="B220" s="112">
        <v>4</v>
      </c>
      <c r="C220" s="111" t="s">
        <v>1408</v>
      </c>
      <c r="D220" s="81"/>
      <c r="E220" s="82"/>
      <c r="F220" s="82"/>
      <c r="G220" s="82"/>
      <c r="H220" s="83">
        <f>Source!AL90</f>
        <v>9655.7000000000007</v>
      </c>
      <c r="I220" s="84"/>
      <c r="J220" s="85">
        <f>ROUND(Source!AC90*Source!I90, 2)</f>
        <v>234.63</v>
      </c>
      <c r="K220" s="84"/>
      <c r="L220" s="86"/>
    </row>
    <row r="221" spans="1:71" ht="14.4">
      <c r="A221" s="110"/>
      <c r="B221" s="111"/>
      <c r="C221" s="111" t="s">
        <v>1376</v>
      </c>
      <c r="D221" s="81" t="s">
        <v>1377</v>
      </c>
      <c r="E221" s="82">
        <f>Source!AQ90</f>
        <v>112.75</v>
      </c>
      <c r="F221" s="82">
        <f>ROUND(1.15*1.15,7)</f>
        <v>1.3225</v>
      </c>
      <c r="G221" s="82">
        <f>ROUND(Source!U90, 7)</f>
        <v>3.6234185999999999</v>
      </c>
      <c r="H221" s="83"/>
      <c r="I221" s="84"/>
      <c r="J221" s="85"/>
      <c r="K221" s="84"/>
      <c r="L221" s="86"/>
    </row>
    <row r="222" spans="1:71" ht="14.4">
      <c r="A222" s="110"/>
      <c r="B222" s="111"/>
      <c r="C222" s="113" t="s">
        <v>1378</v>
      </c>
      <c r="D222" s="89" t="s">
        <v>1377</v>
      </c>
      <c r="E222" s="90">
        <f>Source!AR90</f>
        <v>0.2</v>
      </c>
      <c r="F222" s="90">
        <f>ROUND(1.25*1.15,7)</f>
        <v>1.4375</v>
      </c>
      <c r="G222" s="90">
        <f>ROUND(Source!V90, 7)</f>
        <v>6.9863E-3</v>
      </c>
      <c r="H222" s="91"/>
      <c r="I222" s="92"/>
      <c r="J222" s="93"/>
      <c r="K222" s="92"/>
      <c r="L222" s="94"/>
    </row>
    <row r="223" spans="1:71" ht="14.4">
      <c r="A223" s="110"/>
      <c r="B223" s="111"/>
      <c r="C223" s="111" t="s">
        <v>1379</v>
      </c>
      <c r="D223" s="81"/>
      <c r="E223" s="82"/>
      <c r="F223" s="82"/>
      <c r="G223" s="82"/>
      <c r="H223" s="83">
        <f>H217+H218+H220</f>
        <v>10607.230000000001</v>
      </c>
      <c r="I223" s="84"/>
      <c r="J223" s="85">
        <f>J217+J218+J220</f>
        <v>265.27</v>
      </c>
      <c r="K223" s="84"/>
      <c r="L223" s="86"/>
    </row>
    <row r="224" spans="1:71" ht="14.4">
      <c r="A224" s="110"/>
      <c r="B224" s="111"/>
      <c r="C224" s="111" t="s">
        <v>1380</v>
      </c>
      <c r="D224" s="81"/>
      <c r="E224" s="82"/>
      <c r="F224" s="82"/>
      <c r="G224" s="82"/>
      <c r="H224" s="83"/>
      <c r="I224" s="84"/>
      <c r="J224" s="85">
        <f>SUM(Q214:Q227)+SUM(V214:V227)</f>
        <v>29.91</v>
      </c>
      <c r="K224" s="84"/>
      <c r="L224" s="86">
        <f>SUM(U214:U227)+SUM(W214:W227)</f>
        <v>724</v>
      </c>
    </row>
    <row r="225" spans="1:56" ht="14.4">
      <c r="A225" s="110"/>
      <c r="B225" s="111" t="s">
        <v>1425</v>
      </c>
      <c r="C225" s="111" t="s">
        <v>1426</v>
      </c>
      <c r="D225" s="81" t="s">
        <v>1383</v>
      </c>
      <c r="E225" s="82">
        <f>Source!BZ90</f>
        <v>109</v>
      </c>
      <c r="F225" s="82">
        <f>ROUND(0.9,7)</f>
        <v>0.9</v>
      </c>
      <c r="G225" s="82">
        <f>Source!AT90</f>
        <v>98.1</v>
      </c>
      <c r="H225" s="83"/>
      <c r="I225" s="84"/>
      <c r="J225" s="85">
        <f>SUM(AC214:AC227)</f>
        <v>29.34</v>
      </c>
      <c r="K225" s="84"/>
      <c r="L225" s="86">
        <f>SUM(AD214:AD227)</f>
        <v>710</v>
      </c>
    </row>
    <row r="226" spans="1:56" ht="14.4">
      <c r="A226" s="114"/>
      <c r="B226" s="113" t="s">
        <v>1427</v>
      </c>
      <c r="C226" s="113" t="s">
        <v>1428</v>
      </c>
      <c r="D226" s="89" t="s">
        <v>1383</v>
      </c>
      <c r="E226" s="90">
        <f>Source!CA90</f>
        <v>57</v>
      </c>
      <c r="F226" s="90">
        <f>ROUND(0.85,7)</f>
        <v>0.85</v>
      </c>
      <c r="G226" s="90">
        <f>Source!AU90</f>
        <v>48.45</v>
      </c>
      <c r="H226" s="91"/>
      <c r="I226" s="92"/>
      <c r="J226" s="93">
        <f>SUM(AE214:AE227)</f>
        <v>14.49</v>
      </c>
      <c r="K226" s="92"/>
      <c r="L226" s="94">
        <f>SUM(AF214:AF227)</f>
        <v>351</v>
      </c>
    </row>
    <row r="227" spans="1:56" ht="13.8">
      <c r="C227" s="95" t="s">
        <v>1386</v>
      </c>
      <c r="D227" s="95"/>
      <c r="E227" s="95"/>
      <c r="F227" s="95"/>
      <c r="G227" s="95"/>
      <c r="H227" s="95"/>
      <c r="I227" s="95">
        <f>J217+J218+J220+J225+J226</f>
        <v>309.09999999999997</v>
      </c>
      <c r="J227" s="95"/>
      <c r="O227" s="69">
        <f>I227</f>
        <v>309.09999999999997</v>
      </c>
      <c r="P227">
        <f>K227</f>
        <v>0</v>
      </c>
      <c r="Q227" s="69">
        <f>J217</f>
        <v>29.82</v>
      </c>
      <c r="R227" s="69">
        <f>J217</f>
        <v>29.82</v>
      </c>
      <c r="U227" s="70">
        <f>L217</f>
        <v>722</v>
      </c>
      <c r="V227" s="69">
        <f>J219</f>
        <v>0.09</v>
      </c>
      <c r="W227" s="70">
        <f>L219</f>
        <v>2</v>
      </c>
      <c r="X227" s="69">
        <f>J218</f>
        <v>0.82</v>
      </c>
      <c r="Z227" s="70">
        <f>L218</f>
        <v>0</v>
      </c>
      <c r="AB227" s="69">
        <f>J220</f>
        <v>234.63</v>
      </c>
      <c r="AN227">
        <f>IF(Source!BI90&lt;=1,J217+J218+J220+J225+J226, 0)</f>
        <v>309.09999999999997</v>
      </c>
      <c r="AO227">
        <f>IF(Source!BI90&lt;=1,J220, 0)</f>
        <v>234.63</v>
      </c>
      <c r="AP227">
        <f>IF(Source!BI90&lt;=1,J218, 0)</f>
        <v>0.82</v>
      </c>
      <c r="AQ227">
        <f>IF(Source!BI90&lt;=1,J217, 0)</f>
        <v>29.82</v>
      </c>
      <c r="AX227">
        <f>IF(Source!BI90=2,J217+J218+J220+J225+J226, 0)</f>
        <v>0</v>
      </c>
      <c r="AY227">
        <f>IF(Source!BI90=2,J220, 0)</f>
        <v>0</v>
      </c>
      <c r="AZ227">
        <f>IF(Source!BI90=2,J218, 0)</f>
        <v>0</v>
      </c>
      <c r="BA227">
        <f>IF(Source!BI90=2,J217, 0)</f>
        <v>0</v>
      </c>
    </row>
    <row r="228" spans="1:56" ht="174.6">
      <c r="A228" s="110" t="str">
        <f>Source!E91</f>
        <v>25</v>
      </c>
      <c r="B228" s="111" t="str">
        <f>Source!F91</f>
        <v>15-04-016-3</v>
      </c>
      <c r="C228" s="111" t="s">
        <v>1429</v>
      </c>
      <c r="D228" s="81" t="str">
        <f>Source!H91</f>
        <v>100 м2 окрашиваемой поверхности</v>
      </c>
      <c r="E228" s="82">
        <f>Source!K91</f>
        <v>0.26</v>
      </c>
      <c r="F228" s="82"/>
      <c r="G228" s="82">
        <f>Source!I91</f>
        <v>0.26</v>
      </c>
      <c r="H228" s="83"/>
      <c r="I228" s="84"/>
      <c r="J228" s="85"/>
      <c r="K228" s="84"/>
      <c r="L228" s="86"/>
      <c r="AC228">
        <f>Source!X91</f>
        <v>44.14</v>
      </c>
      <c r="AD228">
        <f>Source!HK91</f>
        <v>1069</v>
      </c>
      <c r="AE228">
        <f>Source!Y91</f>
        <v>20.43</v>
      </c>
      <c r="AF228">
        <f>Source!HL91</f>
        <v>495</v>
      </c>
      <c r="AS228">
        <f>IF(Source!BI91&lt;=1,AD228, 0)</f>
        <v>1069</v>
      </c>
      <c r="AT228">
        <f>IF(Source!BI91&lt;=1,AF228, 0)</f>
        <v>495</v>
      </c>
      <c r="BC228">
        <f>IF(Source!BI91=2,AD228, 0)</f>
        <v>0</v>
      </c>
      <c r="BD228">
        <f>IF(Source!BI91=2,AF228, 0)</f>
        <v>0</v>
      </c>
    </row>
    <row r="230" spans="1:56">
      <c r="C230" s="67" t="str">
        <f>"Объем: "&amp;Source!K91&amp;"=26/"&amp;"100"</f>
        <v>Объем: 0,26=26/100</v>
      </c>
    </row>
    <row r="231" spans="1:56" ht="14.4">
      <c r="A231" s="110"/>
      <c r="B231" s="112">
        <v>1</v>
      </c>
      <c r="C231" s="111" t="s">
        <v>1373</v>
      </c>
      <c r="D231" s="81"/>
      <c r="E231" s="82"/>
      <c r="F231" s="82"/>
      <c r="G231" s="82"/>
      <c r="H231" s="83">
        <f>Source!AO91</f>
        <v>142.62</v>
      </c>
      <c r="I231" s="84">
        <f>ROUND(1.15*1.15,7)</f>
        <v>1.3225</v>
      </c>
      <c r="J231" s="85">
        <f>ROUND(Source!AF91*Source!I91, 2)</f>
        <v>49.04</v>
      </c>
      <c r="K231" s="84">
        <f>IF(Source!BA91&lt;&gt; 0, Source!BA91, 1)</f>
        <v>24.22</v>
      </c>
      <c r="L231" s="86">
        <f>Source!HJ91</f>
        <v>1188</v>
      </c>
    </row>
    <row r="232" spans="1:56" ht="14.4">
      <c r="A232" s="110"/>
      <c r="B232" s="112">
        <v>3</v>
      </c>
      <c r="C232" s="111" t="s">
        <v>1374</v>
      </c>
      <c r="D232" s="81"/>
      <c r="E232" s="82"/>
      <c r="F232" s="82"/>
      <c r="G232" s="82"/>
      <c r="H232" s="83">
        <f>Source!AM91</f>
        <v>452.24</v>
      </c>
      <c r="I232" s="84">
        <f>ROUND(1.25*1.15,7)</f>
        <v>1.4375</v>
      </c>
      <c r="J232" s="85">
        <f>ROUND(Source!AD91*Source!I91, 2)</f>
        <v>169.02</v>
      </c>
      <c r="K232" s="84"/>
      <c r="L232" s="86"/>
    </row>
    <row r="233" spans="1:56" ht="14.4">
      <c r="A233" s="110"/>
      <c r="B233" s="112">
        <v>4</v>
      </c>
      <c r="C233" s="111" t="s">
        <v>1408</v>
      </c>
      <c r="D233" s="81"/>
      <c r="E233" s="82"/>
      <c r="F233" s="82"/>
      <c r="G233" s="82"/>
      <c r="H233" s="83">
        <f>Source!AL91</f>
        <v>473.75</v>
      </c>
      <c r="I233" s="84"/>
      <c r="J233" s="85">
        <f>ROUND(Source!AC91*Source!I91, 2)</f>
        <v>123.18</v>
      </c>
      <c r="K233" s="84"/>
      <c r="L233" s="86"/>
    </row>
    <row r="234" spans="1:56" ht="14.4">
      <c r="A234" s="110"/>
      <c r="B234" s="111"/>
      <c r="C234" s="113" t="s">
        <v>1376</v>
      </c>
      <c r="D234" s="89" t="s">
        <v>1377</v>
      </c>
      <c r="E234" s="90">
        <f>Source!AQ91</f>
        <v>15.9</v>
      </c>
      <c r="F234" s="90">
        <f>ROUND(1.15*1.15,7)</f>
        <v>1.3225</v>
      </c>
      <c r="G234" s="90">
        <f>ROUND(Source!U91, 7)</f>
        <v>5.4672150000000004</v>
      </c>
      <c r="H234" s="91"/>
      <c r="I234" s="92"/>
      <c r="J234" s="93"/>
      <c r="K234" s="92"/>
      <c r="L234" s="94"/>
    </row>
    <row r="235" spans="1:56" ht="14.4">
      <c r="A235" s="110"/>
      <c r="B235" s="111"/>
      <c r="C235" s="111" t="s">
        <v>1379</v>
      </c>
      <c r="D235" s="81"/>
      <c r="E235" s="82"/>
      <c r="F235" s="82"/>
      <c r="G235" s="82"/>
      <c r="H235" s="83">
        <f>H231+H232+H233</f>
        <v>1068.6100000000001</v>
      </c>
      <c r="I235" s="84"/>
      <c r="J235" s="85">
        <f>J231+J232+J233</f>
        <v>341.24</v>
      </c>
      <c r="K235" s="84"/>
      <c r="L235" s="86"/>
    </row>
    <row r="236" spans="1:56" ht="14.4">
      <c r="A236" s="110"/>
      <c r="B236" s="111"/>
      <c r="C236" s="111" t="s">
        <v>1380</v>
      </c>
      <c r="D236" s="81"/>
      <c r="E236" s="82"/>
      <c r="F236" s="82"/>
      <c r="G236" s="82"/>
      <c r="H236" s="83"/>
      <c r="I236" s="84"/>
      <c r="J236" s="85">
        <f>SUM(Q228:Q239)+SUM(V228:V239)</f>
        <v>49.04</v>
      </c>
      <c r="K236" s="84"/>
      <c r="L236" s="86">
        <f>SUM(U228:U239)+SUM(W228:W239)</f>
        <v>1188</v>
      </c>
    </row>
    <row r="237" spans="1:56" ht="14.4">
      <c r="A237" s="110"/>
      <c r="B237" s="111" t="s">
        <v>1414</v>
      </c>
      <c r="C237" s="111" t="s">
        <v>1415</v>
      </c>
      <c r="D237" s="81" t="s">
        <v>1383</v>
      </c>
      <c r="E237" s="82">
        <f>Source!BZ91</f>
        <v>100</v>
      </c>
      <c r="F237" s="82">
        <f>ROUND(0.9,7)</f>
        <v>0.9</v>
      </c>
      <c r="G237" s="82">
        <f>Source!AT91</f>
        <v>90</v>
      </c>
      <c r="H237" s="83"/>
      <c r="I237" s="84"/>
      <c r="J237" s="85">
        <f>SUM(AC228:AC239)</f>
        <v>44.14</v>
      </c>
      <c r="K237" s="84"/>
      <c r="L237" s="86">
        <f>SUM(AD228:AD239)</f>
        <v>1069</v>
      </c>
    </row>
    <row r="238" spans="1:56" ht="14.4">
      <c r="A238" s="114"/>
      <c r="B238" s="113" t="s">
        <v>1416</v>
      </c>
      <c r="C238" s="113" t="s">
        <v>1417</v>
      </c>
      <c r="D238" s="89" t="s">
        <v>1383</v>
      </c>
      <c r="E238" s="90">
        <f>Source!CA91</f>
        <v>49</v>
      </c>
      <c r="F238" s="90">
        <f>ROUND(0.85,7)</f>
        <v>0.85</v>
      </c>
      <c r="G238" s="90">
        <f>Source!AU91</f>
        <v>41.65</v>
      </c>
      <c r="H238" s="91"/>
      <c r="I238" s="92"/>
      <c r="J238" s="93">
        <f>SUM(AE228:AE239)</f>
        <v>20.43</v>
      </c>
      <c r="K238" s="92"/>
      <c r="L238" s="94">
        <f>SUM(AF228:AF239)</f>
        <v>495</v>
      </c>
    </row>
    <row r="239" spans="1:56" ht="13.8">
      <c r="C239" s="95" t="s">
        <v>1386</v>
      </c>
      <c r="D239" s="95"/>
      <c r="E239" s="95"/>
      <c r="F239" s="95"/>
      <c r="G239" s="95"/>
      <c r="H239" s="95"/>
      <c r="I239" s="95">
        <f>J231+J232+J233+J237+J238</f>
        <v>405.81</v>
      </c>
      <c r="J239" s="95"/>
      <c r="O239" s="69">
        <f>I239</f>
        <v>405.81</v>
      </c>
      <c r="P239">
        <f>K239</f>
        <v>0</v>
      </c>
      <c r="Q239" s="69">
        <f>J231</f>
        <v>49.04</v>
      </c>
      <c r="R239" s="69">
        <f>J231</f>
        <v>49.04</v>
      </c>
      <c r="U239" s="70">
        <f>L231</f>
        <v>1188</v>
      </c>
      <c r="V239">
        <f>0</f>
        <v>0</v>
      </c>
      <c r="W239">
        <f>0</f>
        <v>0</v>
      </c>
      <c r="X239" s="69">
        <f>J232</f>
        <v>169.02</v>
      </c>
      <c r="Z239" s="70">
        <f>L232</f>
        <v>0</v>
      </c>
      <c r="AB239" s="69">
        <f>J233</f>
        <v>123.18</v>
      </c>
      <c r="AN239">
        <f>IF(Source!BI91&lt;=1,J231+J232+J233+J237+J238, 0)</f>
        <v>405.81</v>
      </c>
      <c r="AO239">
        <f>IF(Source!BI91&lt;=1,J233, 0)</f>
        <v>123.18</v>
      </c>
      <c r="AP239">
        <f>IF(Source!BI91&lt;=1,J232, 0)</f>
        <v>169.02</v>
      </c>
      <c r="AQ239">
        <f>IF(Source!BI91&lt;=1,J231, 0)</f>
        <v>49.04</v>
      </c>
      <c r="AX239">
        <f>IF(Source!BI91=2,J231+J232+J233+J237+J238, 0)</f>
        <v>0</v>
      </c>
      <c r="AY239">
        <f>IF(Source!BI91=2,J233, 0)</f>
        <v>0</v>
      </c>
      <c r="AZ239">
        <f>IF(Source!BI91=2,J232, 0)</f>
        <v>0</v>
      </c>
      <c r="BA239">
        <f>IF(Source!BI91=2,J231, 0)</f>
        <v>0</v>
      </c>
    </row>
    <row r="240" spans="1:56" ht="27.6">
      <c r="A240" s="110" t="str">
        <f>Source!E92</f>
        <v>26</v>
      </c>
      <c r="B240" s="111" t="str">
        <f>Source!F92</f>
        <v>402-0083</v>
      </c>
      <c r="C240" s="111" t="str">
        <f>Source!G92</f>
        <v>Раствор готовый отделочный тяжелый, цементно-известковый 1:1:6</v>
      </c>
      <c r="D240" s="81" t="str">
        <f>Source!H92</f>
        <v>м3</v>
      </c>
      <c r="E240" s="82">
        <f>Source!K92</f>
        <v>-1.5599999999999999E-2</v>
      </c>
      <c r="F240" s="82"/>
      <c r="G240" s="82">
        <f>Source!I92</f>
        <v>-1.5599999999999999E-2</v>
      </c>
      <c r="H240" s="83">
        <f>Source!AL92</f>
        <v>570.03</v>
      </c>
      <c r="I240" s="84"/>
      <c r="J240" s="85">
        <f>ROUND(Source!AC92*Source!I92, 2)</f>
        <v>-8.89</v>
      </c>
      <c r="K240" s="84"/>
      <c r="L240" s="86"/>
      <c r="AC240">
        <f>Source!X92</f>
        <v>0</v>
      </c>
      <c r="AD240">
        <f>Source!HK92</f>
        <v>0</v>
      </c>
      <c r="AE240">
        <f>Source!Y92</f>
        <v>0</v>
      </c>
      <c r="AF240">
        <f>Source!HL92</f>
        <v>0</v>
      </c>
      <c r="AS240">
        <f>IF(Source!BI92&lt;=1,AD240, 0)</f>
        <v>0</v>
      </c>
      <c r="AT240">
        <f>IF(Source!BI92&lt;=1,AF240, 0)</f>
        <v>0</v>
      </c>
      <c r="BC240">
        <f>IF(Source!BI92=2,AD240, 0)</f>
        <v>0</v>
      </c>
      <c r="BD240">
        <f>IF(Source!BI92=2,AF240, 0)</f>
        <v>0</v>
      </c>
    </row>
    <row r="242" spans="1:71">
      <c r="A242" s="71"/>
      <c r="B242" s="71"/>
      <c r="C242" s="72" t="str">
        <f>"Объем: "&amp;Source!K92&amp;"="&amp;Source!I91&amp;"*"&amp;"-"&amp;"0,06"</f>
        <v>Объем: -0,0156=0,26*-0,06</v>
      </c>
      <c r="D242" s="71"/>
      <c r="E242" s="71"/>
      <c r="F242" s="71"/>
      <c r="G242" s="71"/>
      <c r="H242" s="71"/>
      <c r="I242" s="71"/>
      <c r="J242" s="71"/>
      <c r="K242" s="71"/>
      <c r="L242" s="71"/>
    </row>
    <row r="243" spans="1:71" ht="13.8">
      <c r="C243" s="95" t="s">
        <v>1386</v>
      </c>
      <c r="D243" s="95"/>
      <c r="E243" s="95"/>
      <c r="F243" s="95"/>
      <c r="G243" s="95"/>
      <c r="H243" s="95"/>
      <c r="I243" s="95">
        <f>J240</f>
        <v>-8.89</v>
      </c>
      <c r="J243" s="95"/>
      <c r="O243" s="69">
        <f>I243</f>
        <v>-8.89</v>
      </c>
      <c r="P243">
        <f>K243</f>
        <v>0</v>
      </c>
      <c r="Q243">
        <f>0</f>
        <v>0</v>
      </c>
      <c r="R243">
        <f>0</f>
        <v>0</v>
      </c>
      <c r="U243">
        <f>0</f>
        <v>0</v>
      </c>
      <c r="V243">
        <f>0</f>
        <v>0</v>
      </c>
      <c r="W243">
        <f>0</f>
        <v>0</v>
      </c>
      <c r="X243">
        <f>0</f>
        <v>0</v>
      </c>
      <c r="Z243">
        <f>0</f>
        <v>0</v>
      </c>
      <c r="AB243" s="69">
        <f>I243</f>
        <v>-8.89</v>
      </c>
      <c r="AN243">
        <f>IF(Source!BI92&lt;=1,J240, 0)</f>
        <v>-8.89</v>
      </c>
      <c r="AO243">
        <f>IF(Source!BI92&lt;=1,I243, 0)</f>
        <v>-8.89</v>
      </c>
      <c r="AP243">
        <f>IF(Source!BI92&lt;=1,0, 0)</f>
        <v>0</v>
      </c>
      <c r="AQ243">
        <f>IF(Source!BI92&lt;=1,0, 0)</f>
        <v>0</v>
      </c>
      <c r="AX243">
        <f>IF(Source!BI92=2,J240, 0)</f>
        <v>0</v>
      </c>
      <c r="AY243">
        <f>IF(Source!BI92=2,I243, 0)</f>
        <v>0</v>
      </c>
      <c r="AZ243">
        <f>IF(Source!BI92=2,0, 0)</f>
        <v>0</v>
      </c>
      <c r="BA243">
        <f>IF(Source!BI92=2,0, 0)</f>
        <v>0</v>
      </c>
    </row>
    <row r="244" spans="1:71" ht="27.6">
      <c r="A244" s="110" t="str">
        <f>Source!E93</f>
        <v>27</v>
      </c>
      <c r="B244" s="111" t="str">
        <f>Source!F93</f>
        <v/>
      </c>
      <c r="C244" s="111" t="str">
        <f>Source!G93</f>
        <v>Раствор штукатурный Remmers КСЕ 100  / Расход 2л /м2 (1895,83/6,17)</v>
      </c>
      <c r="D244" s="81" t="str">
        <f>Source!H93</f>
        <v>л</v>
      </c>
      <c r="E244" s="82">
        <f>Source!K93</f>
        <v>52</v>
      </c>
      <c r="F244" s="82"/>
      <c r="G244" s="82">
        <f>Source!I93</f>
        <v>52</v>
      </c>
      <c r="H244" s="83">
        <f>Source!AL93</f>
        <v>1895.83</v>
      </c>
      <c r="I244" s="84"/>
      <c r="J244" s="85">
        <f>Source!P93</f>
        <v>15977.8</v>
      </c>
      <c r="K244" s="84">
        <f>IF(Source!BC93&lt;&gt; 0, Source!BC93, 1)</f>
        <v>6.17</v>
      </c>
      <c r="L244" s="86">
        <f>Source!HG93</f>
        <v>98583</v>
      </c>
      <c r="AC244">
        <f>Source!X93</f>
        <v>0</v>
      </c>
      <c r="AD244">
        <f>Source!HK93</f>
        <v>0</v>
      </c>
      <c r="AE244">
        <f>Source!Y93</f>
        <v>0</v>
      </c>
      <c r="AF244">
        <f>Source!HL93</f>
        <v>0</v>
      </c>
      <c r="AS244">
        <f>IF(Source!BI93&lt;=1,AD244, 0)</f>
        <v>0</v>
      </c>
      <c r="AT244">
        <f>IF(Source!BI93&lt;=1,AF244, 0)</f>
        <v>0</v>
      </c>
      <c r="BC244">
        <f>IF(Source!BI93=2,AD244, 0)</f>
        <v>0</v>
      </c>
      <c r="BD244">
        <f>IF(Source!BI93=2,AF244, 0)</f>
        <v>0</v>
      </c>
    </row>
    <row r="245" spans="1:71">
      <c r="A245" s="71"/>
      <c r="B245" s="71"/>
      <c r="C245" s="71"/>
      <c r="D245" s="71"/>
      <c r="E245" s="71"/>
      <c r="F245" s="71"/>
      <c r="G245" s="71"/>
      <c r="H245" s="71"/>
      <c r="I245" s="71"/>
      <c r="J245" s="71"/>
      <c r="K245" s="71"/>
      <c r="L245" s="71"/>
    </row>
    <row r="246" spans="1:71" ht="13.8">
      <c r="C246" s="95" t="s">
        <v>1386</v>
      </c>
      <c r="D246" s="95"/>
      <c r="E246" s="95"/>
      <c r="F246" s="95"/>
      <c r="G246" s="95"/>
      <c r="H246" s="95"/>
      <c r="I246" s="95">
        <f>J244</f>
        <v>15977.8</v>
      </c>
      <c r="J246" s="95"/>
      <c r="K246" s="96">
        <f>L244</f>
        <v>98583</v>
      </c>
      <c r="L246" s="96"/>
      <c r="O246" s="69">
        <f>I246</f>
        <v>15977.8</v>
      </c>
      <c r="P246" s="70">
        <f>K246</f>
        <v>98583</v>
      </c>
      <c r="Q246">
        <f>0</f>
        <v>0</v>
      </c>
      <c r="R246">
        <f>0</f>
        <v>0</v>
      </c>
      <c r="U246">
        <f>0</f>
        <v>0</v>
      </c>
      <c r="V246">
        <f>0</f>
        <v>0</v>
      </c>
      <c r="W246">
        <f>0</f>
        <v>0</v>
      </c>
      <c r="X246">
        <f>0</f>
        <v>0</v>
      </c>
      <c r="Z246">
        <f>0</f>
        <v>0</v>
      </c>
      <c r="AB246" s="69">
        <f>I246</f>
        <v>15977.8</v>
      </c>
      <c r="AN246">
        <f>IF(Source!BI93&lt;=1,J244, 0)</f>
        <v>15977.8</v>
      </c>
      <c r="AO246">
        <f>IF(Source!BI93&lt;=1,I246, 0)</f>
        <v>15977.8</v>
      </c>
      <c r="AP246">
        <f>IF(Source!BI93&lt;=1,0, 0)</f>
        <v>0</v>
      </c>
      <c r="AQ246">
        <f>IF(Source!BI93&lt;=1,0, 0)</f>
        <v>0</v>
      </c>
      <c r="AX246">
        <f>IF(Source!BI93=2,J244, 0)</f>
        <v>0</v>
      </c>
      <c r="AY246">
        <f>IF(Source!BI93=2,I246, 0)</f>
        <v>0</v>
      </c>
      <c r="AZ246">
        <f>IF(Source!BI93=2,0, 0)</f>
        <v>0</v>
      </c>
      <c r="BA246">
        <f>IF(Source!BI93=2,0, 0)</f>
        <v>0</v>
      </c>
      <c r="BQ246" s="69">
        <f>I246</f>
        <v>15977.8</v>
      </c>
      <c r="BS246" s="70">
        <f>K246</f>
        <v>98583</v>
      </c>
    </row>
    <row r="247" spans="1:71" ht="13.8">
      <c r="C247" s="79" t="str">
        <f>Source!G94</f>
        <v>Восстановление наружной стены</v>
      </c>
    </row>
    <row r="248" spans="1:71" ht="93">
      <c r="A248" s="110" t="str">
        <f>Source!E95</f>
        <v>28</v>
      </c>
      <c r="B248" s="111" t="str">
        <f>Source!F95</f>
        <v>46-04-001-4</v>
      </c>
      <c r="C248" s="111" t="s">
        <v>1430</v>
      </c>
      <c r="D248" s="81" t="str">
        <f>Source!H95</f>
        <v>1 м3</v>
      </c>
      <c r="E248" s="82">
        <f>Source!K95</f>
        <v>36.44</v>
      </c>
      <c r="F248" s="82"/>
      <c r="G248" s="82">
        <f>Source!I95</f>
        <v>36.44</v>
      </c>
      <c r="H248" s="83"/>
      <c r="I248" s="84"/>
      <c r="J248" s="85"/>
      <c r="K248" s="84"/>
      <c r="L248" s="86"/>
      <c r="AC248">
        <f>Source!X95</f>
        <v>3112.54</v>
      </c>
      <c r="AD248">
        <f>Source!HK95</f>
        <v>75385</v>
      </c>
      <c r="AE248">
        <f>Source!Y95</f>
        <v>3112.54</v>
      </c>
      <c r="AF248">
        <f>Source!HL95</f>
        <v>75385</v>
      </c>
      <c r="AS248">
        <f>IF(Source!BI95&lt;=1,AD248, 0)</f>
        <v>75385</v>
      </c>
      <c r="AT248">
        <f>IF(Source!BI95&lt;=1,AF248, 0)</f>
        <v>75385</v>
      </c>
      <c r="BC248">
        <f>IF(Source!BI95=2,AD248, 0)</f>
        <v>0</v>
      </c>
      <c r="BD248">
        <f>IF(Source!BI95=2,AF248, 0)</f>
        <v>0</v>
      </c>
    </row>
    <row r="250" spans="1:71" ht="14.4">
      <c r="A250" s="110"/>
      <c r="B250" s="112">
        <v>1</v>
      </c>
      <c r="C250" s="111" t="s">
        <v>1373</v>
      </c>
      <c r="D250" s="81"/>
      <c r="E250" s="82"/>
      <c r="F250" s="82"/>
      <c r="G250" s="82"/>
      <c r="H250" s="83">
        <f>Source!AO95</f>
        <v>70.45</v>
      </c>
      <c r="I250" s="84">
        <f>ROUND(1.15,7)</f>
        <v>1.1499999999999999</v>
      </c>
      <c r="J250" s="85">
        <f>ROUND(Source!AF95*Source!I95, 2)</f>
        <v>2952.28</v>
      </c>
      <c r="K250" s="84">
        <f>IF(Source!BA95&lt;&gt; 0, Source!BA95, 1)</f>
        <v>24.22</v>
      </c>
      <c r="L250" s="86">
        <f>Source!HJ95</f>
        <v>71504</v>
      </c>
    </row>
    <row r="251" spans="1:71" ht="14.4">
      <c r="A251" s="110"/>
      <c r="B251" s="112">
        <v>3</v>
      </c>
      <c r="C251" s="111" t="s">
        <v>1374</v>
      </c>
      <c r="D251" s="81"/>
      <c r="E251" s="82"/>
      <c r="F251" s="82"/>
      <c r="G251" s="82"/>
      <c r="H251" s="83">
        <f>Source!AM95</f>
        <v>103.7</v>
      </c>
      <c r="I251" s="84">
        <f>ROUND(1.15,7)</f>
        <v>1.1499999999999999</v>
      </c>
      <c r="J251" s="85">
        <f>ROUND(Source!AD95*Source!I95, 2)</f>
        <v>4345.6499999999996</v>
      </c>
      <c r="K251" s="84"/>
      <c r="L251" s="86"/>
    </row>
    <row r="252" spans="1:71" ht="14.4">
      <c r="A252" s="110"/>
      <c r="B252" s="112">
        <v>2</v>
      </c>
      <c r="C252" s="111" t="s">
        <v>1375</v>
      </c>
      <c r="D252" s="81"/>
      <c r="E252" s="82"/>
      <c r="F252" s="82"/>
      <c r="G252" s="82"/>
      <c r="H252" s="83">
        <f>Source!AN95</f>
        <v>11.17</v>
      </c>
      <c r="I252" s="84">
        <f>ROUND(1.15,7)</f>
        <v>1.1499999999999999</v>
      </c>
      <c r="J252" s="87">
        <f>ROUND(Source!AE95*Source!I95, 2)</f>
        <v>468.09</v>
      </c>
      <c r="K252" s="84">
        <f>IF(Source!BS95&lt;&gt; 0, Source!BS95, 1)</f>
        <v>24.22</v>
      </c>
      <c r="L252" s="88">
        <f>Source!HI95</f>
        <v>11337</v>
      </c>
    </row>
    <row r="253" spans="1:71" ht="14.4">
      <c r="A253" s="110"/>
      <c r="B253" s="111"/>
      <c r="C253" s="111" t="s">
        <v>1376</v>
      </c>
      <c r="D253" s="81" t="s">
        <v>1377</v>
      </c>
      <c r="E253" s="82">
        <f>Source!AQ95</f>
        <v>8.24</v>
      </c>
      <c r="F253" s="82">
        <f>ROUND(1.15,7)</f>
        <v>1.1499999999999999</v>
      </c>
      <c r="G253" s="82">
        <f>ROUND(Source!U95, 7)</f>
        <v>345.30543999999998</v>
      </c>
      <c r="H253" s="83"/>
      <c r="I253" s="84"/>
      <c r="J253" s="85"/>
      <c r="K253" s="84"/>
      <c r="L253" s="86"/>
    </row>
    <row r="254" spans="1:71" ht="14.4">
      <c r="A254" s="110"/>
      <c r="B254" s="111"/>
      <c r="C254" s="113" t="s">
        <v>1378</v>
      </c>
      <c r="D254" s="89" t="s">
        <v>1377</v>
      </c>
      <c r="E254" s="90">
        <f>Source!AR95</f>
        <v>1.1499999999999999</v>
      </c>
      <c r="F254" s="90">
        <f>ROUND(1.15,7)</f>
        <v>1.1499999999999999</v>
      </c>
      <c r="G254" s="90">
        <f>ROUND(Source!V95, 7)</f>
        <v>48.191899999999997</v>
      </c>
      <c r="H254" s="91"/>
      <c r="I254" s="92"/>
      <c r="J254" s="93"/>
      <c r="K254" s="92"/>
      <c r="L254" s="94"/>
    </row>
    <row r="255" spans="1:71" ht="14.4">
      <c r="A255" s="110"/>
      <c r="B255" s="111"/>
      <c r="C255" s="111" t="s">
        <v>1379</v>
      </c>
      <c r="D255" s="81"/>
      <c r="E255" s="82"/>
      <c r="F255" s="82"/>
      <c r="G255" s="82"/>
      <c r="H255" s="83">
        <f>H250+H251</f>
        <v>174.15</v>
      </c>
      <c r="I255" s="84"/>
      <c r="J255" s="85">
        <f>J250+J251</f>
        <v>7297.93</v>
      </c>
      <c r="K255" s="84"/>
      <c r="L255" s="86"/>
    </row>
    <row r="256" spans="1:71" ht="14.4">
      <c r="A256" s="110"/>
      <c r="B256" s="111"/>
      <c r="C256" s="111" t="s">
        <v>1380</v>
      </c>
      <c r="D256" s="81"/>
      <c r="E256" s="82"/>
      <c r="F256" s="82"/>
      <c r="G256" s="82"/>
      <c r="H256" s="83"/>
      <c r="I256" s="84"/>
      <c r="J256" s="85">
        <f>SUM(Q248:Q259)+SUM(V248:V259)</f>
        <v>3420.3700000000003</v>
      </c>
      <c r="K256" s="84"/>
      <c r="L256" s="86">
        <f>SUM(U248:U259)+SUM(W248:W259)</f>
        <v>82841</v>
      </c>
    </row>
    <row r="257" spans="1:56" ht="69">
      <c r="A257" s="110"/>
      <c r="B257" s="111" t="s">
        <v>1431</v>
      </c>
      <c r="C257" s="111" t="s">
        <v>1432</v>
      </c>
      <c r="D257" s="81" t="s">
        <v>1383</v>
      </c>
      <c r="E257" s="82">
        <f>Source!BZ95</f>
        <v>91</v>
      </c>
      <c r="F257" s="82"/>
      <c r="G257" s="82">
        <f>Source!AT95</f>
        <v>91</v>
      </c>
      <c r="H257" s="83"/>
      <c r="I257" s="84"/>
      <c r="J257" s="85">
        <f>SUM(AC248:AC259)</f>
        <v>3112.54</v>
      </c>
      <c r="K257" s="84"/>
      <c r="L257" s="86">
        <f>SUM(AD248:AD259)</f>
        <v>75385</v>
      </c>
    </row>
    <row r="258" spans="1:56" ht="69">
      <c r="A258" s="114"/>
      <c r="B258" s="113" t="s">
        <v>1433</v>
      </c>
      <c r="C258" s="113" t="s">
        <v>1434</v>
      </c>
      <c r="D258" s="89" t="s">
        <v>1383</v>
      </c>
      <c r="E258" s="90">
        <f>Source!CA95</f>
        <v>52</v>
      </c>
      <c r="F258" s="90"/>
      <c r="G258" s="90">
        <f>Source!AU95</f>
        <v>91</v>
      </c>
      <c r="H258" s="91"/>
      <c r="I258" s="92"/>
      <c r="J258" s="93">
        <f>SUM(AE248:AE259)</f>
        <v>3112.54</v>
      </c>
      <c r="K258" s="92"/>
      <c r="L258" s="94">
        <f>SUM(AF248:AF259)</f>
        <v>75385</v>
      </c>
    </row>
    <row r="259" spans="1:56" ht="13.8">
      <c r="C259" s="95" t="s">
        <v>1386</v>
      </c>
      <c r="D259" s="95"/>
      <c r="E259" s="95"/>
      <c r="F259" s="95"/>
      <c r="G259" s="95"/>
      <c r="H259" s="95"/>
      <c r="I259" s="95">
        <f>J250+J251+J257+J258</f>
        <v>13523.010000000002</v>
      </c>
      <c r="J259" s="95"/>
      <c r="O259" s="69">
        <f>I259</f>
        <v>13523.010000000002</v>
      </c>
      <c r="P259">
        <f>K259</f>
        <v>0</v>
      </c>
      <c r="Q259" s="69">
        <f>J250</f>
        <v>2952.28</v>
      </c>
      <c r="R259" s="69">
        <f>J250</f>
        <v>2952.28</v>
      </c>
      <c r="U259" s="70">
        <f>L250</f>
        <v>71504</v>
      </c>
      <c r="V259" s="69">
        <f>J252</f>
        <v>468.09</v>
      </c>
      <c r="W259" s="70">
        <f>L252</f>
        <v>11337</v>
      </c>
      <c r="X259" s="69">
        <f>J251</f>
        <v>4345.6499999999996</v>
      </c>
      <c r="Z259" s="70">
        <f>L251</f>
        <v>0</v>
      </c>
      <c r="AB259">
        <f>0</f>
        <v>0</v>
      </c>
      <c r="AN259">
        <f>IF(Source!BI95&lt;=1,J250+J251+J257+J258, 0)</f>
        <v>13523.010000000002</v>
      </c>
      <c r="AO259">
        <f>IF(Source!BI95&lt;=1,0, 0)</f>
        <v>0</v>
      </c>
      <c r="AP259">
        <f>IF(Source!BI95&lt;=1,J251, 0)</f>
        <v>4345.6499999999996</v>
      </c>
      <c r="AQ259">
        <f>IF(Source!BI95&lt;=1,J250, 0)</f>
        <v>2952.28</v>
      </c>
      <c r="AX259">
        <f>IF(Source!BI95=2,J250+J251+J257+J258, 0)</f>
        <v>0</v>
      </c>
      <c r="AY259">
        <f>IF(Source!BI95=2,0, 0)</f>
        <v>0</v>
      </c>
      <c r="AZ259">
        <f>IF(Source!BI95=2,J251, 0)</f>
        <v>0</v>
      </c>
      <c r="BA259">
        <f>IF(Source!BI95=2,J250, 0)</f>
        <v>0</v>
      </c>
    </row>
    <row r="260" spans="1:56" ht="133.19999999999999">
      <c r="A260" s="110" t="str">
        <f>Source!E96</f>
        <v>29</v>
      </c>
      <c r="B260" s="111" t="str">
        <f>Source!F96</f>
        <v>08-02-001-1</v>
      </c>
      <c r="C260" s="111" t="s">
        <v>1435</v>
      </c>
      <c r="D260" s="81" t="str">
        <f>Source!H96</f>
        <v>1 м3 кладки</v>
      </c>
      <c r="E260" s="82">
        <f>Source!K96</f>
        <v>36.44</v>
      </c>
      <c r="F260" s="82"/>
      <c r="G260" s="82">
        <f>Source!I96</f>
        <v>36.44</v>
      </c>
      <c r="H260" s="83"/>
      <c r="I260" s="84"/>
      <c r="J260" s="85"/>
      <c r="K260" s="84"/>
      <c r="L260" s="86"/>
      <c r="AC260">
        <f>Source!X96</f>
        <v>2336.5</v>
      </c>
      <c r="AD260">
        <f>Source!HK96</f>
        <v>56590</v>
      </c>
      <c r="AE260">
        <f>Source!Y96</f>
        <v>1384.2</v>
      </c>
      <c r="AF260">
        <f>Source!HL96</f>
        <v>33526</v>
      </c>
      <c r="AS260">
        <f>IF(Source!BI96&lt;=1,AD260, 0)</f>
        <v>56590</v>
      </c>
      <c r="AT260">
        <f>IF(Source!BI96&lt;=1,AF260, 0)</f>
        <v>33526</v>
      </c>
      <c r="BC260">
        <f>IF(Source!BI96=2,AD260, 0)</f>
        <v>0</v>
      </c>
      <c r="BD260">
        <f>IF(Source!BI96=2,AF260, 0)</f>
        <v>0</v>
      </c>
    </row>
    <row r="262" spans="1:56" ht="14.4">
      <c r="A262" s="110"/>
      <c r="B262" s="112">
        <v>1</v>
      </c>
      <c r="C262" s="111" t="s">
        <v>1373</v>
      </c>
      <c r="D262" s="81"/>
      <c r="E262" s="82"/>
      <c r="F262" s="82"/>
      <c r="G262" s="82"/>
      <c r="H262" s="83">
        <f>Source!AO96</f>
        <v>43.31</v>
      </c>
      <c r="I262" s="84">
        <f>ROUND(1.15*1.15,7)</f>
        <v>1.3225</v>
      </c>
      <c r="J262" s="85">
        <f>ROUND(Source!AF96*Source!I96, 2)</f>
        <v>2087.19</v>
      </c>
      <c r="K262" s="84">
        <f>IF(Source!BA96&lt;&gt; 0, Source!BA96, 1)</f>
        <v>24.22</v>
      </c>
      <c r="L262" s="86">
        <f>Source!HJ96</f>
        <v>50552</v>
      </c>
    </row>
    <row r="263" spans="1:56" ht="14.4">
      <c r="A263" s="110"/>
      <c r="B263" s="112">
        <v>3</v>
      </c>
      <c r="C263" s="111" t="s">
        <v>1374</v>
      </c>
      <c r="D263" s="81"/>
      <c r="E263" s="82"/>
      <c r="F263" s="82"/>
      <c r="G263" s="82"/>
      <c r="H263" s="83">
        <f>Source!AM96</f>
        <v>34.369999999999997</v>
      </c>
      <c r="I263" s="84">
        <f>ROUND(1.25*1.15,7)</f>
        <v>1.4375</v>
      </c>
      <c r="J263" s="85">
        <f>ROUND(Source!AD96*Source!I96, 2)</f>
        <v>1800.39</v>
      </c>
      <c r="K263" s="84"/>
      <c r="L263" s="86"/>
    </row>
    <row r="264" spans="1:56" ht="14.4">
      <c r="A264" s="110"/>
      <c r="B264" s="112">
        <v>2</v>
      </c>
      <c r="C264" s="111" t="s">
        <v>1375</v>
      </c>
      <c r="D264" s="81"/>
      <c r="E264" s="82"/>
      <c r="F264" s="82"/>
      <c r="G264" s="82"/>
      <c r="H264" s="83">
        <f>Source!AN96</f>
        <v>5.21</v>
      </c>
      <c r="I264" s="84">
        <f>ROUND(1.25*1.15,7)</f>
        <v>1.4375</v>
      </c>
      <c r="J264" s="87">
        <f>ROUND(Source!AE96*Source!I96, 2)</f>
        <v>272.91000000000003</v>
      </c>
      <c r="K264" s="84">
        <f>IF(Source!BS96&lt;&gt; 0, Source!BS96, 1)</f>
        <v>24.22</v>
      </c>
      <c r="L264" s="88">
        <f>Source!HI96</f>
        <v>6610</v>
      </c>
    </row>
    <row r="265" spans="1:56" ht="14.4">
      <c r="A265" s="110"/>
      <c r="B265" s="112">
        <v>4</v>
      </c>
      <c r="C265" s="111" t="s">
        <v>1408</v>
      </c>
      <c r="D265" s="81"/>
      <c r="E265" s="82"/>
      <c r="F265" s="82"/>
      <c r="G265" s="82"/>
      <c r="H265" s="83">
        <f>Source!AL96</f>
        <v>752.57</v>
      </c>
      <c r="I265" s="84"/>
      <c r="J265" s="85">
        <f>ROUND(Source!AC96*Source!I96, 2)</f>
        <v>27423.65</v>
      </c>
      <c r="K265" s="84"/>
      <c r="L265" s="86"/>
    </row>
    <row r="266" spans="1:56" ht="14.4">
      <c r="A266" s="110"/>
      <c r="B266" s="111"/>
      <c r="C266" s="111" t="s">
        <v>1376</v>
      </c>
      <c r="D266" s="81" t="s">
        <v>1377</v>
      </c>
      <c r="E266" s="82">
        <f>Source!AQ96</f>
        <v>5.4</v>
      </c>
      <c r="F266" s="82">
        <f>ROUND(1.15*1.15,7)</f>
        <v>1.3225</v>
      </c>
      <c r="G266" s="82">
        <f>ROUND(Source!U96, 7)</f>
        <v>260.23626000000002</v>
      </c>
      <c r="H266" s="83"/>
      <c r="I266" s="84"/>
      <c r="J266" s="85"/>
      <c r="K266" s="84"/>
      <c r="L266" s="86"/>
    </row>
    <row r="267" spans="1:56" ht="14.4">
      <c r="A267" s="110"/>
      <c r="B267" s="111"/>
      <c r="C267" s="113" t="s">
        <v>1378</v>
      </c>
      <c r="D267" s="89" t="s">
        <v>1377</v>
      </c>
      <c r="E267" s="90">
        <f>Source!AR96</f>
        <v>0.4</v>
      </c>
      <c r="F267" s="90">
        <f>ROUND(1.25*1.15,7)</f>
        <v>1.4375</v>
      </c>
      <c r="G267" s="90">
        <f>ROUND(Source!V96, 7)</f>
        <v>20.952999999999999</v>
      </c>
      <c r="H267" s="91"/>
      <c r="I267" s="92"/>
      <c r="J267" s="93"/>
      <c r="K267" s="92"/>
      <c r="L267" s="94"/>
    </row>
    <row r="268" spans="1:56" ht="14.4">
      <c r="A268" s="110"/>
      <c r="B268" s="111"/>
      <c r="C268" s="111" t="s">
        <v>1379</v>
      </c>
      <c r="D268" s="81"/>
      <c r="E268" s="82"/>
      <c r="F268" s="82"/>
      <c r="G268" s="82"/>
      <c r="H268" s="83">
        <f>H262+H263+H265</f>
        <v>830.25</v>
      </c>
      <c r="I268" s="84"/>
      <c r="J268" s="85">
        <f>J262+J263+J265</f>
        <v>31311.230000000003</v>
      </c>
      <c r="K268" s="84"/>
      <c r="L268" s="86"/>
    </row>
    <row r="269" spans="1:56" ht="14.4">
      <c r="A269" s="110"/>
      <c r="B269" s="111"/>
      <c r="C269" s="111" t="s">
        <v>1380</v>
      </c>
      <c r="D269" s="81"/>
      <c r="E269" s="82"/>
      <c r="F269" s="82"/>
      <c r="G269" s="82"/>
      <c r="H269" s="83"/>
      <c r="I269" s="84"/>
      <c r="J269" s="85">
        <f>SUM(Q260:Q272)+SUM(V260:V272)</f>
        <v>2360.1</v>
      </c>
      <c r="K269" s="84"/>
      <c r="L269" s="86">
        <f>SUM(U260:U272)+SUM(W260:W272)</f>
        <v>57162</v>
      </c>
    </row>
    <row r="270" spans="1:56" ht="14.4">
      <c r="A270" s="110"/>
      <c r="B270" s="111" t="s">
        <v>1436</v>
      </c>
      <c r="C270" s="111" t="s">
        <v>1437</v>
      </c>
      <c r="D270" s="81" t="s">
        <v>1383</v>
      </c>
      <c r="E270" s="82">
        <f>Source!BZ96</f>
        <v>110</v>
      </c>
      <c r="F270" s="82">
        <f>ROUND(0.9,7)</f>
        <v>0.9</v>
      </c>
      <c r="G270" s="82">
        <f>Source!AT96</f>
        <v>99</v>
      </c>
      <c r="H270" s="83"/>
      <c r="I270" s="84"/>
      <c r="J270" s="85">
        <f>SUM(AC260:AC272)</f>
        <v>2336.5</v>
      </c>
      <c r="K270" s="84"/>
      <c r="L270" s="86">
        <f>SUM(AD260:AD272)</f>
        <v>56590</v>
      </c>
    </row>
    <row r="271" spans="1:56" ht="14.4">
      <c r="A271" s="114"/>
      <c r="B271" s="113" t="s">
        <v>1438</v>
      </c>
      <c r="C271" s="113" t="s">
        <v>1439</v>
      </c>
      <c r="D271" s="89" t="s">
        <v>1383</v>
      </c>
      <c r="E271" s="90">
        <f>Source!CA96</f>
        <v>69</v>
      </c>
      <c r="F271" s="90">
        <f>ROUND(0.85,7)</f>
        <v>0.85</v>
      </c>
      <c r="G271" s="90">
        <f>Source!AU96</f>
        <v>58.65</v>
      </c>
      <c r="H271" s="91"/>
      <c r="I271" s="92"/>
      <c r="J271" s="93">
        <f>SUM(AE260:AE272)</f>
        <v>1384.2</v>
      </c>
      <c r="K271" s="92"/>
      <c r="L271" s="94">
        <f>SUM(AF260:AF272)</f>
        <v>33526</v>
      </c>
    </row>
    <row r="272" spans="1:56" ht="13.8">
      <c r="C272" s="95" t="s">
        <v>1386</v>
      </c>
      <c r="D272" s="95"/>
      <c r="E272" s="95"/>
      <c r="F272" s="95"/>
      <c r="G272" s="95"/>
      <c r="H272" s="95"/>
      <c r="I272" s="95">
        <f>J262+J263+J265+J270+J271</f>
        <v>35031.93</v>
      </c>
      <c r="J272" s="95"/>
      <c r="O272" s="69">
        <f>I272</f>
        <v>35031.93</v>
      </c>
      <c r="P272">
        <f>K272</f>
        <v>0</v>
      </c>
      <c r="Q272" s="69">
        <f>J262</f>
        <v>2087.19</v>
      </c>
      <c r="R272" s="69">
        <f>J262</f>
        <v>2087.19</v>
      </c>
      <c r="U272" s="70">
        <f>L262</f>
        <v>50552</v>
      </c>
      <c r="V272" s="69">
        <f>J264</f>
        <v>272.91000000000003</v>
      </c>
      <c r="W272" s="70">
        <f>L264</f>
        <v>6610</v>
      </c>
      <c r="X272" s="69">
        <f>J263</f>
        <v>1800.39</v>
      </c>
      <c r="Z272" s="70">
        <f>L263</f>
        <v>0</v>
      </c>
      <c r="AB272" s="69">
        <f>J265</f>
        <v>27423.65</v>
      </c>
      <c r="AN272">
        <f>IF(Source!BI96&lt;=1,J262+J263+J265+J270+J271, 0)</f>
        <v>35031.93</v>
      </c>
      <c r="AO272">
        <f>IF(Source!BI96&lt;=1,J265, 0)</f>
        <v>27423.65</v>
      </c>
      <c r="AP272">
        <f>IF(Source!BI96&lt;=1,J263, 0)</f>
        <v>1800.39</v>
      </c>
      <c r="AQ272">
        <f>IF(Source!BI96&lt;=1,J262, 0)</f>
        <v>2087.19</v>
      </c>
      <c r="AX272">
        <f>IF(Source!BI96=2,J262+J263+J265+J270+J271, 0)</f>
        <v>0</v>
      </c>
      <c r="AY272">
        <f>IF(Source!BI96=2,J265, 0)</f>
        <v>0</v>
      </c>
      <c r="AZ272">
        <f>IF(Source!BI96=2,J263, 0)</f>
        <v>0</v>
      </c>
      <c r="BA272">
        <f>IF(Source!BI96=2,J262, 0)</f>
        <v>0</v>
      </c>
    </row>
    <row r="273" spans="1:56" ht="27.6">
      <c r="A273" s="110" t="str">
        <f>Source!E97</f>
        <v>30</v>
      </c>
      <c r="B273" s="111" t="str">
        <f>Source!F97</f>
        <v>404-0005</v>
      </c>
      <c r="C273" s="111" t="str">
        <f>Source!G97</f>
        <v>Кирпич керамический одинарный, размером 250х120х65 мм, марка 100</v>
      </c>
      <c r="D273" s="81" t="str">
        <f>Source!H97</f>
        <v>1000 шт.</v>
      </c>
      <c r="E273" s="82">
        <f>Source!K97</f>
        <v>-14.35736</v>
      </c>
      <c r="F273" s="82"/>
      <c r="G273" s="82">
        <f>Source!I97</f>
        <v>-14.35736</v>
      </c>
      <c r="H273" s="83">
        <f>Source!AL97</f>
        <v>1662.7</v>
      </c>
      <c r="I273" s="84"/>
      <c r="J273" s="85">
        <f>ROUND(Source!AC97*Source!I97, 2)</f>
        <v>-23871.98</v>
      </c>
      <c r="K273" s="84"/>
      <c r="L273" s="86"/>
      <c r="AC273">
        <f>Source!X97</f>
        <v>0</v>
      </c>
      <c r="AD273">
        <f>Source!HK97</f>
        <v>0</v>
      </c>
      <c r="AE273">
        <f>Source!Y97</f>
        <v>0</v>
      </c>
      <c r="AF273">
        <f>Source!HL97</f>
        <v>0</v>
      </c>
      <c r="AS273">
        <f>IF(Source!BI97&lt;=1,AD273, 0)</f>
        <v>0</v>
      </c>
      <c r="AT273">
        <f>IF(Source!BI97&lt;=1,AF273, 0)</f>
        <v>0</v>
      </c>
      <c r="BC273">
        <f>IF(Source!BI97=2,AD273, 0)</f>
        <v>0</v>
      </c>
      <c r="BD273">
        <f>IF(Source!BI97=2,AF273, 0)</f>
        <v>0</v>
      </c>
    </row>
    <row r="275" spans="1:56">
      <c r="A275" s="71"/>
      <c r="B275" s="71"/>
      <c r="C275" s="72" t="str">
        <f>"Объем: "&amp;Source!K97&amp;"="&amp;Source!I96&amp;"*"&amp;"-"&amp;"0,394"</f>
        <v>Объем: -14,35736=36,44*-0,394</v>
      </c>
      <c r="D275" s="71"/>
      <c r="E275" s="71"/>
      <c r="F275" s="71"/>
      <c r="G275" s="71"/>
      <c r="H275" s="71"/>
      <c r="I275" s="71"/>
      <c r="J275" s="71"/>
      <c r="K275" s="71"/>
      <c r="L275" s="71"/>
    </row>
    <row r="276" spans="1:56" ht="13.8">
      <c r="C276" s="95" t="s">
        <v>1386</v>
      </c>
      <c r="D276" s="95"/>
      <c r="E276" s="95"/>
      <c r="F276" s="95"/>
      <c r="G276" s="95"/>
      <c r="H276" s="95"/>
      <c r="I276" s="95">
        <f>J273</f>
        <v>-23871.98</v>
      </c>
      <c r="J276" s="95"/>
      <c r="O276" s="69">
        <f>I276</f>
        <v>-23871.98</v>
      </c>
      <c r="P276">
        <f>K276</f>
        <v>0</v>
      </c>
      <c r="Q276">
        <f>0</f>
        <v>0</v>
      </c>
      <c r="R276">
        <f>0</f>
        <v>0</v>
      </c>
      <c r="U276">
        <f>0</f>
        <v>0</v>
      </c>
      <c r="V276">
        <f>0</f>
        <v>0</v>
      </c>
      <c r="W276">
        <f>0</f>
        <v>0</v>
      </c>
      <c r="X276">
        <f>0</f>
        <v>0</v>
      </c>
      <c r="Z276">
        <f>0</f>
        <v>0</v>
      </c>
      <c r="AB276" s="69">
        <f>I276</f>
        <v>-23871.98</v>
      </c>
      <c r="AN276">
        <f>IF(Source!BI97&lt;=1,J273, 0)</f>
        <v>-23871.98</v>
      </c>
      <c r="AO276">
        <f>IF(Source!BI97&lt;=1,I276, 0)</f>
        <v>-23871.98</v>
      </c>
      <c r="AP276">
        <f>IF(Source!BI97&lt;=1,0, 0)</f>
        <v>0</v>
      </c>
      <c r="AQ276">
        <f>IF(Source!BI97&lt;=1,0, 0)</f>
        <v>0</v>
      </c>
      <c r="AX276">
        <f>IF(Source!BI97=2,J273, 0)</f>
        <v>0</v>
      </c>
      <c r="AY276">
        <f>IF(Source!BI97=2,I276, 0)</f>
        <v>0</v>
      </c>
      <c r="AZ276">
        <f>IF(Source!BI97=2,0, 0)</f>
        <v>0</v>
      </c>
      <c r="BA276">
        <f>IF(Source!BI97=2,0, 0)</f>
        <v>0</v>
      </c>
    </row>
    <row r="277" spans="1:56" ht="27.6">
      <c r="A277" s="110" t="str">
        <f>Source!E98</f>
        <v>31</v>
      </c>
      <c r="B277" s="111" t="str">
        <f>Source!F98</f>
        <v>402-0012</v>
      </c>
      <c r="C277" s="111" t="str">
        <f>Source!G98</f>
        <v>Раствор готовый кладочный цементно-известковый марки 25</v>
      </c>
      <c r="D277" s="81" t="str">
        <f>Source!H98</f>
        <v>м3</v>
      </c>
      <c r="E277" s="82">
        <f>Source!K98</f>
        <v>-8.7455999999999996</v>
      </c>
      <c r="F277" s="82"/>
      <c r="G277" s="82">
        <f>Source!I98</f>
        <v>-8.7455999999999996</v>
      </c>
      <c r="H277" s="83">
        <f>Source!AL98</f>
        <v>399.94</v>
      </c>
      <c r="I277" s="84"/>
      <c r="J277" s="85">
        <f>ROUND(Source!AC98*Source!I98, 2)</f>
        <v>-3497.72</v>
      </c>
      <c r="K277" s="84"/>
      <c r="L277" s="86"/>
      <c r="AC277">
        <f>Source!X98</f>
        <v>0</v>
      </c>
      <c r="AD277">
        <f>Source!HK98</f>
        <v>0</v>
      </c>
      <c r="AE277">
        <f>Source!Y98</f>
        <v>0</v>
      </c>
      <c r="AF277">
        <f>Source!HL98</f>
        <v>0</v>
      </c>
      <c r="AS277">
        <f>IF(Source!BI98&lt;=1,AD277, 0)</f>
        <v>0</v>
      </c>
      <c r="AT277">
        <f>IF(Source!BI98&lt;=1,AF277, 0)</f>
        <v>0</v>
      </c>
      <c r="BC277">
        <f>IF(Source!BI98=2,AD277, 0)</f>
        <v>0</v>
      </c>
      <c r="BD277">
        <f>IF(Source!BI98=2,AF277, 0)</f>
        <v>0</v>
      </c>
    </row>
    <row r="279" spans="1:56">
      <c r="A279" s="71"/>
      <c r="B279" s="71"/>
      <c r="C279" s="72" t="str">
        <f>"Объем: "&amp;Source!K98&amp;"="&amp;Source!I96&amp;"*"&amp;"-"&amp;"0,24"</f>
        <v>Объем: -8,7456=36,44*-0,24</v>
      </c>
      <c r="D279" s="71"/>
      <c r="E279" s="71"/>
      <c r="F279" s="71"/>
      <c r="G279" s="71"/>
      <c r="H279" s="71"/>
      <c r="I279" s="71"/>
      <c r="J279" s="71"/>
      <c r="K279" s="71"/>
      <c r="L279" s="71"/>
    </row>
    <row r="280" spans="1:56" ht="13.8">
      <c r="C280" s="95" t="s">
        <v>1386</v>
      </c>
      <c r="D280" s="95"/>
      <c r="E280" s="95"/>
      <c r="F280" s="95"/>
      <c r="G280" s="95"/>
      <c r="H280" s="95"/>
      <c r="I280" s="95">
        <f>J277</f>
        <v>-3497.72</v>
      </c>
      <c r="J280" s="95"/>
      <c r="O280" s="69">
        <f>I280</f>
        <v>-3497.72</v>
      </c>
      <c r="P280">
        <f>K280</f>
        <v>0</v>
      </c>
      <c r="Q280">
        <f>0</f>
        <v>0</v>
      </c>
      <c r="R280">
        <f>0</f>
        <v>0</v>
      </c>
      <c r="U280">
        <f>0</f>
        <v>0</v>
      </c>
      <c r="V280">
        <f>0</f>
        <v>0</v>
      </c>
      <c r="W280">
        <f>0</f>
        <v>0</v>
      </c>
      <c r="X280">
        <f>0</f>
        <v>0</v>
      </c>
      <c r="Z280">
        <f>0</f>
        <v>0</v>
      </c>
      <c r="AB280" s="69">
        <f>I280</f>
        <v>-3497.72</v>
      </c>
      <c r="AN280">
        <f>IF(Source!BI98&lt;=1,J277, 0)</f>
        <v>-3497.72</v>
      </c>
      <c r="AO280">
        <f>IF(Source!BI98&lt;=1,I280, 0)</f>
        <v>-3497.72</v>
      </c>
      <c r="AP280">
        <f>IF(Source!BI98&lt;=1,0, 0)</f>
        <v>0</v>
      </c>
      <c r="AQ280">
        <f>IF(Source!BI98&lt;=1,0, 0)</f>
        <v>0</v>
      </c>
      <c r="AX280">
        <f>IF(Source!BI98=2,J277, 0)</f>
        <v>0</v>
      </c>
      <c r="AY280">
        <f>IF(Source!BI98=2,I280, 0)</f>
        <v>0</v>
      </c>
      <c r="AZ280">
        <f>IF(Source!BI98=2,0, 0)</f>
        <v>0</v>
      </c>
      <c r="BA280">
        <f>IF(Source!BI98=2,0, 0)</f>
        <v>0</v>
      </c>
    </row>
    <row r="281" spans="1:56" ht="27.6">
      <c r="A281" s="110" t="str">
        <f>Source!E99</f>
        <v>32</v>
      </c>
      <c r="B281" s="111" t="str">
        <f>Source!F99</f>
        <v>402-0015</v>
      </c>
      <c r="C281" s="111" t="str">
        <f>Source!G99</f>
        <v>Раствор готовый кладочный цементно-известковый марки 100</v>
      </c>
      <c r="D281" s="81" t="str">
        <f>Source!H99</f>
        <v>м3</v>
      </c>
      <c r="E281" s="82">
        <f>Source!K99</f>
        <v>8.7455999999999996</v>
      </c>
      <c r="F281" s="82"/>
      <c r="G281" s="82">
        <f>Source!I99</f>
        <v>8.7455999999999996</v>
      </c>
      <c r="H281" s="83">
        <f>Source!AL99</f>
        <v>483.76</v>
      </c>
      <c r="I281" s="84"/>
      <c r="J281" s="85">
        <f>ROUND(Source!AC99*Source!I99, 2)</f>
        <v>4230.7700000000004</v>
      </c>
      <c r="K281" s="84"/>
      <c r="L281" s="86"/>
      <c r="AC281">
        <f>Source!X99</f>
        <v>0</v>
      </c>
      <c r="AD281">
        <f>Source!HK99</f>
        <v>0</v>
      </c>
      <c r="AE281">
        <f>Source!Y99</f>
        <v>0</v>
      </c>
      <c r="AF281">
        <f>Source!HL99</f>
        <v>0</v>
      </c>
      <c r="AS281">
        <f>IF(Source!BI99&lt;=1,AD281, 0)</f>
        <v>0</v>
      </c>
      <c r="AT281">
        <f>IF(Source!BI99&lt;=1,AF281, 0)</f>
        <v>0</v>
      </c>
      <c r="BC281">
        <f>IF(Source!BI99=2,AD281, 0)</f>
        <v>0</v>
      </c>
      <c r="BD281">
        <f>IF(Source!BI99=2,AF281, 0)</f>
        <v>0</v>
      </c>
    </row>
    <row r="282" spans="1:56">
      <c r="A282" s="71"/>
      <c r="B282" s="71"/>
      <c r="C282" s="71"/>
      <c r="D282" s="71"/>
      <c r="E282" s="71"/>
      <c r="F282" s="71"/>
      <c r="G282" s="71"/>
      <c r="H282" s="71"/>
      <c r="I282" s="71"/>
      <c r="J282" s="71"/>
      <c r="K282" s="71"/>
      <c r="L282" s="71"/>
    </row>
    <row r="283" spans="1:56" ht="13.8">
      <c r="C283" s="95" t="s">
        <v>1386</v>
      </c>
      <c r="D283" s="95"/>
      <c r="E283" s="95"/>
      <c r="F283" s="95"/>
      <c r="G283" s="95"/>
      <c r="H283" s="95"/>
      <c r="I283" s="95">
        <f>J281</f>
        <v>4230.7700000000004</v>
      </c>
      <c r="J283" s="95"/>
      <c r="O283" s="69">
        <f>I283</f>
        <v>4230.7700000000004</v>
      </c>
      <c r="P283">
        <f>K283</f>
        <v>0</v>
      </c>
      <c r="Q283">
        <f>0</f>
        <v>0</v>
      </c>
      <c r="R283">
        <f>0</f>
        <v>0</v>
      </c>
      <c r="U283">
        <f>0</f>
        <v>0</v>
      </c>
      <c r="V283">
        <f>0</f>
        <v>0</v>
      </c>
      <c r="W283">
        <f>0</f>
        <v>0</v>
      </c>
      <c r="X283">
        <f>0</f>
        <v>0</v>
      </c>
      <c r="Z283">
        <f>0</f>
        <v>0</v>
      </c>
      <c r="AB283" s="69">
        <f>I283</f>
        <v>4230.7700000000004</v>
      </c>
      <c r="AN283">
        <f>IF(Source!BI99&lt;=1,J281, 0)</f>
        <v>4230.7700000000004</v>
      </c>
      <c r="AO283">
        <f>IF(Source!BI99&lt;=1,I283, 0)</f>
        <v>4230.7700000000004</v>
      </c>
      <c r="AP283">
        <f>IF(Source!BI99&lt;=1,0, 0)</f>
        <v>0</v>
      </c>
      <c r="AQ283">
        <f>IF(Source!BI99&lt;=1,0, 0)</f>
        <v>0</v>
      </c>
      <c r="AX283">
        <f>IF(Source!BI99=2,J281, 0)</f>
        <v>0</v>
      </c>
      <c r="AY283">
        <f>IF(Source!BI99=2,I283, 0)</f>
        <v>0</v>
      </c>
      <c r="AZ283">
        <f>IF(Source!BI99=2,0, 0)</f>
        <v>0</v>
      </c>
      <c r="BA283">
        <f>IF(Source!BI99=2,0, 0)</f>
        <v>0</v>
      </c>
    </row>
    <row r="284" spans="1:56" ht="27.6">
      <c r="A284" s="110" t="str">
        <f>Source!E100</f>
        <v>33</v>
      </c>
      <c r="B284" s="111" t="str">
        <f>Source!F100</f>
        <v>404-0007</v>
      </c>
      <c r="C284" s="111" t="str">
        <f>Source!G100</f>
        <v>Кирпич керамический одинарный, размером 250х120х65 мм, марка 150</v>
      </c>
      <c r="D284" s="81" t="str">
        <f>Source!H100</f>
        <v>1000 шт.</v>
      </c>
      <c r="E284" s="82">
        <f>Source!K100</f>
        <v>14.35736</v>
      </c>
      <c r="F284" s="82"/>
      <c r="G284" s="82">
        <f>Source!I100</f>
        <v>14.35736</v>
      </c>
      <c r="H284" s="83">
        <f>Source!AL100</f>
        <v>1912.53</v>
      </c>
      <c r="I284" s="84"/>
      <c r="J284" s="85">
        <f>ROUND(Source!AC100*Source!I100, 2)</f>
        <v>27458.880000000001</v>
      </c>
      <c r="K284" s="84"/>
      <c r="L284" s="86"/>
      <c r="AC284">
        <f>Source!X100</f>
        <v>0</v>
      </c>
      <c r="AD284">
        <f>Source!HK100</f>
        <v>0</v>
      </c>
      <c r="AE284">
        <f>Source!Y100</f>
        <v>0</v>
      </c>
      <c r="AF284">
        <f>Source!HL100</f>
        <v>0</v>
      </c>
      <c r="AS284">
        <f>IF(Source!BI100&lt;=1,AD284, 0)</f>
        <v>0</v>
      </c>
      <c r="AT284">
        <f>IF(Source!BI100&lt;=1,AF284, 0)</f>
        <v>0</v>
      </c>
      <c r="BC284">
        <f>IF(Source!BI100=2,AD284, 0)</f>
        <v>0</v>
      </c>
      <c r="BD284">
        <f>IF(Source!BI100=2,AF284, 0)</f>
        <v>0</v>
      </c>
    </row>
    <row r="286" spans="1:56">
      <c r="A286" s="71"/>
      <c r="B286" s="71"/>
      <c r="C286" s="72" t="str">
        <f>"Объем: "&amp;Source!K100&amp;"=(14357,36)/"&amp;"1000"</f>
        <v>Объем: 14,35736=(14357,36)/1000</v>
      </c>
      <c r="D286" s="71"/>
      <c r="E286" s="71"/>
      <c r="F286" s="71"/>
      <c r="G286" s="71"/>
      <c r="H286" s="71"/>
      <c r="I286" s="71"/>
      <c r="J286" s="71"/>
      <c r="K286" s="71"/>
      <c r="L286" s="71"/>
    </row>
    <row r="287" spans="1:56" ht="13.8">
      <c r="C287" s="95" t="s">
        <v>1386</v>
      </c>
      <c r="D287" s="95"/>
      <c r="E287" s="95"/>
      <c r="F287" s="95"/>
      <c r="G287" s="95"/>
      <c r="H287" s="95"/>
      <c r="I287" s="95">
        <f>J284</f>
        <v>27458.880000000001</v>
      </c>
      <c r="J287" s="95"/>
      <c r="O287" s="69">
        <f>I287</f>
        <v>27458.880000000001</v>
      </c>
      <c r="P287">
        <f>K287</f>
        <v>0</v>
      </c>
      <c r="Q287">
        <f>0</f>
        <v>0</v>
      </c>
      <c r="R287">
        <f>0</f>
        <v>0</v>
      </c>
      <c r="U287">
        <f>0</f>
        <v>0</v>
      </c>
      <c r="V287">
        <f>0</f>
        <v>0</v>
      </c>
      <c r="W287">
        <f>0</f>
        <v>0</v>
      </c>
      <c r="X287">
        <f>0</f>
        <v>0</v>
      </c>
      <c r="Z287">
        <f>0</f>
        <v>0</v>
      </c>
      <c r="AB287" s="69">
        <f>I287</f>
        <v>27458.880000000001</v>
      </c>
      <c r="AN287">
        <f>IF(Source!BI100&lt;=1,J284, 0)</f>
        <v>27458.880000000001</v>
      </c>
      <c r="AO287">
        <f>IF(Source!BI100&lt;=1,I287, 0)</f>
        <v>27458.880000000001</v>
      </c>
      <c r="AP287">
        <f>IF(Source!BI100&lt;=1,0, 0)</f>
        <v>0</v>
      </c>
      <c r="AQ287">
        <f>IF(Source!BI100&lt;=1,0, 0)</f>
        <v>0</v>
      </c>
      <c r="AX287">
        <f>IF(Source!BI100=2,J284, 0)</f>
        <v>0</v>
      </c>
      <c r="AY287">
        <f>IF(Source!BI100=2,I287, 0)</f>
        <v>0</v>
      </c>
      <c r="AZ287">
        <f>IF(Source!BI100=2,0, 0)</f>
        <v>0</v>
      </c>
      <c r="BA287">
        <f>IF(Source!BI100=2,0, 0)</f>
        <v>0</v>
      </c>
    </row>
    <row r="288" spans="1:56" ht="106.8">
      <c r="A288" s="110" t="str">
        <f>Source!E101</f>
        <v>34</v>
      </c>
      <c r="B288" s="111" t="str">
        <f>Source!F101</f>
        <v>53-18-1</v>
      </c>
      <c r="C288" s="111" t="s">
        <v>1440</v>
      </c>
      <c r="D288" s="81" t="str">
        <f>Source!H101</f>
        <v>1 м3 перемычек</v>
      </c>
      <c r="E288" s="82">
        <f>Source!K101</f>
        <v>9.9</v>
      </c>
      <c r="F288" s="82"/>
      <c r="G288" s="82">
        <f>Source!I101</f>
        <v>9.9</v>
      </c>
      <c r="H288" s="83"/>
      <c r="I288" s="84"/>
      <c r="J288" s="85"/>
      <c r="K288" s="84"/>
      <c r="L288" s="86"/>
      <c r="AC288">
        <f>Source!X101</f>
        <v>4248.8500000000004</v>
      </c>
      <c r="AD288">
        <f>Source!HK101</f>
        <v>102907</v>
      </c>
      <c r="AE288">
        <f>Source!Y101</f>
        <v>2401.5300000000002</v>
      </c>
      <c r="AF288">
        <f>Source!HL101</f>
        <v>58165</v>
      </c>
      <c r="AS288">
        <f>IF(Source!BI101&lt;=1,AD288, 0)</f>
        <v>102907</v>
      </c>
      <c r="AT288">
        <f>IF(Source!BI101&lt;=1,AF288, 0)</f>
        <v>58165</v>
      </c>
      <c r="BC288">
        <f>IF(Source!BI101=2,AD288, 0)</f>
        <v>0</v>
      </c>
      <c r="BD288">
        <f>IF(Source!BI101=2,AF288, 0)</f>
        <v>0</v>
      </c>
    </row>
    <row r="290" spans="1:56" ht="14.4">
      <c r="A290" s="110"/>
      <c r="B290" s="112">
        <v>1</v>
      </c>
      <c r="C290" s="111" t="s">
        <v>1373</v>
      </c>
      <c r="D290" s="81"/>
      <c r="E290" s="82"/>
      <c r="F290" s="82"/>
      <c r="G290" s="82"/>
      <c r="H290" s="83">
        <f>Source!AO101</f>
        <v>364.73</v>
      </c>
      <c r="I290" s="84">
        <f>ROUND(1.15,7)</f>
        <v>1.1499999999999999</v>
      </c>
      <c r="J290" s="85">
        <f>ROUND(Source!AF101*Source!I101, 2)</f>
        <v>4152.45</v>
      </c>
      <c r="K290" s="84">
        <f>IF(Source!BA101&lt;&gt; 0, Source!BA101, 1)</f>
        <v>24.22</v>
      </c>
      <c r="L290" s="86">
        <f>Source!HJ101</f>
        <v>100572</v>
      </c>
    </row>
    <row r="291" spans="1:56" ht="14.4">
      <c r="A291" s="110"/>
      <c r="B291" s="112">
        <v>3</v>
      </c>
      <c r="C291" s="111" t="s">
        <v>1374</v>
      </c>
      <c r="D291" s="81"/>
      <c r="E291" s="82"/>
      <c r="F291" s="82"/>
      <c r="G291" s="82"/>
      <c r="H291" s="83">
        <f>Source!AM101</f>
        <v>305.63</v>
      </c>
      <c r="I291" s="84">
        <f>ROUND(1.15,7)</f>
        <v>1.1499999999999999</v>
      </c>
      <c r="J291" s="85">
        <f>ROUND(Source!AD101*Source!I101, 2)</f>
        <v>3479.6</v>
      </c>
      <c r="K291" s="84"/>
      <c r="L291" s="86"/>
    </row>
    <row r="292" spans="1:56" ht="14.4">
      <c r="A292" s="110"/>
      <c r="B292" s="112">
        <v>2</v>
      </c>
      <c r="C292" s="111" t="s">
        <v>1375</v>
      </c>
      <c r="D292" s="81"/>
      <c r="E292" s="82"/>
      <c r="F292" s="82"/>
      <c r="G292" s="82"/>
      <c r="H292" s="83">
        <f>Source!AN101</f>
        <v>40.92</v>
      </c>
      <c r="I292" s="84">
        <f>ROUND(1.15,7)</f>
        <v>1.1499999999999999</v>
      </c>
      <c r="J292" s="87">
        <f>ROUND(Source!AE101*Source!I101, 2)</f>
        <v>465.87</v>
      </c>
      <c r="K292" s="84">
        <f>IF(Source!BS101&lt;&gt; 0, Source!BS101, 1)</f>
        <v>24.22</v>
      </c>
      <c r="L292" s="88">
        <f>Source!HI101</f>
        <v>11283</v>
      </c>
    </row>
    <row r="293" spans="1:56" ht="14.4">
      <c r="A293" s="110"/>
      <c r="B293" s="112">
        <v>4</v>
      </c>
      <c r="C293" s="111" t="s">
        <v>1408</v>
      </c>
      <c r="D293" s="81"/>
      <c r="E293" s="82"/>
      <c r="F293" s="82"/>
      <c r="G293" s="82"/>
      <c r="H293" s="83">
        <f>Source!AL101</f>
        <v>899.36</v>
      </c>
      <c r="I293" s="84"/>
      <c r="J293" s="85">
        <f>ROUND(Source!AC101*Source!I101, 2)</f>
        <v>8903.66</v>
      </c>
      <c r="K293" s="84"/>
      <c r="L293" s="86"/>
    </row>
    <row r="294" spans="1:56" ht="14.4">
      <c r="A294" s="110"/>
      <c r="B294" s="111"/>
      <c r="C294" s="111" t="s">
        <v>1376</v>
      </c>
      <c r="D294" s="81" t="s">
        <v>1377</v>
      </c>
      <c r="E294" s="82">
        <f>Source!AQ101</f>
        <v>39.26</v>
      </c>
      <c r="F294" s="82">
        <f>ROUND(1.15,7)</f>
        <v>1.1499999999999999</v>
      </c>
      <c r="G294" s="82">
        <f>ROUND(Source!U101, 7)</f>
        <v>446.9751</v>
      </c>
      <c r="H294" s="83"/>
      <c r="I294" s="84"/>
      <c r="J294" s="85"/>
      <c r="K294" s="84"/>
      <c r="L294" s="86"/>
    </row>
    <row r="295" spans="1:56" ht="14.4">
      <c r="A295" s="110"/>
      <c r="B295" s="111"/>
      <c r="C295" s="113" t="s">
        <v>1378</v>
      </c>
      <c r="D295" s="89" t="s">
        <v>1377</v>
      </c>
      <c r="E295" s="90">
        <f>Source!AR101</f>
        <v>3.95</v>
      </c>
      <c r="F295" s="90">
        <f>ROUND(1.15,7)</f>
        <v>1.1499999999999999</v>
      </c>
      <c r="G295" s="90">
        <f>ROUND(Source!V101, 7)</f>
        <v>44.970750000000002</v>
      </c>
      <c r="H295" s="91"/>
      <c r="I295" s="92"/>
      <c r="J295" s="93"/>
      <c r="K295" s="92"/>
      <c r="L295" s="94"/>
    </row>
    <row r="296" spans="1:56" ht="14.4">
      <c r="A296" s="110"/>
      <c r="B296" s="111"/>
      <c r="C296" s="111" t="s">
        <v>1379</v>
      </c>
      <c r="D296" s="81"/>
      <c r="E296" s="82"/>
      <c r="F296" s="82"/>
      <c r="G296" s="82"/>
      <c r="H296" s="83">
        <f>H290+H291+H293</f>
        <v>1569.72</v>
      </c>
      <c r="I296" s="84"/>
      <c r="J296" s="85">
        <f>J290+J291+J293</f>
        <v>16535.71</v>
      </c>
      <c r="K296" s="84"/>
      <c r="L296" s="86"/>
    </row>
    <row r="297" spans="1:56" ht="14.4">
      <c r="A297" s="110"/>
      <c r="B297" s="111"/>
      <c r="C297" s="111" t="s">
        <v>1380</v>
      </c>
      <c r="D297" s="81"/>
      <c r="E297" s="82"/>
      <c r="F297" s="82"/>
      <c r="G297" s="82"/>
      <c r="H297" s="83"/>
      <c r="I297" s="84"/>
      <c r="J297" s="85">
        <f>SUM(Q288:Q300)+SUM(V288:V300)</f>
        <v>4618.32</v>
      </c>
      <c r="K297" s="84"/>
      <c r="L297" s="86">
        <f>SUM(U288:U300)+SUM(W288:W300)</f>
        <v>111855</v>
      </c>
    </row>
    <row r="298" spans="1:56" ht="14.4">
      <c r="A298" s="110"/>
      <c r="B298" s="111" t="s">
        <v>1419</v>
      </c>
      <c r="C298" s="111" t="s">
        <v>1420</v>
      </c>
      <c r="D298" s="81" t="s">
        <v>1383</v>
      </c>
      <c r="E298" s="82">
        <f>Source!BZ101</f>
        <v>92</v>
      </c>
      <c r="F298" s="82"/>
      <c r="G298" s="82">
        <f>Source!AT101</f>
        <v>92</v>
      </c>
      <c r="H298" s="83"/>
      <c r="I298" s="84"/>
      <c r="J298" s="85">
        <f>SUM(AC288:AC300)</f>
        <v>4248.8500000000004</v>
      </c>
      <c r="K298" s="84"/>
      <c r="L298" s="86">
        <f>SUM(AD288:AD300)</f>
        <v>102907</v>
      </c>
    </row>
    <row r="299" spans="1:56" ht="14.4">
      <c r="A299" s="114"/>
      <c r="B299" s="113" t="s">
        <v>1421</v>
      </c>
      <c r="C299" s="113" t="s">
        <v>1422</v>
      </c>
      <c r="D299" s="89" t="s">
        <v>1383</v>
      </c>
      <c r="E299" s="90">
        <f>Source!CA101</f>
        <v>52</v>
      </c>
      <c r="F299" s="90"/>
      <c r="G299" s="90">
        <f>Source!AU101</f>
        <v>52</v>
      </c>
      <c r="H299" s="91"/>
      <c r="I299" s="92"/>
      <c r="J299" s="93">
        <f>SUM(AE288:AE300)</f>
        <v>2401.5300000000002</v>
      </c>
      <c r="K299" s="92"/>
      <c r="L299" s="94">
        <f>SUM(AF288:AF300)</f>
        <v>58165</v>
      </c>
    </row>
    <row r="300" spans="1:56" ht="13.8">
      <c r="C300" s="95" t="s">
        <v>1386</v>
      </c>
      <c r="D300" s="95"/>
      <c r="E300" s="95"/>
      <c r="F300" s="95"/>
      <c r="G300" s="95"/>
      <c r="H300" s="95"/>
      <c r="I300" s="95">
        <f>J290+J291+J293+J298+J299</f>
        <v>23186.089999999997</v>
      </c>
      <c r="J300" s="95"/>
      <c r="O300" s="69">
        <f>I300</f>
        <v>23186.089999999997</v>
      </c>
      <c r="P300">
        <f>K300</f>
        <v>0</v>
      </c>
      <c r="Q300" s="69">
        <f>J290</f>
        <v>4152.45</v>
      </c>
      <c r="R300" s="69">
        <f>J290</f>
        <v>4152.45</v>
      </c>
      <c r="U300" s="70">
        <f>L290</f>
        <v>100572</v>
      </c>
      <c r="V300" s="69">
        <f>J292</f>
        <v>465.87</v>
      </c>
      <c r="W300" s="70">
        <f>L292</f>
        <v>11283</v>
      </c>
      <c r="X300" s="69">
        <f>J291</f>
        <v>3479.6</v>
      </c>
      <c r="Z300" s="70">
        <f>L291</f>
        <v>0</v>
      </c>
      <c r="AB300" s="69">
        <f>J293</f>
        <v>8903.66</v>
      </c>
      <c r="AN300">
        <f>IF(Source!BI101&lt;=1,J290+J291+J293+J298+J299, 0)</f>
        <v>23186.089999999997</v>
      </c>
      <c r="AO300">
        <f>IF(Source!BI101&lt;=1,J293, 0)</f>
        <v>8903.66</v>
      </c>
      <c r="AP300">
        <f>IF(Source!BI101&lt;=1,J291, 0)</f>
        <v>3479.6</v>
      </c>
      <c r="AQ300">
        <f>IF(Source!BI101&lt;=1,J290, 0)</f>
        <v>4152.45</v>
      </c>
      <c r="AX300">
        <f>IF(Source!BI101=2,J290+J291+J293+J298+J299, 0)</f>
        <v>0</v>
      </c>
      <c r="AY300">
        <f>IF(Source!BI101=2,J293, 0)</f>
        <v>0</v>
      </c>
      <c r="AZ300">
        <f>IF(Source!BI101=2,J291, 0)</f>
        <v>0</v>
      </c>
      <c r="BA300">
        <f>IF(Source!BI101=2,J290, 0)</f>
        <v>0</v>
      </c>
    </row>
    <row r="301" spans="1:56" ht="27.6">
      <c r="A301" s="110" t="str">
        <f>Source!E102</f>
        <v>35</v>
      </c>
      <c r="B301" s="111" t="str">
        <f>Source!F102</f>
        <v>404-0005</v>
      </c>
      <c r="C301" s="111" t="str">
        <f>Source!G102</f>
        <v>Кирпич керамический одинарный, размером 250х120х65 мм, марка 100</v>
      </c>
      <c r="D301" s="81" t="str">
        <f>Source!H102</f>
        <v>1000 шт.</v>
      </c>
      <c r="E301" s="82">
        <f>Source!K102</f>
        <v>-4.1778000000000004</v>
      </c>
      <c r="F301" s="82"/>
      <c r="G301" s="82">
        <f>Source!I102</f>
        <v>-4.1778000000000004</v>
      </c>
      <c r="H301" s="83">
        <f>Source!AL102</f>
        <v>1662.7</v>
      </c>
      <c r="I301" s="84"/>
      <c r="J301" s="85">
        <f>ROUND(Source!AC102*Source!I102, 2)</f>
        <v>-6946.43</v>
      </c>
      <c r="K301" s="84"/>
      <c r="L301" s="86"/>
      <c r="AC301">
        <f>Source!X102</f>
        <v>0</v>
      </c>
      <c r="AD301">
        <f>Source!HK102</f>
        <v>0</v>
      </c>
      <c r="AE301">
        <f>Source!Y102</f>
        <v>0</v>
      </c>
      <c r="AF301">
        <f>Source!HL102</f>
        <v>0</v>
      </c>
      <c r="AS301">
        <f>IF(Source!BI102&lt;=1,AD301, 0)</f>
        <v>0</v>
      </c>
      <c r="AT301">
        <f>IF(Source!BI102&lt;=1,AF301, 0)</f>
        <v>0</v>
      </c>
      <c r="BC301">
        <f>IF(Source!BI102=2,AD301, 0)</f>
        <v>0</v>
      </c>
      <c r="BD301">
        <f>IF(Source!BI102=2,AF301, 0)</f>
        <v>0</v>
      </c>
    </row>
    <row r="303" spans="1:56">
      <c r="A303" s="71"/>
      <c r="B303" s="71"/>
      <c r="C303" s="72" t="str">
        <f>"Объем: "&amp;Source!K102&amp;"="&amp;Source!I101&amp;"*"&amp;"-"&amp;"0,422"</f>
        <v>Объем: -4,1778=9,9*-0,422</v>
      </c>
      <c r="D303" s="71"/>
      <c r="E303" s="71"/>
      <c r="F303" s="71"/>
      <c r="G303" s="71"/>
      <c r="H303" s="71"/>
      <c r="I303" s="71"/>
      <c r="J303" s="71"/>
      <c r="K303" s="71"/>
      <c r="L303" s="71"/>
    </row>
    <row r="304" spans="1:56" ht="13.8">
      <c r="C304" s="95" t="s">
        <v>1386</v>
      </c>
      <c r="D304" s="95"/>
      <c r="E304" s="95"/>
      <c r="F304" s="95"/>
      <c r="G304" s="95"/>
      <c r="H304" s="95"/>
      <c r="I304" s="95">
        <f>J301</f>
        <v>-6946.43</v>
      </c>
      <c r="J304" s="95"/>
      <c r="O304" s="69">
        <f>I304</f>
        <v>-6946.43</v>
      </c>
      <c r="P304">
        <f>K304</f>
        <v>0</v>
      </c>
      <c r="Q304">
        <f>0</f>
        <v>0</v>
      </c>
      <c r="R304">
        <f>0</f>
        <v>0</v>
      </c>
      <c r="U304">
        <f>0</f>
        <v>0</v>
      </c>
      <c r="V304">
        <f>0</f>
        <v>0</v>
      </c>
      <c r="W304">
        <f>0</f>
        <v>0</v>
      </c>
      <c r="X304">
        <f>0</f>
        <v>0</v>
      </c>
      <c r="Z304">
        <f>0</f>
        <v>0</v>
      </c>
      <c r="AB304" s="69">
        <f>I304</f>
        <v>-6946.43</v>
      </c>
      <c r="AN304">
        <f>IF(Source!BI102&lt;=1,J301, 0)</f>
        <v>-6946.43</v>
      </c>
      <c r="AO304">
        <f>IF(Source!BI102&lt;=1,I304, 0)</f>
        <v>-6946.43</v>
      </c>
      <c r="AP304">
        <f>IF(Source!BI102&lt;=1,0, 0)</f>
        <v>0</v>
      </c>
      <c r="AQ304">
        <f>IF(Source!BI102&lt;=1,0, 0)</f>
        <v>0</v>
      </c>
      <c r="AX304">
        <f>IF(Source!BI102=2,J301, 0)</f>
        <v>0</v>
      </c>
      <c r="AY304">
        <f>IF(Source!BI102=2,I304, 0)</f>
        <v>0</v>
      </c>
      <c r="AZ304">
        <f>IF(Source!BI102=2,0, 0)</f>
        <v>0</v>
      </c>
      <c r="BA304">
        <f>IF(Source!BI102=2,0, 0)</f>
        <v>0</v>
      </c>
    </row>
    <row r="305" spans="1:56" ht="27.6">
      <c r="A305" s="110" t="str">
        <f>Source!E103</f>
        <v>36</v>
      </c>
      <c r="B305" s="111" t="str">
        <f>Source!F103</f>
        <v>402-0013</v>
      </c>
      <c r="C305" s="111" t="str">
        <f>Source!G103</f>
        <v>Раствор готовый кладочный цементно-известковый марки 50</v>
      </c>
      <c r="D305" s="81" t="str">
        <f>Source!H103</f>
        <v>м3</v>
      </c>
      <c r="E305" s="82">
        <f>Source!K103</f>
        <v>-2.3957999999999999</v>
      </c>
      <c r="F305" s="82"/>
      <c r="G305" s="82">
        <f>Source!I103</f>
        <v>-2.3957999999999999</v>
      </c>
      <c r="H305" s="83">
        <f>Source!AL103</f>
        <v>428.17</v>
      </c>
      <c r="I305" s="84"/>
      <c r="J305" s="85">
        <f>ROUND(Source!AC103*Source!I103, 2)</f>
        <v>-1025.81</v>
      </c>
      <c r="K305" s="84"/>
      <c r="L305" s="86"/>
      <c r="AC305">
        <f>Source!X103</f>
        <v>0</v>
      </c>
      <c r="AD305">
        <f>Source!HK103</f>
        <v>0</v>
      </c>
      <c r="AE305">
        <f>Source!Y103</f>
        <v>0</v>
      </c>
      <c r="AF305">
        <f>Source!HL103</f>
        <v>0</v>
      </c>
      <c r="AS305">
        <f>IF(Source!BI103&lt;=1,AD305, 0)</f>
        <v>0</v>
      </c>
      <c r="AT305">
        <f>IF(Source!BI103&lt;=1,AF305, 0)</f>
        <v>0</v>
      </c>
      <c r="BC305">
        <f>IF(Source!BI103=2,AD305, 0)</f>
        <v>0</v>
      </c>
      <c r="BD305">
        <f>IF(Source!BI103=2,AF305, 0)</f>
        <v>0</v>
      </c>
    </row>
    <row r="307" spans="1:56">
      <c r="A307" s="71"/>
      <c r="B307" s="71"/>
      <c r="C307" s="72" t="str">
        <f>"Объем: "&amp;Source!K103&amp;"="&amp;Source!I101&amp;"*"&amp;"-"&amp;"0,242"</f>
        <v>Объем: -2,3958=9,9*-0,242</v>
      </c>
      <c r="D307" s="71"/>
      <c r="E307" s="71"/>
      <c r="F307" s="71"/>
      <c r="G307" s="71"/>
      <c r="H307" s="71"/>
      <c r="I307" s="71"/>
      <c r="J307" s="71"/>
      <c r="K307" s="71"/>
      <c r="L307" s="71"/>
    </row>
    <row r="308" spans="1:56" ht="13.8">
      <c r="C308" s="95" t="s">
        <v>1386</v>
      </c>
      <c r="D308" s="95"/>
      <c r="E308" s="95"/>
      <c r="F308" s="95"/>
      <c r="G308" s="95"/>
      <c r="H308" s="95"/>
      <c r="I308" s="95">
        <f>J305</f>
        <v>-1025.81</v>
      </c>
      <c r="J308" s="95"/>
      <c r="O308" s="69">
        <f>I308</f>
        <v>-1025.81</v>
      </c>
      <c r="P308">
        <f>K308</f>
        <v>0</v>
      </c>
      <c r="Q308">
        <f>0</f>
        <v>0</v>
      </c>
      <c r="R308">
        <f>0</f>
        <v>0</v>
      </c>
      <c r="U308">
        <f>0</f>
        <v>0</v>
      </c>
      <c r="V308">
        <f>0</f>
        <v>0</v>
      </c>
      <c r="W308">
        <f>0</f>
        <v>0</v>
      </c>
      <c r="X308">
        <f>0</f>
        <v>0</v>
      </c>
      <c r="Z308">
        <f>0</f>
        <v>0</v>
      </c>
      <c r="AB308" s="69">
        <f>I308</f>
        <v>-1025.81</v>
      </c>
      <c r="AN308">
        <f>IF(Source!BI103&lt;=1,J305, 0)</f>
        <v>-1025.81</v>
      </c>
      <c r="AO308">
        <f>IF(Source!BI103&lt;=1,I308, 0)</f>
        <v>-1025.81</v>
      </c>
      <c r="AP308">
        <f>IF(Source!BI103&lt;=1,0, 0)</f>
        <v>0</v>
      </c>
      <c r="AQ308">
        <f>IF(Source!BI103&lt;=1,0, 0)</f>
        <v>0</v>
      </c>
      <c r="AX308">
        <f>IF(Source!BI103=2,J305, 0)</f>
        <v>0</v>
      </c>
      <c r="AY308">
        <f>IF(Source!BI103=2,I308, 0)</f>
        <v>0</v>
      </c>
      <c r="AZ308">
        <f>IF(Source!BI103=2,0, 0)</f>
        <v>0</v>
      </c>
      <c r="BA308">
        <f>IF(Source!BI103=2,0, 0)</f>
        <v>0</v>
      </c>
    </row>
    <row r="309" spans="1:56" ht="27.6">
      <c r="A309" s="110" t="str">
        <f>Source!E104</f>
        <v>37</v>
      </c>
      <c r="B309" s="111" t="str">
        <f>Source!F104</f>
        <v>402-0015</v>
      </c>
      <c r="C309" s="111" t="str">
        <f>Source!G104</f>
        <v>Раствор готовый кладочный цементно-известковый марки 100</v>
      </c>
      <c r="D309" s="81" t="str">
        <f>Source!H104</f>
        <v>м3</v>
      </c>
      <c r="E309" s="82">
        <f>Source!K104</f>
        <v>2.3957999999999999</v>
      </c>
      <c r="F309" s="82"/>
      <c r="G309" s="82">
        <f>Source!I104</f>
        <v>2.3957999999999999</v>
      </c>
      <c r="H309" s="83">
        <f>Source!AL104</f>
        <v>483.76</v>
      </c>
      <c r="I309" s="84"/>
      <c r="J309" s="85">
        <f>ROUND(Source!AC104*Source!I104, 2)</f>
        <v>1158.99</v>
      </c>
      <c r="K309" s="84"/>
      <c r="L309" s="86"/>
      <c r="AC309">
        <f>Source!X104</f>
        <v>0</v>
      </c>
      <c r="AD309">
        <f>Source!HK104</f>
        <v>0</v>
      </c>
      <c r="AE309">
        <f>Source!Y104</f>
        <v>0</v>
      </c>
      <c r="AF309">
        <f>Source!HL104</f>
        <v>0</v>
      </c>
      <c r="AS309">
        <f>IF(Source!BI104&lt;=1,AD309, 0)</f>
        <v>0</v>
      </c>
      <c r="AT309">
        <f>IF(Source!BI104&lt;=1,AF309, 0)</f>
        <v>0</v>
      </c>
      <c r="BC309">
        <f>IF(Source!BI104=2,AD309, 0)</f>
        <v>0</v>
      </c>
      <c r="BD309">
        <f>IF(Source!BI104=2,AF309, 0)</f>
        <v>0</v>
      </c>
    </row>
    <row r="310" spans="1:56">
      <c r="A310" s="71"/>
      <c r="B310" s="71"/>
      <c r="C310" s="71"/>
      <c r="D310" s="71"/>
      <c r="E310" s="71"/>
      <c r="F310" s="71"/>
      <c r="G310" s="71"/>
      <c r="H310" s="71"/>
      <c r="I310" s="71"/>
      <c r="J310" s="71"/>
      <c r="K310" s="71"/>
      <c r="L310" s="71"/>
    </row>
    <row r="311" spans="1:56" ht="13.8">
      <c r="C311" s="95" t="s">
        <v>1386</v>
      </c>
      <c r="D311" s="95"/>
      <c r="E311" s="95"/>
      <c r="F311" s="95"/>
      <c r="G311" s="95"/>
      <c r="H311" s="95"/>
      <c r="I311" s="95">
        <f>J309</f>
        <v>1158.99</v>
      </c>
      <c r="J311" s="95"/>
      <c r="O311" s="69">
        <f>I311</f>
        <v>1158.99</v>
      </c>
      <c r="P311">
        <f>K311</f>
        <v>0</v>
      </c>
      <c r="Q311">
        <f>0</f>
        <v>0</v>
      </c>
      <c r="R311">
        <f>0</f>
        <v>0</v>
      </c>
      <c r="U311">
        <f>0</f>
        <v>0</v>
      </c>
      <c r="V311">
        <f>0</f>
        <v>0</v>
      </c>
      <c r="W311">
        <f>0</f>
        <v>0</v>
      </c>
      <c r="X311">
        <f>0</f>
        <v>0</v>
      </c>
      <c r="Z311">
        <f>0</f>
        <v>0</v>
      </c>
      <c r="AB311" s="69">
        <f>I311</f>
        <v>1158.99</v>
      </c>
      <c r="AN311">
        <f>IF(Source!BI104&lt;=1,J309, 0)</f>
        <v>1158.99</v>
      </c>
      <c r="AO311">
        <f>IF(Source!BI104&lt;=1,I311, 0)</f>
        <v>1158.99</v>
      </c>
      <c r="AP311">
        <f>IF(Source!BI104&lt;=1,0, 0)</f>
        <v>0</v>
      </c>
      <c r="AQ311">
        <f>IF(Source!BI104&lt;=1,0, 0)</f>
        <v>0</v>
      </c>
      <c r="AX311">
        <f>IF(Source!BI104=2,J309, 0)</f>
        <v>0</v>
      </c>
      <c r="AY311">
        <f>IF(Source!BI104=2,I311, 0)</f>
        <v>0</v>
      </c>
      <c r="AZ311">
        <f>IF(Source!BI104=2,0, 0)</f>
        <v>0</v>
      </c>
      <c r="BA311">
        <f>IF(Source!BI104=2,0, 0)</f>
        <v>0</v>
      </c>
    </row>
    <row r="312" spans="1:56" ht="27.6">
      <c r="A312" s="110" t="str">
        <f>Source!E105</f>
        <v>38</v>
      </c>
      <c r="B312" s="111" t="str">
        <f>Source!F105</f>
        <v>404-0007</v>
      </c>
      <c r="C312" s="111" t="str">
        <f>Source!G105</f>
        <v>Кирпич керамический одинарный, размером 250х120х65 мм, марка 150</v>
      </c>
      <c r="D312" s="81" t="str">
        <f>Source!H105</f>
        <v>1000 шт.</v>
      </c>
      <c r="E312" s="82">
        <f>Source!K105</f>
        <v>4.1778000000000004</v>
      </c>
      <c r="F312" s="82"/>
      <c r="G312" s="82">
        <f>Source!I105</f>
        <v>4.1778000000000004</v>
      </c>
      <c r="H312" s="83">
        <f>Source!AL105</f>
        <v>1912.53</v>
      </c>
      <c r="I312" s="84"/>
      <c r="J312" s="85">
        <f>ROUND(Source!AC105*Source!I105, 2)</f>
        <v>7990.17</v>
      </c>
      <c r="K312" s="84"/>
      <c r="L312" s="86"/>
      <c r="AC312">
        <f>Source!X105</f>
        <v>0</v>
      </c>
      <c r="AD312">
        <f>Source!HK105</f>
        <v>0</v>
      </c>
      <c r="AE312">
        <f>Source!Y105</f>
        <v>0</v>
      </c>
      <c r="AF312">
        <f>Source!HL105</f>
        <v>0</v>
      </c>
      <c r="AS312">
        <f>IF(Source!BI105&lt;=1,AD312, 0)</f>
        <v>0</v>
      </c>
      <c r="AT312">
        <f>IF(Source!BI105&lt;=1,AF312, 0)</f>
        <v>0</v>
      </c>
      <c r="BC312">
        <f>IF(Source!BI105=2,AD312, 0)</f>
        <v>0</v>
      </c>
      <c r="BD312">
        <f>IF(Source!BI105=2,AF312, 0)</f>
        <v>0</v>
      </c>
    </row>
    <row r="314" spans="1:56">
      <c r="A314" s="71"/>
      <c r="B314" s="71"/>
      <c r="C314" s="72" t="str">
        <f>"Объем: "&amp;Source!K105&amp;"=(4177,8)/"&amp;"1000"</f>
        <v>Объем: 4,1778=(4177,8)/1000</v>
      </c>
      <c r="D314" s="71"/>
      <c r="E314" s="71"/>
      <c r="F314" s="71"/>
      <c r="G314" s="71"/>
      <c r="H314" s="71"/>
      <c r="I314" s="71"/>
      <c r="J314" s="71"/>
      <c r="K314" s="71"/>
      <c r="L314" s="71"/>
    </row>
    <row r="315" spans="1:56" ht="13.8">
      <c r="C315" s="95" t="s">
        <v>1386</v>
      </c>
      <c r="D315" s="95"/>
      <c r="E315" s="95"/>
      <c r="F315" s="95"/>
      <c r="G315" s="95"/>
      <c r="H315" s="95"/>
      <c r="I315" s="95">
        <f>J312</f>
        <v>7990.17</v>
      </c>
      <c r="J315" s="95"/>
      <c r="O315" s="69">
        <f>I315</f>
        <v>7990.17</v>
      </c>
      <c r="P315">
        <f>K315</f>
        <v>0</v>
      </c>
      <c r="Q315">
        <f>0</f>
        <v>0</v>
      </c>
      <c r="R315">
        <f>0</f>
        <v>0</v>
      </c>
      <c r="U315">
        <f>0</f>
        <v>0</v>
      </c>
      <c r="V315">
        <f>0</f>
        <v>0</v>
      </c>
      <c r="W315">
        <f>0</f>
        <v>0</v>
      </c>
      <c r="X315">
        <f>0</f>
        <v>0</v>
      </c>
      <c r="Z315">
        <f>0</f>
        <v>0</v>
      </c>
      <c r="AB315" s="69">
        <f>I315</f>
        <v>7990.17</v>
      </c>
      <c r="AN315">
        <f>IF(Source!BI105&lt;=1,J312, 0)</f>
        <v>7990.17</v>
      </c>
      <c r="AO315">
        <f>IF(Source!BI105&lt;=1,I315, 0)</f>
        <v>7990.17</v>
      </c>
      <c r="AP315">
        <f>IF(Source!BI105&lt;=1,0, 0)</f>
        <v>0</v>
      </c>
      <c r="AQ315">
        <f>IF(Source!BI105&lt;=1,0, 0)</f>
        <v>0</v>
      </c>
      <c r="AX315">
        <f>IF(Source!BI105=2,J312, 0)</f>
        <v>0</v>
      </c>
      <c r="AY315">
        <f>IF(Source!BI105=2,I315, 0)</f>
        <v>0</v>
      </c>
      <c r="AZ315">
        <f>IF(Source!BI105=2,0, 0)</f>
        <v>0</v>
      </c>
      <c r="BA315">
        <f>IF(Source!BI105=2,0, 0)</f>
        <v>0</v>
      </c>
    </row>
    <row r="316" spans="1:56" ht="134.4">
      <c r="A316" s="110" t="str">
        <f>Source!E106</f>
        <v>39</v>
      </c>
      <c r="B316" s="111" t="str">
        <f>Source!F106</f>
        <v>53-15-2</v>
      </c>
      <c r="C316" s="111" t="s">
        <v>1441</v>
      </c>
      <c r="D316" s="81" t="str">
        <f>Source!H106</f>
        <v>100 м2 отремонтированной поверхности стен</v>
      </c>
      <c r="E316" s="82">
        <f>Source!K106</f>
        <v>0.04</v>
      </c>
      <c r="F316" s="82"/>
      <c r="G316" s="82">
        <f>Source!I106</f>
        <v>0.04</v>
      </c>
      <c r="H316" s="83"/>
      <c r="I316" s="84"/>
      <c r="J316" s="85"/>
      <c r="K316" s="84"/>
      <c r="L316" s="86"/>
      <c r="AC316">
        <f>Source!X106</f>
        <v>123.24</v>
      </c>
      <c r="AD316">
        <f>Source!HK106</f>
        <v>2985</v>
      </c>
      <c r="AE316">
        <f>Source!Y106</f>
        <v>69.66</v>
      </c>
      <c r="AF316">
        <f>Source!HL106</f>
        <v>1687</v>
      </c>
      <c r="AS316">
        <f>IF(Source!BI106&lt;=1,AD316, 0)</f>
        <v>2985</v>
      </c>
      <c r="AT316">
        <f>IF(Source!BI106&lt;=1,AF316, 0)</f>
        <v>1687</v>
      </c>
      <c r="BC316">
        <f>IF(Source!BI106=2,AD316, 0)</f>
        <v>0</v>
      </c>
      <c r="BD316">
        <f>IF(Source!BI106=2,AF316, 0)</f>
        <v>0</v>
      </c>
    </row>
    <row r="318" spans="1:56">
      <c r="C318" s="67" t="str">
        <f>"Объем: "&amp;Source!K106&amp;"=4/"&amp;"100"</f>
        <v>Объем: 0,04=4/100</v>
      </c>
    </row>
    <row r="319" spans="1:56" ht="14.4">
      <c r="A319" s="110"/>
      <c r="B319" s="112">
        <v>1</v>
      </c>
      <c r="C319" s="111" t="s">
        <v>1373</v>
      </c>
      <c r="D319" s="81"/>
      <c r="E319" s="82"/>
      <c r="F319" s="82"/>
      <c r="G319" s="82"/>
      <c r="H319" s="83">
        <f>Source!AO106</f>
        <v>2899.23</v>
      </c>
      <c r="I319" s="84">
        <f>ROUND(1.15,7)</f>
        <v>1.1499999999999999</v>
      </c>
      <c r="J319" s="85">
        <f>ROUND(Source!AF106*Source!I106, 2)</f>
        <v>133.36000000000001</v>
      </c>
      <c r="K319" s="84">
        <f>IF(Source!BA106&lt;&gt; 0, Source!BA106, 1)</f>
        <v>24.22</v>
      </c>
      <c r="L319" s="86">
        <f>Source!HJ106</f>
        <v>3230</v>
      </c>
    </row>
    <row r="320" spans="1:56" ht="14.4">
      <c r="A320" s="110"/>
      <c r="B320" s="112">
        <v>3</v>
      </c>
      <c r="C320" s="111" t="s">
        <v>1374</v>
      </c>
      <c r="D320" s="81"/>
      <c r="E320" s="82"/>
      <c r="F320" s="82"/>
      <c r="G320" s="82"/>
      <c r="H320" s="83">
        <f>Source!AM106</f>
        <v>108.45</v>
      </c>
      <c r="I320" s="84">
        <f>ROUND(1.15,7)</f>
        <v>1.1499999999999999</v>
      </c>
      <c r="J320" s="85">
        <f>ROUND(Source!AD106*Source!I106, 2)</f>
        <v>4.99</v>
      </c>
      <c r="K320" s="84"/>
      <c r="L320" s="86"/>
    </row>
    <row r="321" spans="1:56" ht="14.4">
      <c r="A321" s="110"/>
      <c r="B321" s="112">
        <v>2</v>
      </c>
      <c r="C321" s="111" t="s">
        <v>1375</v>
      </c>
      <c r="D321" s="81"/>
      <c r="E321" s="82"/>
      <c r="F321" s="82"/>
      <c r="G321" s="82"/>
      <c r="H321" s="83">
        <f>Source!AN106</f>
        <v>13.03</v>
      </c>
      <c r="I321" s="84">
        <f>ROUND(1.15,7)</f>
        <v>1.1499999999999999</v>
      </c>
      <c r="J321" s="87">
        <f>ROUND(Source!AE106*Source!I106, 2)</f>
        <v>0.6</v>
      </c>
      <c r="K321" s="84">
        <f>IF(Source!BS106&lt;&gt; 0, Source!BS106, 1)</f>
        <v>24.22</v>
      </c>
      <c r="L321" s="88">
        <f>Source!HI106</f>
        <v>15</v>
      </c>
    </row>
    <row r="322" spans="1:56" ht="14.4">
      <c r="A322" s="110"/>
      <c r="B322" s="112">
        <v>4</v>
      </c>
      <c r="C322" s="111" t="s">
        <v>1408</v>
      </c>
      <c r="D322" s="81"/>
      <c r="E322" s="82"/>
      <c r="F322" s="82"/>
      <c r="G322" s="82"/>
      <c r="H322" s="83">
        <f>Source!AL106</f>
        <v>9675.09</v>
      </c>
      <c r="I322" s="84"/>
      <c r="J322" s="85">
        <f>ROUND(Source!AC106*Source!I106, 2)</f>
        <v>387</v>
      </c>
      <c r="K322" s="84"/>
      <c r="L322" s="86"/>
    </row>
    <row r="323" spans="1:56" ht="14.4">
      <c r="A323" s="110"/>
      <c r="B323" s="111"/>
      <c r="C323" s="111" t="s">
        <v>1376</v>
      </c>
      <c r="D323" s="81" t="s">
        <v>1377</v>
      </c>
      <c r="E323" s="82">
        <f>Source!AQ106</f>
        <v>361.5</v>
      </c>
      <c r="F323" s="82">
        <f>ROUND(1.15,7)</f>
        <v>1.1499999999999999</v>
      </c>
      <c r="G323" s="82">
        <f>ROUND(Source!U106, 7)</f>
        <v>16.629000000000001</v>
      </c>
      <c r="H323" s="83"/>
      <c r="I323" s="84"/>
      <c r="J323" s="85"/>
      <c r="K323" s="84"/>
      <c r="L323" s="86"/>
    </row>
    <row r="324" spans="1:56" ht="14.4">
      <c r="A324" s="110"/>
      <c r="B324" s="111"/>
      <c r="C324" s="113" t="s">
        <v>1378</v>
      </c>
      <c r="D324" s="89" t="s">
        <v>1377</v>
      </c>
      <c r="E324" s="90">
        <f>Source!AR106</f>
        <v>1</v>
      </c>
      <c r="F324" s="90">
        <f>ROUND(1.15,7)</f>
        <v>1.1499999999999999</v>
      </c>
      <c r="G324" s="90">
        <f>ROUND(Source!V106, 7)</f>
        <v>4.5999999999999999E-2</v>
      </c>
      <c r="H324" s="91"/>
      <c r="I324" s="92"/>
      <c r="J324" s="93"/>
      <c r="K324" s="92"/>
      <c r="L324" s="94"/>
    </row>
    <row r="325" spans="1:56" ht="14.4">
      <c r="A325" s="110"/>
      <c r="B325" s="111"/>
      <c r="C325" s="111" t="s">
        <v>1379</v>
      </c>
      <c r="D325" s="81"/>
      <c r="E325" s="82"/>
      <c r="F325" s="82"/>
      <c r="G325" s="82"/>
      <c r="H325" s="83">
        <f>H319+H320+H322</f>
        <v>12682.77</v>
      </c>
      <c r="I325" s="84"/>
      <c r="J325" s="85">
        <f>J319+J320+J322</f>
        <v>525.35</v>
      </c>
      <c r="K325" s="84"/>
      <c r="L325" s="86"/>
    </row>
    <row r="326" spans="1:56" ht="14.4">
      <c r="A326" s="110"/>
      <c r="B326" s="111"/>
      <c r="C326" s="111" t="s">
        <v>1380</v>
      </c>
      <c r="D326" s="81"/>
      <c r="E326" s="82"/>
      <c r="F326" s="82"/>
      <c r="G326" s="82"/>
      <c r="H326" s="83"/>
      <c r="I326" s="84"/>
      <c r="J326" s="85">
        <f>SUM(Q316:Q329)+SUM(V316:V329)</f>
        <v>133.96</v>
      </c>
      <c r="K326" s="84"/>
      <c r="L326" s="86">
        <f>SUM(U316:U329)+SUM(W316:W329)</f>
        <v>3245</v>
      </c>
    </row>
    <row r="327" spans="1:56" ht="14.4">
      <c r="A327" s="110"/>
      <c r="B327" s="111" t="s">
        <v>1419</v>
      </c>
      <c r="C327" s="111" t="s">
        <v>1420</v>
      </c>
      <c r="D327" s="81" t="s">
        <v>1383</v>
      </c>
      <c r="E327" s="82">
        <f>Source!BZ106</f>
        <v>92</v>
      </c>
      <c r="F327" s="82"/>
      <c r="G327" s="82">
        <f>Source!AT106</f>
        <v>92</v>
      </c>
      <c r="H327" s="83"/>
      <c r="I327" s="84"/>
      <c r="J327" s="85">
        <f>SUM(AC316:AC329)</f>
        <v>123.24</v>
      </c>
      <c r="K327" s="84"/>
      <c r="L327" s="86">
        <f>SUM(AD316:AD329)</f>
        <v>2985</v>
      </c>
    </row>
    <row r="328" spans="1:56" ht="14.4">
      <c r="A328" s="114"/>
      <c r="B328" s="113" t="s">
        <v>1421</v>
      </c>
      <c r="C328" s="113" t="s">
        <v>1422</v>
      </c>
      <c r="D328" s="89" t="s">
        <v>1383</v>
      </c>
      <c r="E328" s="90">
        <f>Source!CA106</f>
        <v>52</v>
      </c>
      <c r="F328" s="90"/>
      <c r="G328" s="90">
        <f>Source!AU106</f>
        <v>52</v>
      </c>
      <c r="H328" s="91"/>
      <c r="I328" s="92"/>
      <c r="J328" s="93">
        <f>SUM(AE316:AE329)</f>
        <v>69.66</v>
      </c>
      <c r="K328" s="92"/>
      <c r="L328" s="94">
        <f>SUM(AF316:AF329)</f>
        <v>1687</v>
      </c>
    </row>
    <row r="329" spans="1:56" ht="13.8">
      <c r="C329" s="95" t="s">
        <v>1386</v>
      </c>
      <c r="D329" s="95"/>
      <c r="E329" s="95"/>
      <c r="F329" s="95"/>
      <c r="G329" s="95"/>
      <c r="H329" s="95"/>
      <c r="I329" s="95">
        <f>J319+J320+J322+J327+J328</f>
        <v>718.25</v>
      </c>
      <c r="J329" s="95"/>
      <c r="O329" s="69">
        <f>I329</f>
        <v>718.25</v>
      </c>
      <c r="P329">
        <f>K329</f>
        <v>0</v>
      </c>
      <c r="Q329" s="69">
        <f>J319</f>
        <v>133.36000000000001</v>
      </c>
      <c r="R329" s="69">
        <f>J319</f>
        <v>133.36000000000001</v>
      </c>
      <c r="U329" s="70">
        <f>L319</f>
        <v>3230</v>
      </c>
      <c r="V329" s="69">
        <f>J321</f>
        <v>0.6</v>
      </c>
      <c r="W329" s="70">
        <f>L321</f>
        <v>15</v>
      </c>
      <c r="X329" s="69">
        <f>J320</f>
        <v>4.99</v>
      </c>
      <c r="Z329" s="70">
        <f>L320</f>
        <v>0</v>
      </c>
      <c r="AB329" s="69">
        <f>J322</f>
        <v>387</v>
      </c>
      <c r="AN329">
        <f>IF(Source!BI106&lt;=1,J319+J320+J322+J327+J328, 0)</f>
        <v>718.25</v>
      </c>
      <c r="AO329">
        <f>IF(Source!BI106&lt;=1,J322, 0)</f>
        <v>387</v>
      </c>
      <c r="AP329">
        <f>IF(Source!BI106&lt;=1,J320, 0)</f>
        <v>4.99</v>
      </c>
      <c r="AQ329">
        <f>IF(Source!BI106&lt;=1,J319, 0)</f>
        <v>133.36000000000001</v>
      </c>
      <c r="AX329">
        <f>IF(Source!BI106=2,J319+J320+J322+J327+J328, 0)</f>
        <v>0</v>
      </c>
      <c r="AY329">
        <f>IF(Source!BI106=2,J322, 0)</f>
        <v>0</v>
      </c>
      <c r="AZ329">
        <f>IF(Source!BI106=2,J320, 0)</f>
        <v>0</v>
      </c>
      <c r="BA329">
        <f>IF(Source!BI106=2,J319, 0)</f>
        <v>0</v>
      </c>
    </row>
    <row r="330" spans="1:56" ht="27.6">
      <c r="A330" s="110" t="str">
        <f>Source!E107</f>
        <v>40</v>
      </c>
      <c r="B330" s="111" t="str">
        <f>Source!F107</f>
        <v>404-0005</v>
      </c>
      <c r="C330" s="111" t="str">
        <f>Source!G107</f>
        <v>Кирпич керамический одинарный, размером 250х120х65 мм, марка 100</v>
      </c>
      <c r="D330" s="81" t="str">
        <f>Source!H107</f>
        <v>1000 шт.</v>
      </c>
      <c r="E330" s="82">
        <f>Source!K107</f>
        <v>-0.20799999999999999</v>
      </c>
      <c r="F330" s="82"/>
      <c r="G330" s="82">
        <f>Source!I107</f>
        <v>-0.20799999999999999</v>
      </c>
      <c r="H330" s="83">
        <f>Source!AL107</f>
        <v>1662.7</v>
      </c>
      <c r="I330" s="84"/>
      <c r="J330" s="85">
        <f>ROUND(Source!AC107*Source!I107, 2)</f>
        <v>-345.84</v>
      </c>
      <c r="K330" s="84"/>
      <c r="L330" s="86"/>
      <c r="AC330">
        <f>Source!X107</f>
        <v>0</v>
      </c>
      <c r="AD330">
        <f>Source!HK107</f>
        <v>0</v>
      </c>
      <c r="AE330">
        <f>Source!Y107</f>
        <v>0</v>
      </c>
      <c r="AF330">
        <f>Source!HL107</f>
        <v>0</v>
      </c>
      <c r="AS330">
        <f>IF(Source!BI107&lt;=1,AD330, 0)</f>
        <v>0</v>
      </c>
      <c r="AT330">
        <f>IF(Source!BI107&lt;=1,AF330, 0)</f>
        <v>0</v>
      </c>
      <c r="BC330">
        <f>IF(Source!BI107=2,AD330, 0)</f>
        <v>0</v>
      </c>
      <c r="BD330">
        <f>IF(Source!BI107=2,AF330, 0)</f>
        <v>0</v>
      </c>
    </row>
    <row r="332" spans="1:56">
      <c r="A332" s="71"/>
      <c r="B332" s="71"/>
      <c r="C332" s="72" t="str">
        <f>"Объем: "&amp;Source!K107&amp;"="&amp;Source!I106&amp;"*"&amp;"-"&amp;"5,2"</f>
        <v>Объем: -0,208=0,04*-5,2</v>
      </c>
      <c r="D332" s="71"/>
      <c r="E332" s="71"/>
      <c r="F332" s="71"/>
      <c r="G332" s="71"/>
      <c r="H332" s="71"/>
      <c r="I332" s="71"/>
      <c r="J332" s="71"/>
      <c r="K332" s="71"/>
      <c r="L332" s="71"/>
    </row>
    <row r="333" spans="1:56" ht="13.8">
      <c r="C333" s="95" t="s">
        <v>1386</v>
      </c>
      <c r="D333" s="95"/>
      <c r="E333" s="95"/>
      <c r="F333" s="95"/>
      <c r="G333" s="95"/>
      <c r="H333" s="95"/>
      <c r="I333" s="95">
        <f>J330</f>
        <v>-345.84</v>
      </c>
      <c r="J333" s="95"/>
      <c r="O333" s="69">
        <f>I333</f>
        <v>-345.84</v>
      </c>
      <c r="P333">
        <f>K333</f>
        <v>0</v>
      </c>
      <c r="Q333">
        <f>0</f>
        <v>0</v>
      </c>
      <c r="R333">
        <f>0</f>
        <v>0</v>
      </c>
      <c r="U333">
        <f>0</f>
        <v>0</v>
      </c>
      <c r="V333">
        <f>0</f>
        <v>0</v>
      </c>
      <c r="W333">
        <f>0</f>
        <v>0</v>
      </c>
      <c r="X333">
        <f>0</f>
        <v>0</v>
      </c>
      <c r="Z333">
        <f>0</f>
        <v>0</v>
      </c>
      <c r="AB333" s="69">
        <f>I333</f>
        <v>-345.84</v>
      </c>
      <c r="AN333">
        <f>IF(Source!BI107&lt;=1,J330, 0)</f>
        <v>-345.84</v>
      </c>
      <c r="AO333">
        <f>IF(Source!BI107&lt;=1,I333, 0)</f>
        <v>-345.84</v>
      </c>
      <c r="AP333">
        <f>IF(Source!BI107&lt;=1,0, 0)</f>
        <v>0</v>
      </c>
      <c r="AQ333">
        <f>IF(Source!BI107&lt;=1,0, 0)</f>
        <v>0</v>
      </c>
      <c r="AX333">
        <f>IF(Source!BI107=2,J330, 0)</f>
        <v>0</v>
      </c>
      <c r="AY333">
        <f>IF(Source!BI107=2,I333, 0)</f>
        <v>0</v>
      </c>
      <c r="AZ333">
        <f>IF(Source!BI107=2,0, 0)</f>
        <v>0</v>
      </c>
      <c r="BA333">
        <f>IF(Source!BI107=2,0, 0)</f>
        <v>0</v>
      </c>
    </row>
    <row r="334" spans="1:56" ht="27.6">
      <c r="A334" s="110" t="str">
        <f>Source!E108</f>
        <v>41</v>
      </c>
      <c r="B334" s="111" t="str">
        <f>Source!F108</f>
        <v>402-0013</v>
      </c>
      <c r="C334" s="111" t="str">
        <f>Source!G108</f>
        <v>Раствор готовый кладочный цементно-известковый марки 50</v>
      </c>
      <c r="D334" s="81" t="str">
        <f>Source!H108</f>
        <v>м3</v>
      </c>
      <c r="E334" s="82">
        <f>Source!K108</f>
        <v>-9.6000000000000002E-2</v>
      </c>
      <c r="F334" s="82"/>
      <c r="G334" s="82">
        <f>Source!I108</f>
        <v>-9.6000000000000002E-2</v>
      </c>
      <c r="H334" s="83">
        <f>Source!AL108</f>
        <v>428.17</v>
      </c>
      <c r="I334" s="84"/>
      <c r="J334" s="85">
        <f>ROUND(Source!AC108*Source!I108, 2)</f>
        <v>-41.1</v>
      </c>
      <c r="K334" s="84"/>
      <c r="L334" s="86"/>
      <c r="AC334">
        <f>Source!X108</f>
        <v>0</v>
      </c>
      <c r="AD334">
        <f>Source!HK108</f>
        <v>0</v>
      </c>
      <c r="AE334">
        <f>Source!Y108</f>
        <v>0</v>
      </c>
      <c r="AF334">
        <f>Source!HL108</f>
        <v>0</v>
      </c>
      <c r="AS334">
        <f>IF(Source!BI108&lt;=1,AD334, 0)</f>
        <v>0</v>
      </c>
      <c r="AT334">
        <f>IF(Source!BI108&lt;=1,AF334, 0)</f>
        <v>0</v>
      </c>
      <c r="BC334">
        <f>IF(Source!BI108=2,AD334, 0)</f>
        <v>0</v>
      </c>
      <c r="BD334">
        <f>IF(Source!BI108=2,AF334, 0)</f>
        <v>0</v>
      </c>
    </row>
    <row r="336" spans="1:56">
      <c r="A336" s="71"/>
      <c r="B336" s="71"/>
      <c r="C336" s="72" t="str">
        <f>"Объем: "&amp;Source!K108&amp;"="&amp;Source!I106&amp;"*"&amp;"-"&amp;"2,4"</f>
        <v>Объем: -0,096=0,04*-2,4</v>
      </c>
      <c r="D336" s="71"/>
      <c r="E336" s="71"/>
      <c r="F336" s="71"/>
      <c r="G336" s="71"/>
      <c r="H336" s="71"/>
      <c r="I336" s="71"/>
      <c r="J336" s="71"/>
      <c r="K336" s="71"/>
      <c r="L336" s="71"/>
    </row>
    <row r="337" spans="1:56" ht="13.8">
      <c r="C337" s="95" t="s">
        <v>1386</v>
      </c>
      <c r="D337" s="95"/>
      <c r="E337" s="95"/>
      <c r="F337" s="95"/>
      <c r="G337" s="95"/>
      <c r="H337" s="95"/>
      <c r="I337" s="95">
        <f>J334</f>
        <v>-41.1</v>
      </c>
      <c r="J337" s="95"/>
      <c r="O337" s="69">
        <f>I337</f>
        <v>-41.1</v>
      </c>
      <c r="P337">
        <f>K337</f>
        <v>0</v>
      </c>
      <c r="Q337">
        <f>0</f>
        <v>0</v>
      </c>
      <c r="R337">
        <f>0</f>
        <v>0</v>
      </c>
      <c r="U337">
        <f>0</f>
        <v>0</v>
      </c>
      <c r="V337">
        <f>0</f>
        <v>0</v>
      </c>
      <c r="W337">
        <f>0</f>
        <v>0</v>
      </c>
      <c r="X337">
        <f>0</f>
        <v>0</v>
      </c>
      <c r="Z337">
        <f>0</f>
        <v>0</v>
      </c>
      <c r="AB337" s="69">
        <f>I337</f>
        <v>-41.1</v>
      </c>
      <c r="AN337">
        <f>IF(Source!BI108&lt;=1,J334, 0)</f>
        <v>-41.1</v>
      </c>
      <c r="AO337">
        <f>IF(Source!BI108&lt;=1,I337, 0)</f>
        <v>-41.1</v>
      </c>
      <c r="AP337">
        <f>IF(Source!BI108&lt;=1,0, 0)</f>
        <v>0</v>
      </c>
      <c r="AQ337">
        <f>IF(Source!BI108&lt;=1,0, 0)</f>
        <v>0</v>
      </c>
      <c r="AX337">
        <f>IF(Source!BI108=2,J334, 0)</f>
        <v>0</v>
      </c>
      <c r="AY337">
        <f>IF(Source!BI108=2,I337, 0)</f>
        <v>0</v>
      </c>
      <c r="AZ337">
        <f>IF(Source!BI108=2,0, 0)</f>
        <v>0</v>
      </c>
      <c r="BA337">
        <f>IF(Source!BI108=2,0, 0)</f>
        <v>0</v>
      </c>
    </row>
    <row r="338" spans="1:56" ht="27.6">
      <c r="A338" s="110" t="str">
        <f>Source!E109</f>
        <v>42</v>
      </c>
      <c r="B338" s="111" t="str">
        <f>Source!F109</f>
        <v>402-0015</v>
      </c>
      <c r="C338" s="111" t="str">
        <f>Source!G109</f>
        <v>Раствор готовый кладочный цементно-известковый марки 100</v>
      </c>
      <c r="D338" s="81" t="str">
        <f>Source!H109</f>
        <v>м3</v>
      </c>
      <c r="E338" s="82">
        <f>Source!K109</f>
        <v>9.6000000000000002E-2</v>
      </c>
      <c r="F338" s="82"/>
      <c r="G338" s="82">
        <f>Source!I109</f>
        <v>9.6000000000000002E-2</v>
      </c>
      <c r="H338" s="83">
        <f>Source!AL109</f>
        <v>483.76</v>
      </c>
      <c r="I338" s="84"/>
      <c r="J338" s="85">
        <f>ROUND(Source!AC109*Source!I109, 2)</f>
        <v>46.44</v>
      </c>
      <c r="K338" s="84"/>
      <c r="L338" s="86"/>
      <c r="AC338">
        <f>Source!X109</f>
        <v>0</v>
      </c>
      <c r="AD338">
        <f>Source!HK109</f>
        <v>0</v>
      </c>
      <c r="AE338">
        <f>Source!Y109</f>
        <v>0</v>
      </c>
      <c r="AF338">
        <f>Source!HL109</f>
        <v>0</v>
      </c>
      <c r="AS338">
        <f>IF(Source!BI109&lt;=1,AD338, 0)</f>
        <v>0</v>
      </c>
      <c r="AT338">
        <f>IF(Source!BI109&lt;=1,AF338, 0)</f>
        <v>0</v>
      </c>
      <c r="BC338">
        <f>IF(Source!BI109=2,AD338, 0)</f>
        <v>0</v>
      </c>
      <c r="BD338">
        <f>IF(Source!BI109=2,AF338, 0)</f>
        <v>0</v>
      </c>
    </row>
    <row r="339" spans="1:56">
      <c r="A339" s="71"/>
      <c r="B339" s="71"/>
      <c r="C339" s="71"/>
      <c r="D339" s="71"/>
      <c r="E339" s="71"/>
      <c r="F339" s="71"/>
      <c r="G339" s="71"/>
      <c r="H339" s="71"/>
      <c r="I339" s="71"/>
      <c r="J339" s="71"/>
      <c r="K339" s="71"/>
      <c r="L339" s="71"/>
    </row>
    <row r="340" spans="1:56" ht="13.8">
      <c r="C340" s="95" t="s">
        <v>1386</v>
      </c>
      <c r="D340" s="95"/>
      <c r="E340" s="95"/>
      <c r="F340" s="95"/>
      <c r="G340" s="95"/>
      <c r="H340" s="95"/>
      <c r="I340" s="95">
        <f>J338</f>
        <v>46.44</v>
      </c>
      <c r="J340" s="95"/>
      <c r="O340" s="69">
        <f>I340</f>
        <v>46.44</v>
      </c>
      <c r="P340">
        <f>K340</f>
        <v>0</v>
      </c>
      <c r="Q340">
        <f>0</f>
        <v>0</v>
      </c>
      <c r="R340">
        <f>0</f>
        <v>0</v>
      </c>
      <c r="U340">
        <f>0</f>
        <v>0</v>
      </c>
      <c r="V340">
        <f>0</f>
        <v>0</v>
      </c>
      <c r="W340">
        <f>0</f>
        <v>0</v>
      </c>
      <c r="X340">
        <f>0</f>
        <v>0</v>
      </c>
      <c r="Z340">
        <f>0</f>
        <v>0</v>
      </c>
      <c r="AB340" s="69">
        <f>I340</f>
        <v>46.44</v>
      </c>
      <c r="AN340">
        <f>IF(Source!BI109&lt;=1,J338, 0)</f>
        <v>46.44</v>
      </c>
      <c r="AO340">
        <f>IF(Source!BI109&lt;=1,I340, 0)</f>
        <v>46.44</v>
      </c>
      <c r="AP340">
        <f>IF(Source!BI109&lt;=1,0, 0)</f>
        <v>0</v>
      </c>
      <c r="AQ340">
        <f>IF(Source!BI109&lt;=1,0, 0)</f>
        <v>0</v>
      </c>
      <c r="AX340">
        <f>IF(Source!BI109=2,J338, 0)</f>
        <v>0</v>
      </c>
      <c r="AY340">
        <f>IF(Source!BI109=2,I340, 0)</f>
        <v>0</v>
      </c>
      <c r="AZ340">
        <f>IF(Source!BI109=2,0, 0)</f>
        <v>0</v>
      </c>
      <c r="BA340">
        <f>IF(Source!BI109=2,0, 0)</f>
        <v>0</v>
      </c>
    </row>
    <row r="341" spans="1:56" ht="27.6">
      <c r="A341" s="110" t="str">
        <f>Source!E110</f>
        <v>43</v>
      </c>
      <c r="B341" s="111" t="str">
        <f>Source!F110</f>
        <v>404-0007</v>
      </c>
      <c r="C341" s="111" t="str">
        <f>Source!G110</f>
        <v>Кирпич керамический одинарный, размером 250х120х65 мм, марка 150</v>
      </c>
      <c r="D341" s="81" t="str">
        <f>Source!H110</f>
        <v>1000 шт.</v>
      </c>
      <c r="E341" s="82">
        <f>Source!K110</f>
        <v>0.20799999999999999</v>
      </c>
      <c r="F341" s="82"/>
      <c r="G341" s="82">
        <f>Source!I110</f>
        <v>0.20799999999999999</v>
      </c>
      <c r="H341" s="83">
        <f>Source!AL110</f>
        <v>1912.53</v>
      </c>
      <c r="I341" s="84"/>
      <c r="J341" s="85">
        <f>ROUND(Source!AC110*Source!I110, 2)</f>
        <v>397.81</v>
      </c>
      <c r="K341" s="84"/>
      <c r="L341" s="86"/>
      <c r="AC341">
        <f>Source!X110</f>
        <v>0</v>
      </c>
      <c r="AD341">
        <f>Source!HK110</f>
        <v>0</v>
      </c>
      <c r="AE341">
        <f>Source!Y110</f>
        <v>0</v>
      </c>
      <c r="AF341">
        <f>Source!HL110</f>
        <v>0</v>
      </c>
      <c r="AS341">
        <f>IF(Source!BI110&lt;=1,AD341, 0)</f>
        <v>0</v>
      </c>
      <c r="AT341">
        <f>IF(Source!BI110&lt;=1,AF341, 0)</f>
        <v>0</v>
      </c>
      <c r="BC341">
        <f>IF(Source!BI110=2,AD341, 0)</f>
        <v>0</v>
      </c>
      <c r="BD341">
        <f>IF(Source!BI110=2,AF341, 0)</f>
        <v>0</v>
      </c>
    </row>
    <row r="343" spans="1:56">
      <c r="A343" s="71"/>
      <c r="B343" s="71"/>
      <c r="C343" s="72" t="str">
        <f>"Объем: "&amp;Source!K110&amp;"=(208)/"&amp;"1000"</f>
        <v>Объем: 0,208=(208)/1000</v>
      </c>
      <c r="D343" s="71"/>
      <c r="E343" s="71"/>
      <c r="F343" s="71"/>
      <c r="G343" s="71"/>
      <c r="H343" s="71"/>
      <c r="I343" s="71"/>
      <c r="J343" s="71"/>
      <c r="K343" s="71"/>
      <c r="L343" s="71"/>
    </row>
    <row r="344" spans="1:56" ht="13.8">
      <c r="C344" s="95" t="s">
        <v>1386</v>
      </c>
      <c r="D344" s="95"/>
      <c r="E344" s="95"/>
      <c r="F344" s="95"/>
      <c r="G344" s="95"/>
      <c r="H344" s="95"/>
      <c r="I344" s="95">
        <f>J341</f>
        <v>397.81</v>
      </c>
      <c r="J344" s="95"/>
      <c r="O344" s="69">
        <f>I344</f>
        <v>397.81</v>
      </c>
      <c r="P344">
        <f>K344</f>
        <v>0</v>
      </c>
      <c r="Q344">
        <f>0</f>
        <v>0</v>
      </c>
      <c r="R344">
        <f>0</f>
        <v>0</v>
      </c>
      <c r="U344">
        <f>0</f>
        <v>0</v>
      </c>
      <c r="V344">
        <f>0</f>
        <v>0</v>
      </c>
      <c r="W344">
        <f>0</f>
        <v>0</v>
      </c>
      <c r="X344">
        <f>0</f>
        <v>0</v>
      </c>
      <c r="Z344">
        <f>0</f>
        <v>0</v>
      </c>
      <c r="AB344" s="69">
        <f>I344</f>
        <v>397.81</v>
      </c>
      <c r="AN344">
        <f>IF(Source!BI110&lt;=1,J341, 0)</f>
        <v>397.81</v>
      </c>
      <c r="AO344">
        <f>IF(Source!BI110&lt;=1,I344, 0)</f>
        <v>397.81</v>
      </c>
      <c r="AP344">
        <f>IF(Source!BI110&lt;=1,0, 0)</f>
        <v>0</v>
      </c>
      <c r="AQ344">
        <f>IF(Source!BI110&lt;=1,0, 0)</f>
        <v>0</v>
      </c>
      <c r="AX344">
        <f>IF(Source!BI110=2,J341, 0)</f>
        <v>0</v>
      </c>
      <c r="AY344">
        <f>IF(Source!BI110=2,I344, 0)</f>
        <v>0</v>
      </c>
      <c r="AZ344">
        <f>IF(Source!BI110=2,0, 0)</f>
        <v>0</v>
      </c>
      <c r="BA344">
        <f>IF(Source!BI110=2,0, 0)</f>
        <v>0</v>
      </c>
    </row>
    <row r="345" spans="1:56" ht="134.4">
      <c r="A345" s="110" t="str">
        <f>Source!E111</f>
        <v>44</v>
      </c>
      <c r="B345" s="111" t="str">
        <f>Source!F111</f>
        <v>53-15-4</v>
      </c>
      <c r="C345" s="111" t="s">
        <v>1442</v>
      </c>
      <c r="D345" s="81" t="str">
        <f>Source!H111</f>
        <v>100 м2 отремонтированной поверхности стен</v>
      </c>
      <c r="E345" s="82">
        <f>Source!K111</f>
        <v>0.04</v>
      </c>
      <c r="F345" s="82"/>
      <c r="G345" s="82">
        <f>Source!I111</f>
        <v>0.04</v>
      </c>
      <c r="H345" s="83"/>
      <c r="I345" s="84"/>
      <c r="J345" s="85"/>
      <c r="K345" s="84"/>
      <c r="L345" s="86"/>
      <c r="AC345">
        <f>Source!X111</f>
        <v>185.12</v>
      </c>
      <c r="AD345">
        <f>Source!HK111</f>
        <v>4483</v>
      </c>
      <c r="AE345">
        <f>Source!Y111</f>
        <v>104.63</v>
      </c>
      <c r="AF345">
        <f>Source!HL111</f>
        <v>2534</v>
      </c>
      <c r="AS345">
        <f>IF(Source!BI111&lt;=1,AD345, 0)</f>
        <v>4483</v>
      </c>
      <c r="AT345">
        <f>IF(Source!BI111&lt;=1,AF345, 0)</f>
        <v>2534</v>
      </c>
      <c r="BC345">
        <f>IF(Source!BI111=2,AD345, 0)</f>
        <v>0</v>
      </c>
      <c r="BD345">
        <f>IF(Source!BI111=2,AF345, 0)</f>
        <v>0</v>
      </c>
    </row>
    <row r="347" spans="1:56">
      <c r="C347" s="67" t="str">
        <f>"Объем: "&amp;Source!K111&amp;"=4/"&amp;"100"</f>
        <v>Объем: 0,04=4/100</v>
      </c>
    </row>
    <row r="348" spans="1:56" ht="14.4">
      <c r="A348" s="110"/>
      <c r="B348" s="112">
        <v>1</v>
      </c>
      <c r="C348" s="111" t="s">
        <v>1373</v>
      </c>
      <c r="D348" s="81"/>
      <c r="E348" s="82"/>
      <c r="F348" s="82"/>
      <c r="G348" s="82"/>
      <c r="H348" s="83">
        <f>Source!AO111</f>
        <v>4348.18</v>
      </c>
      <c r="I348" s="84">
        <f>ROUND(1.15,7)</f>
        <v>1.1499999999999999</v>
      </c>
      <c r="J348" s="85">
        <f>ROUND(Source!AF111*Source!I111, 2)</f>
        <v>200.02</v>
      </c>
      <c r="K348" s="84">
        <f>IF(Source!BA111&lt;&gt; 0, Source!BA111, 1)</f>
        <v>24.22</v>
      </c>
      <c r="L348" s="86">
        <f>Source!HJ111</f>
        <v>4844</v>
      </c>
    </row>
    <row r="349" spans="1:56" ht="14.4">
      <c r="A349" s="110"/>
      <c r="B349" s="112">
        <v>3</v>
      </c>
      <c r="C349" s="111" t="s">
        <v>1374</v>
      </c>
      <c r="D349" s="81"/>
      <c r="E349" s="82"/>
      <c r="F349" s="82"/>
      <c r="G349" s="82"/>
      <c r="H349" s="83">
        <f>Source!AM111</f>
        <v>216.9</v>
      </c>
      <c r="I349" s="84">
        <f>ROUND(1.15,7)</f>
        <v>1.1499999999999999</v>
      </c>
      <c r="J349" s="85">
        <f>ROUND(Source!AD111*Source!I111, 2)</f>
        <v>9.98</v>
      </c>
      <c r="K349" s="84"/>
      <c r="L349" s="86"/>
    </row>
    <row r="350" spans="1:56" ht="14.4">
      <c r="A350" s="110"/>
      <c r="B350" s="112">
        <v>2</v>
      </c>
      <c r="C350" s="111" t="s">
        <v>1375</v>
      </c>
      <c r="D350" s="81"/>
      <c r="E350" s="82"/>
      <c r="F350" s="82"/>
      <c r="G350" s="82"/>
      <c r="H350" s="83">
        <f>Source!AN111</f>
        <v>26.06</v>
      </c>
      <c r="I350" s="84">
        <f>ROUND(1.15,7)</f>
        <v>1.1499999999999999</v>
      </c>
      <c r="J350" s="87">
        <f>ROUND(Source!AE111*Source!I111, 2)</f>
        <v>1.2</v>
      </c>
      <c r="K350" s="84">
        <f>IF(Source!BS111&lt;&gt; 0, Source!BS111, 1)</f>
        <v>24.22</v>
      </c>
      <c r="L350" s="88">
        <f>Source!HI111</f>
        <v>29</v>
      </c>
    </row>
    <row r="351" spans="1:56" ht="14.4">
      <c r="A351" s="110"/>
      <c r="B351" s="112">
        <v>4</v>
      </c>
      <c r="C351" s="111" t="s">
        <v>1408</v>
      </c>
      <c r="D351" s="81"/>
      <c r="E351" s="82"/>
      <c r="F351" s="82"/>
      <c r="G351" s="82"/>
      <c r="H351" s="83">
        <f>Source!AL111</f>
        <v>19661.89</v>
      </c>
      <c r="I351" s="84"/>
      <c r="J351" s="85">
        <f>ROUND(Source!AC111*Source!I111, 2)</f>
        <v>786.48</v>
      </c>
      <c r="K351" s="84"/>
      <c r="L351" s="86"/>
    </row>
    <row r="352" spans="1:56" ht="14.4">
      <c r="A352" s="110"/>
      <c r="B352" s="111"/>
      <c r="C352" s="111" t="s">
        <v>1376</v>
      </c>
      <c r="D352" s="81" t="s">
        <v>1377</v>
      </c>
      <c r="E352" s="82">
        <f>Source!AQ111</f>
        <v>551.79999999999995</v>
      </c>
      <c r="F352" s="82">
        <f>ROUND(1.15,7)</f>
        <v>1.1499999999999999</v>
      </c>
      <c r="G352" s="82">
        <f>ROUND(Source!U111, 7)</f>
        <v>25.3828</v>
      </c>
      <c r="H352" s="83"/>
      <c r="I352" s="84"/>
      <c r="J352" s="85"/>
      <c r="K352" s="84"/>
      <c r="L352" s="86"/>
    </row>
    <row r="353" spans="1:56" ht="14.4">
      <c r="A353" s="110"/>
      <c r="B353" s="111"/>
      <c r="C353" s="113" t="s">
        <v>1378</v>
      </c>
      <c r="D353" s="89" t="s">
        <v>1377</v>
      </c>
      <c r="E353" s="90">
        <f>Source!AR111</f>
        <v>2</v>
      </c>
      <c r="F353" s="90">
        <f>ROUND(1.15,7)</f>
        <v>1.1499999999999999</v>
      </c>
      <c r="G353" s="90">
        <f>ROUND(Source!V111, 7)</f>
        <v>9.1999999999999998E-2</v>
      </c>
      <c r="H353" s="91"/>
      <c r="I353" s="92"/>
      <c r="J353" s="93"/>
      <c r="K353" s="92"/>
      <c r="L353" s="94"/>
    </row>
    <row r="354" spans="1:56" ht="14.4">
      <c r="A354" s="110"/>
      <c r="B354" s="111"/>
      <c r="C354" s="111" t="s">
        <v>1379</v>
      </c>
      <c r="D354" s="81"/>
      <c r="E354" s="82"/>
      <c r="F354" s="82"/>
      <c r="G354" s="82"/>
      <c r="H354" s="83">
        <f>H348+H349+H351</f>
        <v>24226.97</v>
      </c>
      <c r="I354" s="84"/>
      <c r="J354" s="85">
        <f>J348+J349+J351</f>
        <v>996.48</v>
      </c>
      <c r="K354" s="84"/>
      <c r="L354" s="86"/>
    </row>
    <row r="355" spans="1:56" ht="14.4">
      <c r="A355" s="110"/>
      <c r="B355" s="111"/>
      <c r="C355" s="111" t="s">
        <v>1380</v>
      </c>
      <c r="D355" s="81"/>
      <c r="E355" s="82"/>
      <c r="F355" s="82"/>
      <c r="G355" s="82"/>
      <c r="H355" s="83"/>
      <c r="I355" s="84"/>
      <c r="J355" s="85">
        <f>SUM(Q345:Q358)+SUM(V345:V358)</f>
        <v>201.22</v>
      </c>
      <c r="K355" s="84"/>
      <c r="L355" s="86">
        <f>SUM(U345:U358)+SUM(W345:W358)</f>
        <v>4873</v>
      </c>
    </row>
    <row r="356" spans="1:56" ht="14.4">
      <c r="A356" s="110"/>
      <c r="B356" s="111" t="s">
        <v>1419</v>
      </c>
      <c r="C356" s="111" t="s">
        <v>1420</v>
      </c>
      <c r="D356" s="81" t="s">
        <v>1383</v>
      </c>
      <c r="E356" s="82">
        <f>Source!BZ111</f>
        <v>92</v>
      </c>
      <c r="F356" s="82"/>
      <c r="G356" s="82">
        <f>Source!AT111</f>
        <v>92</v>
      </c>
      <c r="H356" s="83"/>
      <c r="I356" s="84"/>
      <c r="J356" s="85">
        <f>SUM(AC345:AC358)</f>
        <v>185.12</v>
      </c>
      <c r="K356" s="84"/>
      <c r="L356" s="86">
        <f>SUM(AD345:AD358)</f>
        <v>4483</v>
      </c>
    </row>
    <row r="357" spans="1:56" ht="14.4">
      <c r="A357" s="114"/>
      <c r="B357" s="113" t="s">
        <v>1421</v>
      </c>
      <c r="C357" s="113" t="s">
        <v>1422</v>
      </c>
      <c r="D357" s="89" t="s">
        <v>1383</v>
      </c>
      <c r="E357" s="90">
        <f>Source!CA111</f>
        <v>52</v>
      </c>
      <c r="F357" s="90"/>
      <c r="G357" s="90">
        <f>Source!AU111</f>
        <v>52</v>
      </c>
      <c r="H357" s="91"/>
      <c r="I357" s="92"/>
      <c r="J357" s="93">
        <f>SUM(AE345:AE358)</f>
        <v>104.63</v>
      </c>
      <c r="K357" s="92"/>
      <c r="L357" s="94">
        <f>SUM(AF345:AF358)</f>
        <v>2534</v>
      </c>
    </row>
    <row r="358" spans="1:56" ht="13.8">
      <c r="C358" s="95" t="s">
        <v>1386</v>
      </c>
      <c r="D358" s="95"/>
      <c r="E358" s="95"/>
      <c r="F358" s="95"/>
      <c r="G358" s="95"/>
      <c r="H358" s="95"/>
      <c r="I358" s="95">
        <f>J348+J349+J351+J356+J357</f>
        <v>1286.23</v>
      </c>
      <c r="J358" s="95"/>
      <c r="O358" s="69">
        <f>I358</f>
        <v>1286.23</v>
      </c>
      <c r="P358">
        <f>K358</f>
        <v>0</v>
      </c>
      <c r="Q358" s="69">
        <f>J348</f>
        <v>200.02</v>
      </c>
      <c r="R358" s="69">
        <f>J348</f>
        <v>200.02</v>
      </c>
      <c r="U358" s="70">
        <f>L348</f>
        <v>4844</v>
      </c>
      <c r="V358" s="69">
        <f>J350</f>
        <v>1.2</v>
      </c>
      <c r="W358" s="70">
        <f>L350</f>
        <v>29</v>
      </c>
      <c r="X358" s="69">
        <f>J349</f>
        <v>9.98</v>
      </c>
      <c r="Z358" s="70">
        <f>L349</f>
        <v>0</v>
      </c>
      <c r="AB358" s="69">
        <f>J351</f>
        <v>786.48</v>
      </c>
      <c r="AN358">
        <f>IF(Source!BI111&lt;=1,J348+J349+J351+J356+J357, 0)</f>
        <v>1286.23</v>
      </c>
      <c r="AO358">
        <f>IF(Source!BI111&lt;=1,J351, 0)</f>
        <v>786.48</v>
      </c>
      <c r="AP358">
        <f>IF(Source!BI111&lt;=1,J349, 0)</f>
        <v>9.98</v>
      </c>
      <c r="AQ358">
        <f>IF(Source!BI111&lt;=1,J348, 0)</f>
        <v>200.02</v>
      </c>
      <c r="AX358">
        <f>IF(Source!BI111=2,J348+J349+J351+J356+J357, 0)</f>
        <v>0</v>
      </c>
      <c r="AY358">
        <f>IF(Source!BI111=2,J351, 0)</f>
        <v>0</v>
      </c>
      <c r="AZ358">
        <f>IF(Source!BI111=2,J349, 0)</f>
        <v>0</v>
      </c>
      <c r="BA358">
        <f>IF(Source!BI111=2,J348, 0)</f>
        <v>0</v>
      </c>
    </row>
    <row r="359" spans="1:56" ht="27.6">
      <c r="A359" s="110" t="str">
        <f>Source!E112</f>
        <v>45</v>
      </c>
      <c r="B359" s="111" t="str">
        <f>Source!F112</f>
        <v>404-0005</v>
      </c>
      <c r="C359" s="111" t="str">
        <f>Source!G112</f>
        <v>Кирпич керамический одинарный, размером 250х120х65 мм, марка 100</v>
      </c>
      <c r="D359" s="81" t="str">
        <f>Source!H112</f>
        <v>1000 шт.</v>
      </c>
      <c r="E359" s="82">
        <f>Source!K112</f>
        <v>-0.41320000000000001</v>
      </c>
      <c r="F359" s="82"/>
      <c r="G359" s="82">
        <f>Source!I112</f>
        <v>-0.41320000000000001</v>
      </c>
      <c r="H359" s="83">
        <f>Source!AL112</f>
        <v>1662.7</v>
      </c>
      <c r="I359" s="84"/>
      <c r="J359" s="85">
        <f>ROUND(Source!AC112*Source!I112, 2)</f>
        <v>-687.03</v>
      </c>
      <c r="K359" s="84"/>
      <c r="L359" s="86"/>
      <c r="AC359">
        <f>Source!X112</f>
        <v>0</v>
      </c>
      <c r="AD359">
        <f>Source!HK112</f>
        <v>0</v>
      </c>
      <c r="AE359">
        <f>Source!Y112</f>
        <v>0</v>
      </c>
      <c r="AF359">
        <f>Source!HL112</f>
        <v>0</v>
      </c>
      <c r="AS359">
        <f>IF(Source!BI112&lt;=1,AD359, 0)</f>
        <v>0</v>
      </c>
      <c r="AT359">
        <f>IF(Source!BI112&lt;=1,AF359, 0)</f>
        <v>0</v>
      </c>
      <c r="BC359">
        <f>IF(Source!BI112=2,AD359, 0)</f>
        <v>0</v>
      </c>
      <c r="BD359">
        <f>IF(Source!BI112=2,AF359, 0)</f>
        <v>0</v>
      </c>
    </row>
    <row r="361" spans="1:56">
      <c r="A361" s="71"/>
      <c r="B361" s="71"/>
      <c r="C361" s="72" t="str">
        <f>"Объем: "&amp;Source!K112&amp;"="&amp;Source!I111&amp;"*"&amp;"-"&amp;"10,33"</f>
        <v>Объем: -0,4132=0,04*-10,33</v>
      </c>
      <c r="D361" s="71"/>
      <c r="E361" s="71"/>
      <c r="F361" s="71"/>
      <c r="G361" s="71"/>
      <c r="H361" s="71"/>
      <c r="I361" s="71"/>
      <c r="J361" s="71"/>
      <c r="K361" s="71"/>
      <c r="L361" s="71"/>
    </row>
    <row r="362" spans="1:56" ht="13.8">
      <c r="C362" s="95" t="s">
        <v>1386</v>
      </c>
      <c r="D362" s="95"/>
      <c r="E362" s="95"/>
      <c r="F362" s="95"/>
      <c r="G362" s="95"/>
      <c r="H362" s="95"/>
      <c r="I362" s="95">
        <f>J359</f>
        <v>-687.03</v>
      </c>
      <c r="J362" s="95"/>
      <c r="O362" s="69">
        <f>I362</f>
        <v>-687.03</v>
      </c>
      <c r="P362">
        <f>K362</f>
        <v>0</v>
      </c>
      <c r="Q362">
        <f>0</f>
        <v>0</v>
      </c>
      <c r="R362">
        <f>0</f>
        <v>0</v>
      </c>
      <c r="U362">
        <f>0</f>
        <v>0</v>
      </c>
      <c r="V362">
        <f>0</f>
        <v>0</v>
      </c>
      <c r="W362">
        <f>0</f>
        <v>0</v>
      </c>
      <c r="X362">
        <f>0</f>
        <v>0</v>
      </c>
      <c r="Z362">
        <f>0</f>
        <v>0</v>
      </c>
      <c r="AB362" s="69">
        <f>I362</f>
        <v>-687.03</v>
      </c>
      <c r="AN362">
        <f>IF(Source!BI112&lt;=1,J359, 0)</f>
        <v>-687.03</v>
      </c>
      <c r="AO362">
        <f>IF(Source!BI112&lt;=1,I362, 0)</f>
        <v>-687.03</v>
      </c>
      <c r="AP362">
        <f>IF(Source!BI112&lt;=1,0, 0)</f>
        <v>0</v>
      </c>
      <c r="AQ362">
        <f>IF(Source!BI112&lt;=1,0, 0)</f>
        <v>0</v>
      </c>
      <c r="AX362">
        <f>IF(Source!BI112=2,J359, 0)</f>
        <v>0</v>
      </c>
      <c r="AY362">
        <f>IF(Source!BI112=2,I362, 0)</f>
        <v>0</v>
      </c>
      <c r="AZ362">
        <f>IF(Source!BI112=2,0, 0)</f>
        <v>0</v>
      </c>
      <c r="BA362">
        <f>IF(Source!BI112=2,0, 0)</f>
        <v>0</v>
      </c>
    </row>
    <row r="363" spans="1:56" ht="27.6">
      <c r="A363" s="110" t="str">
        <f>Source!E113</f>
        <v>46</v>
      </c>
      <c r="B363" s="111" t="str">
        <f>Source!F113</f>
        <v>402-0013</v>
      </c>
      <c r="C363" s="111" t="str">
        <f>Source!G113</f>
        <v>Раствор готовый кладочный цементно-известковый марки 50</v>
      </c>
      <c r="D363" s="81" t="str">
        <f>Source!H113</f>
        <v>м3</v>
      </c>
      <c r="E363" s="82">
        <f>Source!K113</f>
        <v>-0.23200000000000001</v>
      </c>
      <c r="F363" s="82"/>
      <c r="G363" s="82">
        <f>Source!I113</f>
        <v>-0.23200000000000001</v>
      </c>
      <c r="H363" s="83">
        <f>Source!AL113</f>
        <v>428.17</v>
      </c>
      <c r="I363" s="84"/>
      <c r="J363" s="85">
        <f>ROUND(Source!AC113*Source!I113, 2)</f>
        <v>-99.34</v>
      </c>
      <c r="K363" s="84"/>
      <c r="L363" s="86"/>
      <c r="AC363">
        <f>Source!X113</f>
        <v>0</v>
      </c>
      <c r="AD363">
        <f>Source!HK113</f>
        <v>0</v>
      </c>
      <c r="AE363">
        <f>Source!Y113</f>
        <v>0</v>
      </c>
      <c r="AF363">
        <f>Source!HL113</f>
        <v>0</v>
      </c>
      <c r="AS363">
        <f>IF(Source!BI113&lt;=1,AD363, 0)</f>
        <v>0</v>
      </c>
      <c r="AT363">
        <f>IF(Source!BI113&lt;=1,AF363, 0)</f>
        <v>0</v>
      </c>
      <c r="BC363">
        <f>IF(Source!BI113=2,AD363, 0)</f>
        <v>0</v>
      </c>
      <c r="BD363">
        <f>IF(Source!BI113=2,AF363, 0)</f>
        <v>0</v>
      </c>
    </row>
    <row r="365" spans="1:56">
      <c r="A365" s="71"/>
      <c r="B365" s="71"/>
      <c r="C365" s="72" t="str">
        <f>"Объем: "&amp;Source!K113&amp;"="&amp;Source!I111&amp;"*"&amp;"-"&amp;"5,8"</f>
        <v>Объем: -0,232=0,04*-5,8</v>
      </c>
      <c r="D365" s="71"/>
      <c r="E365" s="71"/>
      <c r="F365" s="71"/>
      <c r="G365" s="71"/>
      <c r="H365" s="71"/>
      <c r="I365" s="71"/>
      <c r="J365" s="71"/>
      <c r="K365" s="71"/>
      <c r="L365" s="71"/>
    </row>
    <row r="366" spans="1:56" ht="13.8">
      <c r="C366" s="95" t="s">
        <v>1386</v>
      </c>
      <c r="D366" s="95"/>
      <c r="E366" s="95"/>
      <c r="F366" s="95"/>
      <c r="G366" s="95"/>
      <c r="H366" s="95"/>
      <c r="I366" s="95">
        <f>J363</f>
        <v>-99.34</v>
      </c>
      <c r="J366" s="95"/>
      <c r="O366" s="69">
        <f>I366</f>
        <v>-99.34</v>
      </c>
      <c r="P366">
        <f>K366</f>
        <v>0</v>
      </c>
      <c r="Q366">
        <f>0</f>
        <v>0</v>
      </c>
      <c r="R366">
        <f>0</f>
        <v>0</v>
      </c>
      <c r="U366">
        <f>0</f>
        <v>0</v>
      </c>
      <c r="V366">
        <f>0</f>
        <v>0</v>
      </c>
      <c r="W366">
        <f>0</f>
        <v>0</v>
      </c>
      <c r="X366">
        <f>0</f>
        <v>0</v>
      </c>
      <c r="Z366">
        <f>0</f>
        <v>0</v>
      </c>
      <c r="AB366" s="69">
        <f>I366</f>
        <v>-99.34</v>
      </c>
      <c r="AN366">
        <f>IF(Source!BI113&lt;=1,J363, 0)</f>
        <v>-99.34</v>
      </c>
      <c r="AO366">
        <f>IF(Source!BI113&lt;=1,I366, 0)</f>
        <v>-99.34</v>
      </c>
      <c r="AP366">
        <f>IF(Source!BI113&lt;=1,0, 0)</f>
        <v>0</v>
      </c>
      <c r="AQ366">
        <f>IF(Source!BI113&lt;=1,0, 0)</f>
        <v>0</v>
      </c>
      <c r="AX366">
        <f>IF(Source!BI113=2,J363, 0)</f>
        <v>0</v>
      </c>
      <c r="AY366">
        <f>IF(Source!BI113=2,I366, 0)</f>
        <v>0</v>
      </c>
      <c r="AZ366">
        <f>IF(Source!BI113=2,0, 0)</f>
        <v>0</v>
      </c>
      <c r="BA366">
        <f>IF(Source!BI113=2,0, 0)</f>
        <v>0</v>
      </c>
    </row>
    <row r="367" spans="1:56" ht="27.6">
      <c r="A367" s="110" t="str">
        <f>Source!E114</f>
        <v>47</v>
      </c>
      <c r="B367" s="111" t="str">
        <f>Source!F114</f>
        <v>402-0015</v>
      </c>
      <c r="C367" s="111" t="str">
        <f>Source!G114</f>
        <v>Раствор готовый кладочный цементно-известковый марки 100</v>
      </c>
      <c r="D367" s="81" t="str">
        <f>Source!H114</f>
        <v>м3</v>
      </c>
      <c r="E367" s="82">
        <f>Source!K114</f>
        <v>0.23200000000000001</v>
      </c>
      <c r="F367" s="82"/>
      <c r="G367" s="82">
        <f>Source!I114</f>
        <v>0.23200000000000001</v>
      </c>
      <c r="H367" s="83">
        <f>Source!AL114</f>
        <v>483.76</v>
      </c>
      <c r="I367" s="84"/>
      <c r="J367" s="85">
        <f>ROUND(Source!AC114*Source!I114, 2)</f>
        <v>112.23</v>
      </c>
      <c r="K367" s="84"/>
      <c r="L367" s="86"/>
      <c r="AC367">
        <f>Source!X114</f>
        <v>0</v>
      </c>
      <c r="AD367">
        <f>Source!HK114</f>
        <v>0</v>
      </c>
      <c r="AE367">
        <f>Source!Y114</f>
        <v>0</v>
      </c>
      <c r="AF367">
        <f>Source!HL114</f>
        <v>0</v>
      </c>
      <c r="AS367">
        <f>IF(Source!BI114&lt;=1,AD367, 0)</f>
        <v>0</v>
      </c>
      <c r="AT367">
        <f>IF(Source!BI114&lt;=1,AF367, 0)</f>
        <v>0</v>
      </c>
      <c r="BC367">
        <f>IF(Source!BI114=2,AD367, 0)</f>
        <v>0</v>
      </c>
      <c r="BD367">
        <f>IF(Source!BI114=2,AF367, 0)</f>
        <v>0</v>
      </c>
    </row>
    <row r="368" spans="1:56">
      <c r="A368" s="71"/>
      <c r="B368" s="71"/>
      <c r="C368" s="71"/>
      <c r="D368" s="71"/>
      <c r="E368" s="71"/>
      <c r="F368" s="71"/>
      <c r="G368" s="71"/>
      <c r="H368" s="71"/>
      <c r="I368" s="71"/>
      <c r="J368" s="71"/>
      <c r="K368" s="71"/>
      <c r="L368" s="71"/>
    </row>
    <row r="369" spans="1:56" ht="13.8">
      <c r="C369" s="95" t="s">
        <v>1386</v>
      </c>
      <c r="D369" s="95"/>
      <c r="E369" s="95"/>
      <c r="F369" s="95"/>
      <c r="G369" s="95"/>
      <c r="H369" s="95"/>
      <c r="I369" s="95">
        <f>J367</f>
        <v>112.23</v>
      </c>
      <c r="J369" s="95"/>
      <c r="O369" s="69">
        <f>I369</f>
        <v>112.23</v>
      </c>
      <c r="P369">
        <f>K369</f>
        <v>0</v>
      </c>
      <c r="Q369">
        <f>0</f>
        <v>0</v>
      </c>
      <c r="R369">
        <f>0</f>
        <v>0</v>
      </c>
      <c r="U369">
        <f>0</f>
        <v>0</v>
      </c>
      <c r="V369">
        <f>0</f>
        <v>0</v>
      </c>
      <c r="W369">
        <f>0</f>
        <v>0</v>
      </c>
      <c r="X369">
        <f>0</f>
        <v>0</v>
      </c>
      <c r="Z369">
        <f>0</f>
        <v>0</v>
      </c>
      <c r="AB369" s="69">
        <f>I369</f>
        <v>112.23</v>
      </c>
      <c r="AN369">
        <f>IF(Source!BI114&lt;=1,J367, 0)</f>
        <v>112.23</v>
      </c>
      <c r="AO369">
        <f>IF(Source!BI114&lt;=1,I369, 0)</f>
        <v>112.23</v>
      </c>
      <c r="AP369">
        <f>IF(Source!BI114&lt;=1,0, 0)</f>
        <v>0</v>
      </c>
      <c r="AQ369">
        <f>IF(Source!BI114&lt;=1,0, 0)</f>
        <v>0</v>
      </c>
      <c r="AX369">
        <f>IF(Source!BI114=2,J367, 0)</f>
        <v>0</v>
      </c>
      <c r="AY369">
        <f>IF(Source!BI114=2,I369, 0)</f>
        <v>0</v>
      </c>
      <c r="AZ369">
        <f>IF(Source!BI114=2,0, 0)</f>
        <v>0</v>
      </c>
      <c r="BA369">
        <f>IF(Source!BI114=2,0, 0)</f>
        <v>0</v>
      </c>
    </row>
    <row r="370" spans="1:56" ht="27.6">
      <c r="A370" s="110" t="str">
        <f>Source!E115</f>
        <v>48</v>
      </c>
      <c r="B370" s="111" t="str">
        <f>Source!F115</f>
        <v>404-0007</v>
      </c>
      <c r="C370" s="111" t="str">
        <f>Source!G115</f>
        <v>Кирпич керамический одинарный, размером 250х120х65 мм, марка 150</v>
      </c>
      <c r="D370" s="81" t="str">
        <f>Source!H115</f>
        <v>1000 шт.</v>
      </c>
      <c r="E370" s="82">
        <f>Source!K115</f>
        <v>0.41320000000000001</v>
      </c>
      <c r="F370" s="82"/>
      <c r="G370" s="82">
        <f>Source!I115</f>
        <v>0.41320000000000001</v>
      </c>
      <c r="H370" s="83">
        <f>Source!AL115</f>
        <v>1912.53</v>
      </c>
      <c r="I370" s="84"/>
      <c r="J370" s="85">
        <f>ROUND(Source!AC115*Source!I115, 2)</f>
        <v>790.26</v>
      </c>
      <c r="K370" s="84"/>
      <c r="L370" s="86"/>
      <c r="AC370">
        <f>Source!X115</f>
        <v>0</v>
      </c>
      <c r="AD370">
        <f>Source!HK115</f>
        <v>0</v>
      </c>
      <c r="AE370">
        <f>Source!Y115</f>
        <v>0</v>
      </c>
      <c r="AF370">
        <f>Source!HL115</f>
        <v>0</v>
      </c>
      <c r="AS370">
        <f>IF(Source!BI115&lt;=1,AD370, 0)</f>
        <v>0</v>
      </c>
      <c r="AT370">
        <f>IF(Source!BI115&lt;=1,AF370, 0)</f>
        <v>0</v>
      </c>
      <c r="BC370">
        <f>IF(Source!BI115=2,AD370, 0)</f>
        <v>0</v>
      </c>
      <c r="BD370">
        <f>IF(Source!BI115=2,AF370, 0)</f>
        <v>0</v>
      </c>
    </row>
    <row r="372" spans="1:56">
      <c r="A372" s="71"/>
      <c r="B372" s="71"/>
      <c r="C372" s="72" t="str">
        <f>"Объем: "&amp;Source!K115&amp;"=(413,2)/"&amp;"1000"</f>
        <v>Объем: 0,4132=(413,2)/1000</v>
      </c>
      <c r="D372" s="71"/>
      <c r="E372" s="71"/>
      <c r="F372" s="71"/>
      <c r="G372" s="71"/>
      <c r="H372" s="71"/>
      <c r="I372" s="71"/>
      <c r="J372" s="71"/>
      <c r="K372" s="71"/>
      <c r="L372" s="71"/>
    </row>
    <row r="373" spans="1:56" ht="13.8">
      <c r="C373" s="95" t="s">
        <v>1386</v>
      </c>
      <c r="D373" s="95"/>
      <c r="E373" s="95"/>
      <c r="F373" s="95"/>
      <c r="G373" s="95"/>
      <c r="H373" s="95"/>
      <c r="I373" s="95">
        <f>J370</f>
        <v>790.26</v>
      </c>
      <c r="J373" s="95"/>
      <c r="O373" s="69">
        <f>I373</f>
        <v>790.26</v>
      </c>
      <c r="P373">
        <f>K373</f>
        <v>0</v>
      </c>
      <c r="Q373">
        <f>0</f>
        <v>0</v>
      </c>
      <c r="R373">
        <f>0</f>
        <v>0</v>
      </c>
      <c r="U373">
        <f>0</f>
        <v>0</v>
      </c>
      <c r="V373">
        <f>0</f>
        <v>0</v>
      </c>
      <c r="W373">
        <f>0</f>
        <v>0</v>
      </c>
      <c r="X373">
        <f>0</f>
        <v>0</v>
      </c>
      <c r="Z373">
        <f>0</f>
        <v>0</v>
      </c>
      <c r="AB373" s="69">
        <f>I373</f>
        <v>790.26</v>
      </c>
      <c r="AN373">
        <f>IF(Source!BI115&lt;=1,J370, 0)</f>
        <v>790.26</v>
      </c>
      <c r="AO373">
        <f>IF(Source!BI115&lt;=1,I373, 0)</f>
        <v>790.26</v>
      </c>
      <c r="AP373">
        <f>IF(Source!BI115&lt;=1,0, 0)</f>
        <v>0</v>
      </c>
      <c r="AQ373">
        <f>IF(Source!BI115&lt;=1,0, 0)</f>
        <v>0</v>
      </c>
      <c r="AX373">
        <f>IF(Source!BI115=2,J370, 0)</f>
        <v>0</v>
      </c>
      <c r="AY373">
        <f>IF(Source!BI115=2,I373, 0)</f>
        <v>0</v>
      </c>
      <c r="AZ373">
        <f>IF(Source!BI115=2,0, 0)</f>
        <v>0</v>
      </c>
      <c r="BA373">
        <f>IF(Source!BI115=2,0, 0)</f>
        <v>0</v>
      </c>
    </row>
    <row r="374" spans="1:56" ht="160.80000000000001">
      <c r="A374" s="110" t="str">
        <f>Source!E116</f>
        <v>49</v>
      </c>
      <c r="B374" s="111" t="str">
        <f>Source!F116</f>
        <v>15-02-001-1</v>
      </c>
      <c r="C374" s="111" t="s">
        <v>1443</v>
      </c>
      <c r="D374" s="81" t="str">
        <f>Source!H116</f>
        <v>100 м2 оштукатуриваемой поверхности</v>
      </c>
      <c r="E374" s="82">
        <f>Source!K116</f>
        <v>2.7E-2</v>
      </c>
      <c r="F374" s="82"/>
      <c r="G374" s="82">
        <f>Source!I116</f>
        <v>2.7E-2</v>
      </c>
      <c r="H374" s="83"/>
      <c r="I374" s="84"/>
      <c r="J374" s="85"/>
      <c r="K374" s="84"/>
      <c r="L374" s="86"/>
      <c r="AC374">
        <f>Source!X116</f>
        <v>22</v>
      </c>
      <c r="AD374">
        <f>Source!HK116</f>
        <v>533</v>
      </c>
      <c r="AE374">
        <f>Source!Y116</f>
        <v>10.18</v>
      </c>
      <c r="AF374">
        <f>Source!HL116</f>
        <v>247</v>
      </c>
      <c r="AS374">
        <f>IF(Source!BI116&lt;=1,AD374, 0)</f>
        <v>533</v>
      </c>
      <c r="AT374">
        <f>IF(Source!BI116&lt;=1,AF374, 0)</f>
        <v>247</v>
      </c>
      <c r="BC374">
        <f>IF(Source!BI116=2,AD374, 0)</f>
        <v>0</v>
      </c>
      <c r="BD374">
        <f>IF(Source!BI116=2,AF374, 0)</f>
        <v>0</v>
      </c>
    </row>
    <row r="376" spans="1:56">
      <c r="C376" s="67" t="str">
        <f>"Объем: "&amp;Source!K116&amp;"=2,7/"&amp;"100"</f>
        <v>Объем: 0,027=2,7/100</v>
      </c>
    </row>
    <row r="377" spans="1:56" ht="14.4">
      <c r="A377" s="110"/>
      <c r="B377" s="112">
        <v>1</v>
      </c>
      <c r="C377" s="111" t="s">
        <v>1373</v>
      </c>
      <c r="D377" s="81"/>
      <c r="E377" s="82"/>
      <c r="F377" s="82"/>
      <c r="G377" s="82"/>
      <c r="H377" s="83">
        <f>Source!AO116</f>
        <v>658.48</v>
      </c>
      <c r="I377" s="84">
        <f>ROUND(1.15*1.15,7)</f>
        <v>1.3225</v>
      </c>
      <c r="J377" s="85">
        <f>ROUND(Source!AF116*Source!I116, 2)</f>
        <v>23.51</v>
      </c>
      <c r="K377" s="84">
        <f>IF(Source!BA116&lt;&gt; 0, Source!BA116, 1)</f>
        <v>24.22</v>
      </c>
      <c r="L377" s="86">
        <f>Source!HJ116</f>
        <v>569</v>
      </c>
    </row>
    <row r="378" spans="1:56" ht="14.4">
      <c r="A378" s="110"/>
      <c r="B378" s="112">
        <v>3</v>
      </c>
      <c r="C378" s="111" t="s">
        <v>1374</v>
      </c>
      <c r="D378" s="81"/>
      <c r="E378" s="82"/>
      <c r="F378" s="82"/>
      <c r="G378" s="82"/>
      <c r="H378" s="83">
        <f>Source!AM116</f>
        <v>60.66</v>
      </c>
      <c r="I378" s="84">
        <f>ROUND(1.25*1.15,7)</f>
        <v>1.4375</v>
      </c>
      <c r="J378" s="85">
        <f>ROUND(Source!AD116*Source!I116, 2)</f>
        <v>2.35</v>
      </c>
      <c r="K378" s="84"/>
      <c r="L378" s="86"/>
    </row>
    <row r="379" spans="1:56" ht="14.4">
      <c r="A379" s="110"/>
      <c r="B379" s="112">
        <v>2</v>
      </c>
      <c r="C379" s="111" t="s">
        <v>1375</v>
      </c>
      <c r="D379" s="81"/>
      <c r="E379" s="82"/>
      <c r="F379" s="82"/>
      <c r="G379" s="82"/>
      <c r="H379" s="83">
        <f>Source!AN116</f>
        <v>23.91</v>
      </c>
      <c r="I379" s="84">
        <f>ROUND(1.25*1.15,7)</f>
        <v>1.4375</v>
      </c>
      <c r="J379" s="87">
        <f>ROUND(Source!AE116*Source!I116, 2)</f>
        <v>0.93</v>
      </c>
      <c r="K379" s="84">
        <f>IF(Source!BS116&lt;&gt; 0, Source!BS116, 1)</f>
        <v>24.22</v>
      </c>
      <c r="L379" s="88">
        <f>Source!HI116</f>
        <v>23</v>
      </c>
    </row>
    <row r="380" spans="1:56" ht="14.4">
      <c r="A380" s="110"/>
      <c r="B380" s="112">
        <v>4</v>
      </c>
      <c r="C380" s="111" t="s">
        <v>1408</v>
      </c>
      <c r="D380" s="81"/>
      <c r="E380" s="82"/>
      <c r="F380" s="82"/>
      <c r="G380" s="82"/>
      <c r="H380" s="83">
        <f>Source!AL116</f>
        <v>1078.21</v>
      </c>
      <c r="I380" s="84"/>
      <c r="J380" s="85">
        <f>ROUND(Source!AC116*Source!I116, 2)</f>
        <v>29.11</v>
      </c>
      <c r="K380" s="84"/>
      <c r="L380" s="86"/>
    </row>
    <row r="381" spans="1:56" ht="14.4">
      <c r="A381" s="110"/>
      <c r="B381" s="111"/>
      <c r="C381" s="111" t="s">
        <v>1376</v>
      </c>
      <c r="D381" s="81" t="s">
        <v>1377</v>
      </c>
      <c r="E381" s="82">
        <f>Source!AQ116</f>
        <v>70.88</v>
      </c>
      <c r="F381" s="82">
        <f>ROUND(1.15*1.15,7)</f>
        <v>1.3225</v>
      </c>
      <c r="G381" s="82">
        <f>ROUND(Source!U116, 7)</f>
        <v>2.5309476000000002</v>
      </c>
      <c r="H381" s="83"/>
      <c r="I381" s="84"/>
      <c r="J381" s="85"/>
      <c r="K381" s="84"/>
      <c r="L381" s="86"/>
    </row>
    <row r="382" spans="1:56" ht="14.4">
      <c r="A382" s="110"/>
      <c r="B382" s="111"/>
      <c r="C382" s="113" t="s">
        <v>1378</v>
      </c>
      <c r="D382" s="89" t="s">
        <v>1377</v>
      </c>
      <c r="E382" s="90">
        <f>Source!AR116</f>
        <v>2.78</v>
      </c>
      <c r="F382" s="90">
        <f>ROUND(1.25*1.15,7)</f>
        <v>1.4375</v>
      </c>
      <c r="G382" s="90">
        <f>ROUND(Source!V116, 7)</f>
        <v>0.1078988</v>
      </c>
      <c r="H382" s="91"/>
      <c r="I382" s="92"/>
      <c r="J382" s="93"/>
      <c r="K382" s="92"/>
      <c r="L382" s="94"/>
    </row>
    <row r="383" spans="1:56" ht="14.4">
      <c r="A383" s="110"/>
      <c r="B383" s="111"/>
      <c r="C383" s="111" t="s">
        <v>1379</v>
      </c>
      <c r="D383" s="81"/>
      <c r="E383" s="82"/>
      <c r="F383" s="82"/>
      <c r="G383" s="82"/>
      <c r="H383" s="83">
        <f>H377+H378+H380</f>
        <v>1797.35</v>
      </c>
      <c r="I383" s="84"/>
      <c r="J383" s="85">
        <f>J377+J378+J380</f>
        <v>54.97</v>
      </c>
      <c r="K383" s="84"/>
      <c r="L383" s="86"/>
    </row>
    <row r="384" spans="1:56" ht="14.4">
      <c r="A384" s="110"/>
      <c r="B384" s="111"/>
      <c r="C384" s="111" t="s">
        <v>1380</v>
      </c>
      <c r="D384" s="81"/>
      <c r="E384" s="82"/>
      <c r="F384" s="82"/>
      <c r="G384" s="82"/>
      <c r="H384" s="83"/>
      <c r="I384" s="84"/>
      <c r="J384" s="85">
        <f>SUM(Q374:Q387)+SUM(V374:V387)</f>
        <v>24.44</v>
      </c>
      <c r="K384" s="84"/>
      <c r="L384" s="86">
        <f>SUM(U374:U387)+SUM(W374:W387)</f>
        <v>592</v>
      </c>
    </row>
    <row r="385" spans="1:56" ht="14.4">
      <c r="A385" s="110"/>
      <c r="B385" s="111" t="s">
        <v>1414</v>
      </c>
      <c r="C385" s="111" t="s">
        <v>1415</v>
      </c>
      <c r="D385" s="81" t="s">
        <v>1383</v>
      </c>
      <c r="E385" s="82">
        <f>Source!BZ116</f>
        <v>100</v>
      </c>
      <c r="F385" s="82">
        <f>ROUND(0.9,7)</f>
        <v>0.9</v>
      </c>
      <c r="G385" s="82">
        <f>Source!AT116</f>
        <v>90</v>
      </c>
      <c r="H385" s="83"/>
      <c r="I385" s="84"/>
      <c r="J385" s="85">
        <f>SUM(AC374:AC387)</f>
        <v>22</v>
      </c>
      <c r="K385" s="84"/>
      <c r="L385" s="86">
        <f>SUM(AD374:AD387)</f>
        <v>533</v>
      </c>
    </row>
    <row r="386" spans="1:56" ht="14.4">
      <c r="A386" s="114"/>
      <c r="B386" s="113" t="s">
        <v>1416</v>
      </c>
      <c r="C386" s="113" t="s">
        <v>1417</v>
      </c>
      <c r="D386" s="89" t="s">
        <v>1383</v>
      </c>
      <c r="E386" s="90">
        <f>Source!CA116</f>
        <v>49</v>
      </c>
      <c r="F386" s="90">
        <f>ROUND(0.85,7)</f>
        <v>0.85</v>
      </c>
      <c r="G386" s="90">
        <f>Source!AU116</f>
        <v>41.65</v>
      </c>
      <c r="H386" s="91"/>
      <c r="I386" s="92"/>
      <c r="J386" s="93">
        <f>SUM(AE374:AE387)</f>
        <v>10.18</v>
      </c>
      <c r="K386" s="92"/>
      <c r="L386" s="94">
        <f>SUM(AF374:AF387)</f>
        <v>247</v>
      </c>
    </row>
    <row r="387" spans="1:56" ht="13.8">
      <c r="C387" s="95" t="s">
        <v>1386</v>
      </c>
      <c r="D387" s="95"/>
      <c r="E387" s="95"/>
      <c r="F387" s="95"/>
      <c r="G387" s="95"/>
      <c r="H387" s="95"/>
      <c r="I387" s="95">
        <f>J377+J378+J380+J385+J386</f>
        <v>87.15</v>
      </c>
      <c r="J387" s="95"/>
      <c r="O387" s="69">
        <f>I387</f>
        <v>87.15</v>
      </c>
      <c r="P387">
        <f>K387</f>
        <v>0</v>
      </c>
      <c r="Q387" s="69">
        <f>J377</f>
        <v>23.51</v>
      </c>
      <c r="R387" s="69">
        <f>J377</f>
        <v>23.51</v>
      </c>
      <c r="U387" s="70">
        <f>L377</f>
        <v>569</v>
      </c>
      <c r="V387" s="69">
        <f>J379</f>
        <v>0.93</v>
      </c>
      <c r="W387" s="70">
        <f>L379</f>
        <v>23</v>
      </c>
      <c r="X387" s="69">
        <f>J378</f>
        <v>2.35</v>
      </c>
      <c r="Z387" s="70">
        <f>L378</f>
        <v>0</v>
      </c>
      <c r="AB387" s="69">
        <f>J380</f>
        <v>29.11</v>
      </c>
      <c r="AN387">
        <f>IF(Source!BI116&lt;=1,J377+J378+J380+J385+J386, 0)</f>
        <v>87.15</v>
      </c>
      <c r="AO387">
        <f>IF(Source!BI116&lt;=1,J380, 0)</f>
        <v>29.11</v>
      </c>
      <c r="AP387">
        <f>IF(Source!BI116&lt;=1,J378, 0)</f>
        <v>2.35</v>
      </c>
      <c r="AQ387">
        <f>IF(Source!BI116&lt;=1,J377, 0)</f>
        <v>23.51</v>
      </c>
      <c r="AX387">
        <f>IF(Source!BI116=2,J377+J378+J380+J385+J386, 0)</f>
        <v>0</v>
      </c>
      <c r="AY387">
        <f>IF(Source!BI116=2,J380, 0)</f>
        <v>0</v>
      </c>
      <c r="AZ387">
        <f>IF(Source!BI116=2,J378, 0)</f>
        <v>0</v>
      </c>
      <c r="BA387">
        <f>IF(Source!BI116=2,J377, 0)</f>
        <v>0</v>
      </c>
    </row>
    <row r="388" spans="1:56" ht="13.8">
      <c r="C388" s="79" t="str">
        <f>Source!G117</f>
        <v>Восстановление оконных проемов</v>
      </c>
    </row>
    <row r="389" spans="1:56" ht="106.8">
      <c r="A389" s="110" t="str">
        <f>Source!E118</f>
        <v>50</v>
      </c>
      <c r="B389" s="111" t="str">
        <f>Source!F118</f>
        <v>53-20-3</v>
      </c>
      <c r="C389" s="111" t="s">
        <v>1444</v>
      </c>
      <c r="D389" s="81" t="str">
        <f>Source!H118</f>
        <v>100 м3 кладки</v>
      </c>
      <c r="E389" s="82">
        <f>Source!K118</f>
        <v>1.95E-2</v>
      </c>
      <c r="F389" s="82"/>
      <c r="G389" s="82">
        <f>Source!I118</f>
        <v>1.95E-2</v>
      </c>
      <c r="H389" s="83"/>
      <c r="I389" s="84"/>
      <c r="J389" s="85"/>
      <c r="K389" s="84"/>
      <c r="L389" s="86"/>
      <c r="AC389">
        <f>Source!X118</f>
        <v>144.19999999999999</v>
      </c>
      <c r="AD389">
        <f>Source!HK118</f>
        <v>3492</v>
      </c>
      <c r="AE389">
        <f>Source!Y118</f>
        <v>81.5</v>
      </c>
      <c r="AF389">
        <f>Source!HL118</f>
        <v>1974</v>
      </c>
      <c r="AS389">
        <f>IF(Source!BI118&lt;=1,AD389, 0)</f>
        <v>3492</v>
      </c>
      <c r="AT389">
        <f>IF(Source!BI118&lt;=1,AF389, 0)</f>
        <v>1974</v>
      </c>
      <c r="BC389">
        <f>IF(Source!BI118=2,AD389, 0)</f>
        <v>0</v>
      </c>
      <c r="BD389">
        <f>IF(Source!BI118=2,AF389, 0)</f>
        <v>0</v>
      </c>
    </row>
    <row r="391" spans="1:56">
      <c r="C391" s="67" t="str">
        <f>"Объем: "&amp;Source!K118&amp;"=1,95/"&amp;"100"</f>
        <v>Объем: 0,0195=1,95/100</v>
      </c>
    </row>
    <row r="392" spans="1:56" ht="14.4">
      <c r="A392" s="110"/>
      <c r="B392" s="112">
        <v>1</v>
      </c>
      <c r="C392" s="111" t="s">
        <v>1373</v>
      </c>
      <c r="D392" s="81"/>
      <c r="E392" s="82"/>
      <c r="F392" s="82"/>
      <c r="G392" s="82"/>
      <c r="H392" s="83">
        <f>Source!AO118</f>
        <v>6481.08</v>
      </c>
      <c r="I392" s="84">
        <f>ROUND(1.15,7)</f>
        <v>1.1499999999999999</v>
      </c>
      <c r="J392" s="85">
        <f>ROUND(Source!AF118*Source!I118, 2)</f>
        <v>145.34</v>
      </c>
      <c r="K392" s="84">
        <f>IF(Source!BA118&lt;&gt; 0, Source!BA118, 1)</f>
        <v>24.22</v>
      </c>
      <c r="L392" s="86">
        <f>Source!HJ118</f>
        <v>3520</v>
      </c>
    </row>
    <row r="393" spans="1:56" ht="14.4">
      <c r="A393" s="110"/>
      <c r="B393" s="112">
        <v>3</v>
      </c>
      <c r="C393" s="111" t="s">
        <v>1374</v>
      </c>
      <c r="D393" s="81"/>
      <c r="E393" s="82"/>
      <c r="F393" s="82"/>
      <c r="G393" s="82"/>
      <c r="H393" s="83">
        <f>Source!AM118</f>
        <v>3351.27</v>
      </c>
      <c r="I393" s="84">
        <f>ROUND(1.15,7)</f>
        <v>1.1499999999999999</v>
      </c>
      <c r="J393" s="85">
        <f>ROUND(Source!AD118*Source!I118, 2)</f>
        <v>75.150000000000006</v>
      </c>
      <c r="K393" s="84"/>
      <c r="L393" s="86"/>
    </row>
    <row r="394" spans="1:56" ht="14.4">
      <c r="A394" s="110"/>
      <c r="B394" s="112">
        <v>2</v>
      </c>
      <c r="C394" s="111" t="s">
        <v>1375</v>
      </c>
      <c r="D394" s="81"/>
      <c r="E394" s="82"/>
      <c r="F394" s="82"/>
      <c r="G394" s="82"/>
      <c r="H394" s="83">
        <f>Source!AN118</f>
        <v>508.17</v>
      </c>
      <c r="I394" s="84">
        <f>ROUND(1.15,7)</f>
        <v>1.1499999999999999</v>
      </c>
      <c r="J394" s="87">
        <f>ROUND(Source!AE118*Source!I118, 2)</f>
        <v>11.4</v>
      </c>
      <c r="K394" s="84">
        <f>IF(Source!BS118&lt;&gt; 0, Source!BS118, 1)</f>
        <v>24.22</v>
      </c>
      <c r="L394" s="88">
        <f>Source!HI118</f>
        <v>276</v>
      </c>
    </row>
    <row r="395" spans="1:56" ht="14.4">
      <c r="A395" s="110"/>
      <c r="B395" s="112">
        <v>4</v>
      </c>
      <c r="C395" s="111" t="s">
        <v>1408</v>
      </c>
      <c r="D395" s="81"/>
      <c r="E395" s="82"/>
      <c r="F395" s="82"/>
      <c r="G395" s="82"/>
      <c r="H395" s="83">
        <f>Source!AL118</f>
        <v>76880.490000000005</v>
      </c>
      <c r="I395" s="84"/>
      <c r="J395" s="85">
        <f>ROUND(Source!AC118*Source!I118, 2)</f>
        <v>1499.17</v>
      </c>
      <c r="K395" s="84"/>
      <c r="L395" s="86"/>
    </row>
    <row r="396" spans="1:56" ht="14.4">
      <c r="A396" s="110"/>
      <c r="B396" s="111"/>
      <c r="C396" s="111" t="s">
        <v>1376</v>
      </c>
      <c r="D396" s="81" t="s">
        <v>1377</v>
      </c>
      <c r="E396" s="82">
        <f>Source!AQ118</f>
        <v>706</v>
      </c>
      <c r="F396" s="82">
        <f>ROUND(1.15,7)</f>
        <v>1.1499999999999999</v>
      </c>
      <c r="G396" s="82">
        <f>ROUND(Source!U118, 7)</f>
        <v>15.832050000000001</v>
      </c>
      <c r="H396" s="83"/>
      <c r="I396" s="84"/>
      <c r="J396" s="85"/>
      <c r="K396" s="84"/>
      <c r="L396" s="86"/>
    </row>
    <row r="397" spans="1:56" ht="14.4">
      <c r="A397" s="110"/>
      <c r="B397" s="111"/>
      <c r="C397" s="113" t="s">
        <v>1378</v>
      </c>
      <c r="D397" s="89" t="s">
        <v>1377</v>
      </c>
      <c r="E397" s="90">
        <f>Source!AR118</f>
        <v>39</v>
      </c>
      <c r="F397" s="90">
        <f>ROUND(1.15,7)</f>
        <v>1.1499999999999999</v>
      </c>
      <c r="G397" s="90">
        <f>ROUND(Source!V118, 7)</f>
        <v>0.87457499999999999</v>
      </c>
      <c r="H397" s="91"/>
      <c r="I397" s="92"/>
      <c r="J397" s="93"/>
      <c r="K397" s="92"/>
      <c r="L397" s="94"/>
    </row>
    <row r="398" spans="1:56" ht="14.4">
      <c r="A398" s="110"/>
      <c r="B398" s="111"/>
      <c r="C398" s="111" t="s">
        <v>1379</v>
      </c>
      <c r="D398" s="81"/>
      <c r="E398" s="82"/>
      <c r="F398" s="82"/>
      <c r="G398" s="82"/>
      <c r="H398" s="83">
        <f>H392+H393+H395</f>
        <v>86712.840000000011</v>
      </c>
      <c r="I398" s="84"/>
      <c r="J398" s="85">
        <f>J392+J393+J395</f>
        <v>1719.66</v>
      </c>
      <c r="K398" s="84"/>
      <c r="L398" s="86"/>
    </row>
    <row r="399" spans="1:56" ht="14.4">
      <c r="A399" s="110"/>
      <c r="B399" s="111"/>
      <c r="C399" s="111" t="s">
        <v>1380</v>
      </c>
      <c r="D399" s="81"/>
      <c r="E399" s="82"/>
      <c r="F399" s="82"/>
      <c r="G399" s="82"/>
      <c r="H399" s="83"/>
      <c r="I399" s="84"/>
      <c r="J399" s="85">
        <f>SUM(Q389:Q402)+SUM(V389:V402)</f>
        <v>156.74</v>
      </c>
      <c r="K399" s="84"/>
      <c r="L399" s="86">
        <f>SUM(U389:U402)+SUM(W389:W402)</f>
        <v>3796</v>
      </c>
    </row>
    <row r="400" spans="1:56" ht="14.4">
      <c r="A400" s="110"/>
      <c r="B400" s="111" t="s">
        <v>1419</v>
      </c>
      <c r="C400" s="111" t="s">
        <v>1420</v>
      </c>
      <c r="D400" s="81" t="s">
        <v>1383</v>
      </c>
      <c r="E400" s="82">
        <f>Source!BZ118</f>
        <v>92</v>
      </c>
      <c r="F400" s="82"/>
      <c r="G400" s="82">
        <f>Source!AT118</f>
        <v>92</v>
      </c>
      <c r="H400" s="83"/>
      <c r="I400" s="84"/>
      <c r="J400" s="85">
        <f>SUM(AC389:AC402)</f>
        <v>144.19999999999999</v>
      </c>
      <c r="K400" s="84"/>
      <c r="L400" s="86">
        <f>SUM(AD389:AD402)</f>
        <v>3492</v>
      </c>
    </row>
    <row r="401" spans="1:56" ht="14.4">
      <c r="A401" s="114"/>
      <c r="B401" s="113" t="s">
        <v>1421</v>
      </c>
      <c r="C401" s="113" t="s">
        <v>1422</v>
      </c>
      <c r="D401" s="89" t="s">
        <v>1383</v>
      </c>
      <c r="E401" s="90">
        <f>Source!CA118</f>
        <v>52</v>
      </c>
      <c r="F401" s="90"/>
      <c r="G401" s="90">
        <f>Source!AU118</f>
        <v>52</v>
      </c>
      <c r="H401" s="91"/>
      <c r="I401" s="92"/>
      <c r="J401" s="93">
        <f>SUM(AE389:AE402)</f>
        <v>81.5</v>
      </c>
      <c r="K401" s="92"/>
      <c r="L401" s="94">
        <f>SUM(AF389:AF402)</f>
        <v>1974</v>
      </c>
    </row>
    <row r="402" spans="1:56" ht="13.8">
      <c r="C402" s="95" t="s">
        <v>1386</v>
      </c>
      <c r="D402" s="95"/>
      <c r="E402" s="95"/>
      <c r="F402" s="95"/>
      <c r="G402" s="95"/>
      <c r="H402" s="95"/>
      <c r="I402" s="95">
        <f>J392+J393+J395+J400+J401</f>
        <v>1945.3600000000001</v>
      </c>
      <c r="J402" s="95"/>
      <c r="O402" s="69">
        <f>I402</f>
        <v>1945.3600000000001</v>
      </c>
      <c r="P402">
        <f>K402</f>
        <v>0</v>
      </c>
      <c r="Q402" s="69">
        <f>J392</f>
        <v>145.34</v>
      </c>
      <c r="R402" s="69">
        <f>J392</f>
        <v>145.34</v>
      </c>
      <c r="U402" s="70">
        <f>L392</f>
        <v>3520</v>
      </c>
      <c r="V402" s="69">
        <f>J394</f>
        <v>11.4</v>
      </c>
      <c r="W402" s="70">
        <f>L394</f>
        <v>276</v>
      </c>
      <c r="X402" s="69">
        <f>J393</f>
        <v>75.150000000000006</v>
      </c>
      <c r="Z402" s="70">
        <f>L393</f>
        <v>0</v>
      </c>
      <c r="AB402" s="69">
        <f>J395</f>
        <v>1499.17</v>
      </c>
      <c r="AN402">
        <f>IF(Source!BI118&lt;=1,J392+J393+J395+J400+J401, 0)</f>
        <v>1945.3600000000001</v>
      </c>
      <c r="AO402">
        <f>IF(Source!BI118&lt;=1,J395, 0)</f>
        <v>1499.17</v>
      </c>
      <c r="AP402">
        <f>IF(Source!BI118&lt;=1,J393, 0)</f>
        <v>75.150000000000006</v>
      </c>
      <c r="AQ402">
        <f>IF(Source!BI118&lt;=1,J392, 0)</f>
        <v>145.34</v>
      </c>
      <c r="AX402">
        <f>IF(Source!BI118=2,J392+J393+J395+J400+J401, 0)</f>
        <v>0</v>
      </c>
      <c r="AY402">
        <f>IF(Source!BI118=2,J395, 0)</f>
        <v>0</v>
      </c>
      <c r="AZ402">
        <f>IF(Source!BI118=2,J393, 0)</f>
        <v>0</v>
      </c>
      <c r="BA402">
        <f>IF(Source!BI118=2,J392, 0)</f>
        <v>0</v>
      </c>
    </row>
    <row r="403" spans="1:56" ht="27.6">
      <c r="A403" s="110" t="str">
        <f>Source!E119</f>
        <v>51</v>
      </c>
      <c r="B403" s="111" t="str">
        <f>Source!F119</f>
        <v>404-0005</v>
      </c>
      <c r="C403" s="111" t="str">
        <f>Source!G119</f>
        <v>Кирпич керамический одинарный, размером 250х120х65 мм, марка 100</v>
      </c>
      <c r="D403" s="81" t="str">
        <f>Source!H119</f>
        <v>1000 шт.</v>
      </c>
      <c r="E403" s="82">
        <f>Source!K119</f>
        <v>-0.78</v>
      </c>
      <c r="F403" s="82"/>
      <c r="G403" s="82">
        <f>Source!I119</f>
        <v>-0.78</v>
      </c>
      <c r="H403" s="83">
        <f>Source!AL119</f>
        <v>1662.7</v>
      </c>
      <c r="I403" s="84"/>
      <c r="J403" s="85">
        <f>ROUND(Source!AC119*Source!I119, 2)</f>
        <v>-1296.9100000000001</v>
      </c>
      <c r="K403" s="84"/>
      <c r="L403" s="86"/>
      <c r="AC403">
        <f>Source!X119</f>
        <v>0</v>
      </c>
      <c r="AD403">
        <f>Source!HK119</f>
        <v>0</v>
      </c>
      <c r="AE403">
        <f>Source!Y119</f>
        <v>0</v>
      </c>
      <c r="AF403">
        <f>Source!HL119</f>
        <v>0</v>
      </c>
      <c r="AS403">
        <f>IF(Source!BI119&lt;=1,AD403, 0)</f>
        <v>0</v>
      </c>
      <c r="AT403">
        <f>IF(Source!BI119&lt;=1,AF403, 0)</f>
        <v>0</v>
      </c>
      <c r="BC403">
        <f>IF(Source!BI119=2,AD403, 0)</f>
        <v>0</v>
      </c>
      <c r="BD403">
        <f>IF(Source!BI119=2,AF403, 0)</f>
        <v>0</v>
      </c>
    </row>
    <row r="405" spans="1:56">
      <c r="A405" s="71"/>
      <c r="B405" s="71"/>
      <c r="C405" s="72" t="str">
        <f>"Объем: "&amp;Source!K119&amp;"="&amp;Source!I118&amp;"*"&amp;"-"&amp;"40"</f>
        <v>Объем: -0,78=0,0195*-40</v>
      </c>
      <c r="D405" s="71"/>
      <c r="E405" s="71"/>
      <c r="F405" s="71"/>
      <c r="G405" s="71"/>
      <c r="H405" s="71"/>
      <c r="I405" s="71"/>
      <c r="J405" s="71"/>
      <c r="K405" s="71"/>
      <c r="L405" s="71"/>
    </row>
    <row r="406" spans="1:56" ht="13.8">
      <c r="C406" s="95" t="s">
        <v>1386</v>
      </c>
      <c r="D406" s="95"/>
      <c r="E406" s="95"/>
      <c r="F406" s="95"/>
      <c r="G406" s="95"/>
      <c r="H406" s="95"/>
      <c r="I406" s="95">
        <f>J403</f>
        <v>-1296.9100000000001</v>
      </c>
      <c r="J406" s="95"/>
      <c r="O406" s="69">
        <f>I406</f>
        <v>-1296.9100000000001</v>
      </c>
      <c r="P406">
        <f>K406</f>
        <v>0</v>
      </c>
      <c r="Q406">
        <f>0</f>
        <v>0</v>
      </c>
      <c r="R406">
        <f>0</f>
        <v>0</v>
      </c>
      <c r="U406">
        <f>0</f>
        <v>0</v>
      </c>
      <c r="V406">
        <f>0</f>
        <v>0</v>
      </c>
      <c r="W406">
        <f>0</f>
        <v>0</v>
      </c>
      <c r="X406">
        <f>0</f>
        <v>0</v>
      </c>
      <c r="Z406">
        <f>0</f>
        <v>0</v>
      </c>
      <c r="AB406" s="69">
        <f>I406</f>
        <v>-1296.9100000000001</v>
      </c>
      <c r="AN406">
        <f>IF(Source!BI119&lt;=1,J403, 0)</f>
        <v>-1296.9100000000001</v>
      </c>
      <c r="AO406">
        <f>IF(Source!BI119&lt;=1,I406, 0)</f>
        <v>-1296.9100000000001</v>
      </c>
      <c r="AP406">
        <f>IF(Source!BI119&lt;=1,0, 0)</f>
        <v>0</v>
      </c>
      <c r="AQ406">
        <f>IF(Source!BI119&lt;=1,0, 0)</f>
        <v>0</v>
      </c>
      <c r="AX406">
        <f>IF(Source!BI119=2,J403, 0)</f>
        <v>0</v>
      </c>
      <c r="AY406">
        <f>IF(Source!BI119=2,I406, 0)</f>
        <v>0</v>
      </c>
      <c r="AZ406">
        <f>IF(Source!BI119=2,0, 0)</f>
        <v>0</v>
      </c>
      <c r="BA406">
        <f>IF(Source!BI119=2,0, 0)</f>
        <v>0</v>
      </c>
    </row>
    <row r="407" spans="1:56" ht="27.6">
      <c r="A407" s="110" t="str">
        <f>Source!E120</f>
        <v>52</v>
      </c>
      <c r="B407" s="111" t="str">
        <f>Source!F120</f>
        <v>402-0013</v>
      </c>
      <c r="C407" s="111" t="str">
        <f>Source!G120</f>
        <v>Раствор готовый кладочный цементно-известковый марки 50</v>
      </c>
      <c r="D407" s="81" t="str">
        <f>Source!H120</f>
        <v>м3</v>
      </c>
      <c r="E407" s="82">
        <f>Source!K120</f>
        <v>-0.47189999999999999</v>
      </c>
      <c r="F407" s="82"/>
      <c r="G407" s="82">
        <f>Source!I120</f>
        <v>-0.47189999999999999</v>
      </c>
      <c r="H407" s="83">
        <f>Source!AL120</f>
        <v>428.17</v>
      </c>
      <c r="I407" s="84"/>
      <c r="J407" s="85">
        <f>ROUND(Source!AC120*Source!I120, 2)</f>
        <v>-202.05</v>
      </c>
      <c r="K407" s="84"/>
      <c r="L407" s="86"/>
      <c r="AC407">
        <f>Source!X120</f>
        <v>0</v>
      </c>
      <c r="AD407">
        <f>Source!HK120</f>
        <v>0</v>
      </c>
      <c r="AE407">
        <f>Source!Y120</f>
        <v>0</v>
      </c>
      <c r="AF407">
        <f>Source!HL120</f>
        <v>0</v>
      </c>
      <c r="AS407">
        <f>IF(Source!BI120&lt;=1,AD407, 0)</f>
        <v>0</v>
      </c>
      <c r="AT407">
        <f>IF(Source!BI120&lt;=1,AF407, 0)</f>
        <v>0</v>
      </c>
      <c r="BC407">
        <f>IF(Source!BI120=2,AD407, 0)</f>
        <v>0</v>
      </c>
      <c r="BD407">
        <f>IF(Source!BI120=2,AF407, 0)</f>
        <v>0</v>
      </c>
    </row>
    <row r="409" spans="1:56">
      <c r="A409" s="71"/>
      <c r="B409" s="71"/>
      <c r="C409" s="72" t="str">
        <f>"Объем: "&amp;Source!K120&amp;"="&amp;Source!I118&amp;"*"&amp;"-"&amp;"24,2"</f>
        <v>Объем: -0,4719=0,0195*-24,2</v>
      </c>
      <c r="D409" s="71"/>
      <c r="E409" s="71"/>
      <c r="F409" s="71"/>
      <c r="G409" s="71"/>
      <c r="H409" s="71"/>
      <c r="I409" s="71"/>
      <c r="J409" s="71"/>
      <c r="K409" s="71"/>
      <c r="L409" s="71"/>
    </row>
    <row r="410" spans="1:56" ht="13.8">
      <c r="C410" s="95" t="s">
        <v>1386</v>
      </c>
      <c r="D410" s="95"/>
      <c r="E410" s="95"/>
      <c r="F410" s="95"/>
      <c r="G410" s="95"/>
      <c r="H410" s="95"/>
      <c r="I410" s="95">
        <f>J407</f>
        <v>-202.05</v>
      </c>
      <c r="J410" s="95"/>
      <c r="O410" s="69">
        <f>I410</f>
        <v>-202.05</v>
      </c>
      <c r="P410">
        <f>K410</f>
        <v>0</v>
      </c>
      <c r="Q410">
        <f>0</f>
        <v>0</v>
      </c>
      <c r="R410">
        <f>0</f>
        <v>0</v>
      </c>
      <c r="U410">
        <f>0</f>
        <v>0</v>
      </c>
      <c r="V410">
        <f>0</f>
        <v>0</v>
      </c>
      <c r="W410">
        <f>0</f>
        <v>0</v>
      </c>
      <c r="X410">
        <f>0</f>
        <v>0</v>
      </c>
      <c r="Z410">
        <f>0</f>
        <v>0</v>
      </c>
      <c r="AB410" s="69">
        <f>I410</f>
        <v>-202.05</v>
      </c>
      <c r="AN410">
        <f>IF(Source!BI120&lt;=1,J407, 0)</f>
        <v>-202.05</v>
      </c>
      <c r="AO410">
        <f>IF(Source!BI120&lt;=1,I410, 0)</f>
        <v>-202.05</v>
      </c>
      <c r="AP410">
        <f>IF(Source!BI120&lt;=1,0, 0)</f>
        <v>0</v>
      </c>
      <c r="AQ410">
        <f>IF(Source!BI120&lt;=1,0, 0)</f>
        <v>0</v>
      </c>
      <c r="AX410">
        <f>IF(Source!BI120=2,J407, 0)</f>
        <v>0</v>
      </c>
      <c r="AY410">
        <f>IF(Source!BI120=2,I410, 0)</f>
        <v>0</v>
      </c>
      <c r="AZ410">
        <f>IF(Source!BI120=2,0, 0)</f>
        <v>0</v>
      </c>
      <c r="BA410">
        <f>IF(Source!BI120=2,0, 0)</f>
        <v>0</v>
      </c>
    </row>
    <row r="411" spans="1:56" ht="27.6">
      <c r="A411" s="110" t="str">
        <f>Source!E121</f>
        <v>53</v>
      </c>
      <c r="B411" s="111" t="str">
        <f>Source!F121</f>
        <v>402-0015</v>
      </c>
      <c r="C411" s="111" t="str">
        <f>Source!G121</f>
        <v>Раствор готовый кладочный цементно-известковый марки 100</v>
      </c>
      <c r="D411" s="81" t="str">
        <f>Source!H121</f>
        <v>м3</v>
      </c>
      <c r="E411" s="82">
        <f>Source!K121</f>
        <v>0.47189999999999999</v>
      </c>
      <c r="F411" s="82"/>
      <c r="G411" s="82">
        <f>Source!I121</f>
        <v>0.47189999999999999</v>
      </c>
      <c r="H411" s="83">
        <f>Source!AL121</f>
        <v>483.76</v>
      </c>
      <c r="I411" s="84"/>
      <c r="J411" s="85">
        <f>ROUND(Source!AC121*Source!I121, 2)</f>
        <v>228.29</v>
      </c>
      <c r="K411" s="84"/>
      <c r="L411" s="86"/>
      <c r="AC411">
        <f>Source!X121</f>
        <v>0</v>
      </c>
      <c r="AD411">
        <f>Source!HK121</f>
        <v>0</v>
      </c>
      <c r="AE411">
        <f>Source!Y121</f>
        <v>0</v>
      </c>
      <c r="AF411">
        <f>Source!HL121</f>
        <v>0</v>
      </c>
      <c r="AS411">
        <f>IF(Source!BI121&lt;=1,AD411, 0)</f>
        <v>0</v>
      </c>
      <c r="AT411">
        <f>IF(Source!BI121&lt;=1,AF411, 0)</f>
        <v>0</v>
      </c>
      <c r="BC411">
        <f>IF(Source!BI121=2,AD411, 0)</f>
        <v>0</v>
      </c>
      <c r="BD411">
        <f>IF(Source!BI121=2,AF411, 0)</f>
        <v>0</v>
      </c>
    </row>
    <row r="412" spans="1:56">
      <c r="A412" s="71"/>
      <c r="B412" s="71"/>
      <c r="C412" s="71"/>
      <c r="D412" s="71"/>
      <c r="E412" s="71"/>
      <c r="F412" s="71"/>
      <c r="G412" s="71"/>
      <c r="H412" s="71"/>
      <c r="I412" s="71"/>
      <c r="J412" s="71"/>
      <c r="K412" s="71"/>
      <c r="L412" s="71"/>
    </row>
    <row r="413" spans="1:56" ht="13.8">
      <c r="C413" s="95" t="s">
        <v>1386</v>
      </c>
      <c r="D413" s="95"/>
      <c r="E413" s="95"/>
      <c r="F413" s="95"/>
      <c r="G413" s="95"/>
      <c r="H413" s="95"/>
      <c r="I413" s="95">
        <f>J411</f>
        <v>228.29</v>
      </c>
      <c r="J413" s="95"/>
      <c r="O413" s="69">
        <f>I413</f>
        <v>228.29</v>
      </c>
      <c r="P413">
        <f>K413</f>
        <v>0</v>
      </c>
      <c r="Q413">
        <f>0</f>
        <v>0</v>
      </c>
      <c r="R413">
        <f>0</f>
        <v>0</v>
      </c>
      <c r="U413">
        <f>0</f>
        <v>0</v>
      </c>
      <c r="V413">
        <f>0</f>
        <v>0</v>
      </c>
      <c r="W413">
        <f>0</f>
        <v>0</v>
      </c>
      <c r="X413">
        <f>0</f>
        <v>0</v>
      </c>
      <c r="Z413">
        <f>0</f>
        <v>0</v>
      </c>
      <c r="AB413" s="69">
        <f>I413</f>
        <v>228.29</v>
      </c>
      <c r="AN413">
        <f>IF(Source!BI121&lt;=1,J411, 0)</f>
        <v>228.29</v>
      </c>
      <c r="AO413">
        <f>IF(Source!BI121&lt;=1,I413, 0)</f>
        <v>228.29</v>
      </c>
      <c r="AP413">
        <f>IF(Source!BI121&lt;=1,0, 0)</f>
        <v>0</v>
      </c>
      <c r="AQ413">
        <f>IF(Source!BI121&lt;=1,0, 0)</f>
        <v>0</v>
      </c>
      <c r="AX413">
        <f>IF(Source!BI121=2,J411, 0)</f>
        <v>0</v>
      </c>
      <c r="AY413">
        <f>IF(Source!BI121=2,I413, 0)</f>
        <v>0</v>
      </c>
      <c r="AZ413">
        <f>IF(Source!BI121=2,0, 0)</f>
        <v>0</v>
      </c>
      <c r="BA413">
        <f>IF(Source!BI121=2,0, 0)</f>
        <v>0</v>
      </c>
    </row>
    <row r="414" spans="1:56" ht="27.6">
      <c r="A414" s="110" t="str">
        <f>Source!E122</f>
        <v>54</v>
      </c>
      <c r="B414" s="111" t="str">
        <f>Source!F122</f>
        <v>404-0007</v>
      </c>
      <c r="C414" s="111" t="str">
        <f>Source!G122</f>
        <v>Кирпич керамический одинарный, размером 250х120х65 мм, марка 150</v>
      </c>
      <c r="D414" s="81" t="str">
        <f>Source!H122</f>
        <v>1000 шт.</v>
      </c>
      <c r="E414" s="82">
        <f>Source!K122</f>
        <v>0.78</v>
      </c>
      <c r="F414" s="82"/>
      <c r="G414" s="82">
        <f>Source!I122</f>
        <v>0.78</v>
      </c>
      <c r="H414" s="83">
        <f>Source!AL122</f>
        <v>1912.53</v>
      </c>
      <c r="I414" s="84"/>
      <c r="J414" s="85">
        <f>ROUND(Source!AC122*Source!I122, 2)</f>
        <v>1491.77</v>
      </c>
      <c r="K414" s="84"/>
      <c r="L414" s="86"/>
      <c r="AC414">
        <f>Source!X122</f>
        <v>0</v>
      </c>
      <c r="AD414">
        <f>Source!HK122</f>
        <v>0</v>
      </c>
      <c r="AE414">
        <f>Source!Y122</f>
        <v>0</v>
      </c>
      <c r="AF414">
        <f>Source!HL122</f>
        <v>0</v>
      </c>
      <c r="AS414">
        <f>IF(Source!BI122&lt;=1,AD414, 0)</f>
        <v>0</v>
      </c>
      <c r="AT414">
        <f>IF(Source!BI122&lt;=1,AF414, 0)</f>
        <v>0</v>
      </c>
      <c r="BC414">
        <f>IF(Source!BI122=2,AD414, 0)</f>
        <v>0</v>
      </c>
      <c r="BD414">
        <f>IF(Source!BI122=2,AF414, 0)</f>
        <v>0</v>
      </c>
    </row>
    <row r="416" spans="1:56">
      <c r="A416" s="71"/>
      <c r="B416" s="71"/>
      <c r="C416" s="72" t="str">
        <f>"Объем: "&amp;Source!K122&amp;"=(780)/"&amp;"1000"</f>
        <v>Объем: 0,78=(780)/1000</v>
      </c>
      <c r="D416" s="71"/>
      <c r="E416" s="71"/>
      <c r="F416" s="71"/>
      <c r="G416" s="71"/>
      <c r="H416" s="71"/>
      <c r="I416" s="71"/>
      <c r="J416" s="71"/>
      <c r="K416" s="71"/>
      <c r="L416" s="71"/>
    </row>
    <row r="417" spans="1:56" ht="13.8">
      <c r="C417" s="95" t="s">
        <v>1386</v>
      </c>
      <c r="D417" s="95"/>
      <c r="E417" s="95"/>
      <c r="F417" s="95"/>
      <c r="G417" s="95"/>
      <c r="H417" s="95"/>
      <c r="I417" s="95">
        <f>J414</f>
        <v>1491.77</v>
      </c>
      <c r="J417" s="95"/>
      <c r="O417" s="69">
        <f>I417</f>
        <v>1491.77</v>
      </c>
      <c r="P417">
        <f>K417</f>
        <v>0</v>
      </c>
      <c r="Q417">
        <f>0</f>
        <v>0</v>
      </c>
      <c r="R417">
        <f>0</f>
        <v>0</v>
      </c>
      <c r="U417">
        <f>0</f>
        <v>0</v>
      </c>
      <c r="V417">
        <f>0</f>
        <v>0</v>
      </c>
      <c r="W417">
        <f>0</f>
        <v>0</v>
      </c>
      <c r="X417">
        <f>0</f>
        <v>0</v>
      </c>
      <c r="Z417">
        <f>0</f>
        <v>0</v>
      </c>
      <c r="AB417" s="69">
        <f>I417</f>
        <v>1491.77</v>
      </c>
      <c r="AN417">
        <f>IF(Source!BI122&lt;=1,J414, 0)</f>
        <v>1491.77</v>
      </c>
      <c r="AO417">
        <f>IF(Source!BI122&lt;=1,I417, 0)</f>
        <v>1491.77</v>
      </c>
      <c r="AP417">
        <f>IF(Source!BI122&lt;=1,0, 0)</f>
        <v>0</v>
      </c>
      <c r="AQ417">
        <f>IF(Source!BI122&lt;=1,0, 0)</f>
        <v>0</v>
      </c>
      <c r="AX417">
        <f>IF(Source!BI122=2,J414, 0)</f>
        <v>0</v>
      </c>
      <c r="AY417">
        <f>IF(Source!BI122=2,I417, 0)</f>
        <v>0</v>
      </c>
      <c r="AZ417">
        <f>IF(Source!BI122=2,0, 0)</f>
        <v>0</v>
      </c>
      <c r="BA417">
        <f>IF(Source!BI122=2,0, 0)</f>
        <v>0</v>
      </c>
    </row>
    <row r="418" spans="1:56" ht="121.2">
      <c r="A418" s="110" t="str">
        <f>Source!E123</f>
        <v>55</v>
      </c>
      <c r="B418" s="111" t="str">
        <f>Source!F123</f>
        <v>08-02-008-1</v>
      </c>
      <c r="C418" s="111" t="s">
        <v>1445</v>
      </c>
      <c r="D418" s="81" t="str">
        <f>Source!H123</f>
        <v>1 м3 кладки</v>
      </c>
      <c r="E418" s="82">
        <f>Source!K123</f>
        <v>0.35</v>
      </c>
      <c r="F418" s="82"/>
      <c r="G418" s="82">
        <f>Source!I123</f>
        <v>0.35</v>
      </c>
      <c r="H418" s="83"/>
      <c r="I418" s="84"/>
      <c r="J418" s="85"/>
      <c r="K418" s="84"/>
      <c r="L418" s="86"/>
      <c r="AC418">
        <f>Source!X123</f>
        <v>18.41</v>
      </c>
      <c r="AD418">
        <f>Source!HK123</f>
        <v>446</v>
      </c>
      <c r="AE418">
        <f>Source!Y123</f>
        <v>10.91</v>
      </c>
      <c r="AF418">
        <f>Source!HL123</f>
        <v>265</v>
      </c>
      <c r="AS418">
        <f>IF(Source!BI123&lt;=1,AD418, 0)</f>
        <v>446</v>
      </c>
      <c r="AT418">
        <f>IF(Source!BI123&lt;=1,AF418, 0)</f>
        <v>265</v>
      </c>
      <c r="BC418">
        <f>IF(Source!BI123=2,AD418, 0)</f>
        <v>0</v>
      </c>
      <c r="BD418">
        <f>IF(Source!BI123=2,AF418, 0)</f>
        <v>0</v>
      </c>
    </row>
    <row r="420" spans="1:56" ht="14.4">
      <c r="A420" s="110"/>
      <c r="B420" s="112">
        <v>1</v>
      </c>
      <c r="C420" s="111" t="s">
        <v>1373</v>
      </c>
      <c r="D420" s="81"/>
      <c r="E420" s="82"/>
      <c r="F420" s="82"/>
      <c r="G420" s="82"/>
      <c r="H420" s="83">
        <f>Source!AO123</f>
        <v>36.729999999999997</v>
      </c>
      <c r="I420" s="84">
        <f>ROUND(1.15*1.15,7)</f>
        <v>1.3225</v>
      </c>
      <c r="J420" s="85">
        <f>ROUND(Source!AF123*Source!I123, 2)</f>
        <v>17</v>
      </c>
      <c r="K420" s="84">
        <f>IF(Source!BA123&lt;&gt; 0, Source!BA123, 1)</f>
        <v>24.22</v>
      </c>
      <c r="L420" s="86">
        <f>Source!HJ123</f>
        <v>412</v>
      </c>
    </row>
    <row r="421" spans="1:56" ht="14.4">
      <c r="A421" s="110"/>
      <c r="B421" s="112">
        <v>3</v>
      </c>
      <c r="C421" s="111" t="s">
        <v>1374</v>
      </c>
      <c r="D421" s="81"/>
      <c r="E421" s="82"/>
      <c r="F421" s="82"/>
      <c r="G421" s="82"/>
      <c r="H421" s="83">
        <f>Source!AM123</f>
        <v>30.08</v>
      </c>
      <c r="I421" s="84"/>
      <c r="J421" s="85">
        <f>ROUND(Source!AD123*Source!I123, 2)</f>
        <v>10.53</v>
      </c>
      <c r="K421" s="84"/>
      <c r="L421" s="86"/>
    </row>
    <row r="422" spans="1:56" ht="14.4">
      <c r="A422" s="110"/>
      <c r="B422" s="112">
        <v>2</v>
      </c>
      <c r="C422" s="111" t="s">
        <v>1375</v>
      </c>
      <c r="D422" s="81"/>
      <c r="E422" s="82"/>
      <c r="F422" s="82"/>
      <c r="G422" s="82"/>
      <c r="H422" s="83">
        <f>Source!AN123</f>
        <v>4.5599999999999996</v>
      </c>
      <c r="I422" s="84"/>
      <c r="J422" s="87">
        <f>ROUND(Source!AE123*Source!I123, 2)</f>
        <v>1.6</v>
      </c>
      <c r="K422" s="84">
        <f>IF(Source!BS123&lt;&gt; 0, Source!BS123, 1)</f>
        <v>24.22</v>
      </c>
      <c r="L422" s="88">
        <f>Source!HI123</f>
        <v>39</v>
      </c>
    </row>
    <row r="423" spans="1:56" ht="14.4">
      <c r="A423" s="110"/>
      <c r="B423" s="112">
        <v>4</v>
      </c>
      <c r="C423" s="111" t="s">
        <v>1408</v>
      </c>
      <c r="D423" s="81"/>
      <c r="E423" s="82"/>
      <c r="F423" s="82"/>
      <c r="G423" s="82"/>
      <c r="H423" s="83">
        <f>Source!AL123</f>
        <v>485.8</v>
      </c>
      <c r="I423" s="84"/>
      <c r="J423" s="85">
        <f>ROUND(Source!AC123*Source!I123, 2)</f>
        <v>170.03</v>
      </c>
      <c r="K423" s="84"/>
      <c r="L423" s="86"/>
    </row>
    <row r="424" spans="1:56" ht="14.4">
      <c r="A424" s="110"/>
      <c r="B424" s="111"/>
      <c r="C424" s="111" t="s">
        <v>1376</v>
      </c>
      <c r="D424" s="81" t="s">
        <v>1377</v>
      </c>
      <c r="E424" s="82">
        <f>Source!AQ123</f>
        <v>4.58</v>
      </c>
      <c r="F424" s="82">
        <f>ROUND(1.15*1.15,7)</f>
        <v>1.3225</v>
      </c>
      <c r="G424" s="82">
        <f>ROUND(Source!U123, 7)</f>
        <v>2.1199675</v>
      </c>
      <c r="H424" s="83"/>
      <c r="I424" s="84"/>
      <c r="J424" s="85"/>
      <c r="K424" s="84"/>
      <c r="L424" s="86"/>
    </row>
    <row r="425" spans="1:56" ht="14.4">
      <c r="A425" s="110"/>
      <c r="B425" s="111"/>
      <c r="C425" s="113" t="s">
        <v>1378</v>
      </c>
      <c r="D425" s="89" t="s">
        <v>1377</v>
      </c>
      <c r="E425" s="90">
        <f>Source!AR123</f>
        <v>0.35</v>
      </c>
      <c r="F425" s="90"/>
      <c r="G425" s="90">
        <f>ROUND(Source!V123, 7)</f>
        <v>0.1225</v>
      </c>
      <c r="H425" s="91"/>
      <c r="I425" s="92"/>
      <c r="J425" s="93"/>
      <c r="K425" s="92"/>
      <c r="L425" s="94"/>
    </row>
    <row r="426" spans="1:56" ht="14.4">
      <c r="A426" s="110"/>
      <c r="B426" s="111"/>
      <c r="C426" s="111" t="s">
        <v>1379</v>
      </c>
      <c r="D426" s="81"/>
      <c r="E426" s="82"/>
      <c r="F426" s="82"/>
      <c r="G426" s="82"/>
      <c r="H426" s="83">
        <f>H420+H421+H423</f>
        <v>552.61</v>
      </c>
      <c r="I426" s="84"/>
      <c r="J426" s="85">
        <f>J420+J421+J423</f>
        <v>197.56</v>
      </c>
      <c r="K426" s="84"/>
      <c r="L426" s="86"/>
    </row>
    <row r="427" spans="1:56" ht="14.4">
      <c r="A427" s="110"/>
      <c r="B427" s="111"/>
      <c r="C427" s="111" t="s">
        <v>1380</v>
      </c>
      <c r="D427" s="81"/>
      <c r="E427" s="82"/>
      <c r="F427" s="82"/>
      <c r="G427" s="82"/>
      <c r="H427" s="83"/>
      <c r="I427" s="84"/>
      <c r="J427" s="85">
        <f>SUM(Q418:Q430)+SUM(V418:V430)</f>
        <v>18.600000000000001</v>
      </c>
      <c r="K427" s="84"/>
      <c r="L427" s="86">
        <f>SUM(U418:U430)+SUM(W418:W430)</f>
        <v>451</v>
      </c>
    </row>
    <row r="428" spans="1:56" ht="14.4">
      <c r="A428" s="110"/>
      <c r="B428" s="111" t="s">
        <v>1436</v>
      </c>
      <c r="C428" s="111" t="s">
        <v>1437</v>
      </c>
      <c r="D428" s="81" t="s">
        <v>1383</v>
      </c>
      <c r="E428" s="82">
        <f>Source!BZ123</f>
        <v>110</v>
      </c>
      <c r="F428" s="82">
        <f>ROUND(0.9,7)</f>
        <v>0.9</v>
      </c>
      <c r="G428" s="82">
        <f>Source!AT123</f>
        <v>99</v>
      </c>
      <c r="H428" s="83"/>
      <c r="I428" s="84"/>
      <c r="J428" s="85">
        <f>SUM(AC418:AC430)</f>
        <v>18.41</v>
      </c>
      <c r="K428" s="84"/>
      <c r="L428" s="86">
        <f>SUM(AD418:AD430)</f>
        <v>446</v>
      </c>
    </row>
    <row r="429" spans="1:56" ht="14.4">
      <c r="A429" s="114"/>
      <c r="B429" s="113" t="s">
        <v>1438</v>
      </c>
      <c r="C429" s="113" t="s">
        <v>1439</v>
      </c>
      <c r="D429" s="89" t="s">
        <v>1383</v>
      </c>
      <c r="E429" s="90">
        <f>Source!CA123</f>
        <v>69</v>
      </c>
      <c r="F429" s="90">
        <f>ROUND(0.85,7)</f>
        <v>0.85</v>
      </c>
      <c r="G429" s="90">
        <f>Source!AU123</f>
        <v>58.65</v>
      </c>
      <c r="H429" s="91"/>
      <c r="I429" s="92"/>
      <c r="J429" s="93">
        <f>SUM(AE418:AE430)</f>
        <v>10.91</v>
      </c>
      <c r="K429" s="92"/>
      <c r="L429" s="94">
        <f>SUM(AF418:AF430)</f>
        <v>265</v>
      </c>
    </row>
    <row r="430" spans="1:56" ht="13.8">
      <c r="C430" s="95" t="s">
        <v>1386</v>
      </c>
      <c r="D430" s="95"/>
      <c r="E430" s="95"/>
      <c r="F430" s="95"/>
      <c r="G430" s="95"/>
      <c r="H430" s="95"/>
      <c r="I430" s="95">
        <f>J420+J421+J423+J428+J429</f>
        <v>226.88</v>
      </c>
      <c r="J430" s="95"/>
      <c r="O430" s="69">
        <f>I430</f>
        <v>226.88</v>
      </c>
      <c r="P430">
        <f>K430</f>
        <v>0</v>
      </c>
      <c r="Q430" s="69">
        <f>J420</f>
        <v>17</v>
      </c>
      <c r="R430" s="69">
        <f>J420</f>
        <v>17</v>
      </c>
      <c r="U430" s="70">
        <f>L420</f>
        <v>412</v>
      </c>
      <c r="V430" s="69">
        <f>J422</f>
        <v>1.6</v>
      </c>
      <c r="W430" s="70">
        <f>L422</f>
        <v>39</v>
      </c>
      <c r="X430" s="69">
        <f>J421</f>
        <v>10.53</v>
      </c>
      <c r="Z430" s="70">
        <f>L421</f>
        <v>0</v>
      </c>
      <c r="AB430" s="69">
        <f>J423</f>
        <v>170.03</v>
      </c>
      <c r="AN430">
        <f>IF(Source!BI123&lt;=1,J420+J421+J423+J428+J429, 0)</f>
        <v>226.88</v>
      </c>
      <c r="AO430">
        <f>IF(Source!BI123&lt;=1,J423, 0)</f>
        <v>170.03</v>
      </c>
      <c r="AP430">
        <f>IF(Source!BI123&lt;=1,J421, 0)</f>
        <v>10.53</v>
      </c>
      <c r="AQ430">
        <f>IF(Source!BI123&lt;=1,J420, 0)</f>
        <v>17</v>
      </c>
      <c r="AX430">
        <f>IF(Source!BI123=2,J420+J421+J423+J428+J429, 0)</f>
        <v>0</v>
      </c>
      <c r="AY430">
        <f>IF(Source!BI123=2,J423, 0)</f>
        <v>0</v>
      </c>
      <c r="AZ430">
        <f>IF(Source!BI123=2,J421, 0)</f>
        <v>0</v>
      </c>
      <c r="BA430">
        <f>IF(Source!BI123=2,J420, 0)</f>
        <v>0</v>
      </c>
    </row>
    <row r="431" spans="1:56" ht="27.6">
      <c r="A431" s="110" t="str">
        <f>Source!E124</f>
        <v>56</v>
      </c>
      <c r="B431" s="111" t="str">
        <f>Source!F124</f>
        <v>404-0025</v>
      </c>
      <c r="C431" s="111" t="str">
        <f>Source!G124</f>
        <v>Камни керамические одинарные, размером 250х120х140 мм, марка 100</v>
      </c>
      <c r="D431" s="81" t="str">
        <f>Source!H124</f>
        <v>1000 шт.</v>
      </c>
      <c r="E431" s="82">
        <f>Source!K124</f>
        <v>-6.8250000000000005E-2</v>
      </c>
      <c r="F431" s="82"/>
      <c r="G431" s="82">
        <f>Source!I124</f>
        <v>-6.8250000000000005E-2</v>
      </c>
      <c r="H431" s="83">
        <f>Source!AL124</f>
        <v>2033</v>
      </c>
      <c r="I431" s="84"/>
      <c r="J431" s="85">
        <f>ROUND(Source!AC124*Source!I124, 2)</f>
        <v>-138.75</v>
      </c>
      <c r="K431" s="84"/>
      <c r="L431" s="86"/>
      <c r="AC431">
        <f>Source!X124</f>
        <v>0</v>
      </c>
      <c r="AD431">
        <f>Source!HK124</f>
        <v>0</v>
      </c>
      <c r="AE431">
        <f>Source!Y124</f>
        <v>0</v>
      </c>
      <c r="AF431">
        <f>Source!HL124</f>
        <v>0</v>
      </c>
      <c r="AS431">
        <f>IF(Source!BI124&lt;=1,AD431, 0)</f>
        <v>0</v>
      </c>
      <c r="AT431">
        <f>IF(Source!BI124&lt;=1,AF431, 0)</f>
        <v>0</v>
      </c>
      <c r="BC431">
        <f>IF(Source!BI124=2,AD431, 0)</f>
        <v>0</v>
      </c>
      <c r="BD431">
        <f>IF(Source!BI124=2,AF431, 0)</f>
        <v>0</v>
      </c>
    </row>
    <row r="433" spans="1:56">
      <c r="A433" s="71"/>
      <c r="B433" s="71"/>
      <c r="C433" s="72" t="str">
        <f>"Объем: "&amp;Source!K124&amp;"="&amp;Source!I123&amp;"*"&amp;"-"&amp;"0,195"</f>
        <v>Объем: -0,06825=0,35*-0,195</v>
      </c>
      <c r="D433" s="71"/>
      <c r="E433" s="71"/>
      <c r="F433" s="71"/>
      <c r="G433" s="71"/>
      <c r="H433" s="71"/>
      <c r="I433" s="71"/>
      <c r="J433" s="71"/>
      <c r="K433" s="71"/>
      <c r="L433" s="71"/>
    </row>
    <row r="434" spans="1:56" ht="13.8">
      <c r="C434" s="95" t="s">
        <v>1386</v>
      </c>
      <c r="D434" s="95"/>
      <c r="E434" s="95"/>
      <c r="F434" s="95"/>
      <c r="G434" s="95"/>
      <c r="H434" s="95"/>
      <c r="I434" s="95">
        <f>J431</f>
        <v>-138.75</v>
      </c>
      <c r="J434" s="95"/>
      <c r="O434" s="69">
        <f>I434</f>
        <v>-138.75</v>
      </c>
      <c r="P434">
        <f>K434</f>
        <v>0</v>
      </c>
      <c r="Q434">
        <f>0</f>
        <v>0</v>
      </c>
      <c r="R434">
        <f>0</f>
        <v>0</v>
      </c>
      <c r="U434">
        <f>0</f>
        <v>0</v>
      </c>
      <c r="V434">
        <f>0</f>
        <v>0</v>
      </c>
      <c r="W434">
        <f>0</f>
        <v>0</v>
      </c>
      <c r="X434">
        <f>0</f>
        <v>0</v>
      </c>
      <c r="Z434">
        <f>0</f>
        <v>0</v>
      </c>
      <c r="AB434" s="69">
        <f>I434</f>
        <v>-138.75</v>
      </c>
      <c r="AN434">
        <f>IF(Source!BI124&lt;=1,J431, 0)</f>
        <v>-138.75</v>
      </c>
      <c r="AO434">
        <f>IF(Source!BI124&lt;=1,I434, 0)</f>
        <v>-138.75</v>
      </c>
      <c r="AP434">
        <f>IF(Source!BI124&lt;=1,0, 0)</f>
        <v>0</v>
      </c>
      <c r="AQ434">
        <f>IF(Source!BI124&lt;=1,0, 0)</f>
        <v>0</v>
      </c>
      <c r="AX434">
        <f>IF(Source!BI124=2,J431, 0)</f>
        <v>0</v>
      </c>
      <c r="AY434">
        <f>IF(Source!BI124=2,I434, 0)</f>
        <v>0</v>
      </c>
      <c r="AZ434">
        <f>IF(Source!BI124=2,0, 0)</f>
        <v>0</v>
      </c>
      <c r="BA434">
        <f>IF(Source!BI124=2,0, 0)</f>
        <v>0</v>
      </c>
    </row>
    <row r="435" spans="1:56" ht="27.6">
      <c r="A435" s="110" t="str">
        <f>Source!E125</f>
        <v>57</v>
      </c>
      <c r="B435" s="111" t="str">
        <f>Source!F125</f>
        <v>412-0054</v>
      </c>
      <c r="C435" s="111" t="str">
        <f>Source!G125</f>
        <v>Блоки известняковые массой до 0,5 т / прим.</v>
      </c>
      <c r="D435" s="81" t="str">
        <f>Source!H125</f>
        <v>м3</v>
      </c>
      <c r="E435" s="82">
        <f>Source!K125</f>
        <v>0.35</v>
      </c>
      <c r="F435" s="82"/>
      <c r="G435" s="82">
        <f>Source!I125</f>
        <v>0.35</v>
      </c>
      <c r="H435" s="83">
        <f>Source!AL125</f>
        <v>1507.71</v>
      </c>
      <c r="I435" s="84"/>
      <c r="J435" s="85">
        <f>ROUND(Source!AC125*Source!I125, 2)</f>
        <v>527.70000000000005</v>
      </c>
      <c r="K435" s="84"/>
      <c r="L435" s="86"/>
      <c r="AC435">
        <f>Source!X125</f>
        <v>0</v>
      </c>
      <c r="AD435">
        <f>Source!HK125</f>
        <v>0</v>
      </c>
      <c r="AE435">
        <f>Source!Y125</f>
        <v>0</v>
      </c>
      <c r="AF435">
        <f>Source!HL125</f>
        <v>0</v>
      </c>
      <c r="AS435">
        <f>IF(Source!BI125&lt;=1,AD435, 0)</f>
        <v>0</v>
      </c>
      <c r="AT435">
        <f>IF(Source!BI125&lt;=1,AF435, 0)</f>
        <v>0</v>
      </c>
      <c r="BC435">
        <f>IF(Source!BI125=2,AD435, 0)</f>
        <v>0</v>
      </c>
      <c r="BD435">
        <f>IF(Source!BI125=2,AF435, 0)</f>
        <v>0</v>
      </c>
    </row>
    <row r="436" spans="1:56">
      <c r="A436" s="71"/>
      <c r="B436" s="71"/>
      <c r="C436" s="71"/>
      <c r="D436" s="71"/>
      <c r="E436" s="71"/>
      <c r="F436" s="71"/>
      <c r="G436" s="71"/>
      <c r="H436" s="71"/>
      <c r="I436" s="71"/>
      <c r="J436" s="71"/>
      <c r="K436" s="71"/>
      <c r="L436" s="71"/>
    </row>
    <row r="437" spans="1:56" ht="13.8">
      <c r="C437" s="95" t="s">
        <v>1386</v>
      </c>
      <c r="D437" s="95"/>
      <c r="E437" s="95"/>
      <c r="F437" s="95"/>
      <c r="G437" s="95"/>
      <c r="H437" s="95"/>
      <c r="I437" s="95">
        <f>J435</f>
        <v>527.70000000000005</v>
      </c>
      <c r="J437" s="95"/>
      <c r="O437" s="69">
        <f>I437</f>
        <v>527.70000000000005</v>
      </c>
      <c r="P437">
        <f>K437</f>
        <v>0</v>
      </c>
      <c r="Q437">
        <f>0</f>
        <v>0</v>
      </c>
      <c r="R437">
        <f>0</f>
        <v>0</v>
      </c>
      <c r="U437">
        <f>0</f>
        <v>0</v>
      </c>
      <c r="V437">
        <f>0</f>
        <v>0</v>
      </c>
      <c r="W437">
        <f>0</f>
        <v>0</v>
      </c>
      <c r="X437">
        <f>0</f>
        <v>0</v>
      </c>
      <c r="Z437">
        <f>0</f>
        <v>0</v>
      </c>
      <c r="AB437" s="69">
        <f>I437</f>
        <v>527.70000000000005</v>
      </c>
      <c r="AN437">
        <f>IF(Source!BI125&lt;=1,J435, 0)</f>
        <v>527.70000000000005</v>
      </c>
      <c r="AO437">
        <f>IF(Source!BI125&lt;=1,I437, 0)</f>
        <v>527.70000000000005</v>
      </c>
      <c r="AP437">
        <f>IF(Source!BI125&lt;=1,0, 0)</f>
        <v>0</v>
      </c>
      <c r="AQ437">
        <f>IF(Source!BI125&lt;=1,0, 0)</f>
        <v>0</v>
      </c>
      <c r="AX437">
        <f>IF(Source!BI125=2,J435, 0)</f>
        <v>0</v>
      </c>
      <c r="AY437">
        <f>IF(Source!BI125=2,I437, 0)</f>
        <v>0</v>
      </c>
      <c r="AZ437">
        <f>IF(Source!BI125=2,0, 0)</f>
        <v>0</v>
      </c>
      <c r="BA437">
        <f>IF(Source!BI125=2,0, 0)</f>
        <v>0</v>
      </c>
    </row>
    <row r="438" spans="1:56" ht="106.8">
      <c r="A438" s="110" t="str">
        <f>Source!E126</f>
        <v>58</v>
      </c>
      <c r="B438" s="111" t="str">
        <f>Source!F126</f>
        <v>53-23-1</v>
      </c>
      <c r="C438" s="111" t="s">
        <v>1446</v>
      </c>
      <c r="D438" s="81" t="str">
        <f>Source!H126</f>
        <v>1 м карниза</v>
      </c>
      <c r="E438" s="82">
        <f>Source!K126</f>
        <v>10.199999999999999</v>
      </c>
      <c r="F438" s="82"/>
      <c r="G438" s="82">
        <f>Source!I126</f>
        <v>10.199999999999999</v>
      </c>
      <c r="H438" s="83"/>
      <c r="I438" s="84"/>
      <c r="J438" s="85"/>
      <c r="K438" s="84"/>
      <c r="L438" s="86"/>
      <c r="AC438">
        <f>Source!X126</f>
        <v>307.77</v>
      </c>
      <c r="AD438">
        <f>Source!HK126</f>
        <v>7455</v>
      </c>
      <c r="AE438">
        <f>Source!Y126</f>
        <v>173.96</v>
      </c>
      <c r="AF438">
        <f>Source!HL126</f>
        <v>4214</v>
      </c>
      <c r="AS438">
        <f>IF(Source!BI126&lt;=1,AD438, 0)</f>
        <v>7455</v>
      </c>
      <c r="AT438">
        <f>IF(Source!BI126&lt;=1,AF438, 0)</f>
        <v>4214</v>
      </c>
      <c r="BC438">
        <f>IF(Source!BI126=2,AD438, 0)</f>
        <v>0</v>
      </c>
      <c r="BD438">
        <f>IF(Source!BI126=2,AF438, 0)</f>
        <v>0</v>
      </c>
    </row>
    <row r="440" spans="1:56" ht="14.4">
      <c r="A440" s="110"/>
      <c r="B440" s="112">
        <v>1</v>
      </c>
      <c r="C440" s="111" t="s">
        <v>1373</v>
      </c>
      <c r="D440" s="81"/>
      <c r="E440" s="82"/>
      <c r="F440" s="82"/>
      <c r="G440" s="82"/>
      <c r="H440" s="83">
        <f>Source!AO126</f>
        <v>28.39</v>
      </c>
      <c r="I440" s="84">
        <f>ROUND(1.15,7)</f>
        <v>1.1499999999999999</v>
      </c>
      <c r="J440" s="85">
        <f>ROUND(Source!AF126*Source!I126, 2)</f>
        <v>333.01</v>
      </c>
      <c r="K440" s="84">
        <f>IF(Source!BA126&lt;&gt; 0, Source!BA126, 1)</f>
        <v>24.22</v>
      </c>
      <c r="L440" s="86">
        <f>Source!HJ126</f>
        <v>8066</v>
      </c>
    </row>
    <row r="441" spans="1:56" ht="14.4">
      <c r="A441" s="110"/>
      <c r="B441" s="112">
        <v>3</v>
      </c>
      <c r="C441" s="111" t="s">
        <v>1374</v>
      </c>
      <c r="D441" s="81"/>
      <c r="E441" s="82"/>
      <c r="F441" s="82"/>
      <c r="G441" s="82"/>
      <c r="H441" s="83">
        <f>Source!AM126</f>
        <v>0.9</v>
      </c>
      <c r="I441" s="84">
        <f>ROUND(1.15,7)</f>
        <v>1.1499999999999999</v>
      </c>
      <c r="J441" s="85">
        <f>ROUND(Source!AD126*Source!I126, 2)</f>
        <v>10.56</v>
      </c>
      <c r="K441" s="84"/>
      <c r="L441" s="86"/>
    </row>
    <row r="442" spans="1:56" ht="14.4">
      <c r="A442" s="110"/>
      <c r="B442" s="112">
        <v>2</v>
      </c>
      <c r="C442" s="111" t="s">
        <v>1375</v>
      </c>
      <c r="D442" s="81"/>
      <c r="E442" s="82"/>
      <c r="F442" s="82"/>
      <c r="G442" s="82"/>
      <c r="H442" s="83">
        <f>Source!AN126</f>
        <v>0.13</v>
      </c>
      <c r="I442" s="84">
        <f>ROUND(1.15,7)</f>
        <v>1.1499999999999999</v>
      </c>
      <c r="J442" s="87">
        <f>ROUND(Source!AE126*Source!I126, 2)</f>
        <v>1.52</v>
      </c>
      <c r="K442" s="84">
        <f>IF(Source!BS126&lt;&gt; 0, Source!BS126, 1)</f>
        <v>24.22</v>
      </c>
      <c r="L442" s="88">
        <f>Source!HI126</f>
        <v>37</v>
      </c>
    </row>
    <row r="443" spans="1:56" ht="14.4">
      <c r="A443" s="110"/>
      <c r="B443" s="112">
        <v>4</v>
      </c>
      <c r="C443" s="111" t="s">
        <v>1408</v>
      </c>
      <c r="D443" s="81"/>
      <c r="E443" s="82"/>
      <c r="F443" s="82"/>
      <c r="G443" s="82"/>
      <c r="H443" s="83">
        <f>Source!AL126</f>
        <v>81.23</v>
      </c>
      <c r="I443" s="84"/>
      <c r="J443" s="85">
        <f>ROUND(Source!AC126*Source!I126, 2)</f>
        <v>828.55</v>
      </c>
      <c r="K443" s="84"/>
      <c r="L443" s="86"/>
    </row>
    <row r="444" spans="1:56" ht="14.4">
      <c r="A444" s="110"/>
      <c r="B444" s="111"/>
      <c r="C444" s="111" t="s">
        <v>1376</v>
      </c>
      <c r="D444" s="81" t="s">
        <v>1377</v>
      </c>
      <c r="E444" s="82">
        <f>Source!AQ126</f>
        <v>3.45</v>
      </c>
      <c r="F444" s="82">
        <f>ROUND(1.15,7)</f>
        <v>1.1499999999999999</v>
      </c>
      <c r="G444" s="82">
        <f>ROUND(Source!U126, 7)</f>
        <v>40.468499999999999</v>
      </c>
      <c r="H444" s="83"/>
      <c r="I444" s="84"/>
      <c r="J444" s="85"/>
      <c r="K444" s="84"/>
      <c r="L444" s="86"/>
    </row>
    <row r="445" spans="1:56" ht="14.4">
      <c r="A445" s="110"/>
      <c r="B445" s="111"/>
      <c r="C445" s="113" t="s">
        <v>1378</v>
      </c>
      <c r="D445" s="89" t="s">
        <v>1377</v>
      </c>
      <c r="E445" s="90">
        <f>Source!AR126</f>
        <v>0.01</v>
      </c>
      <c r="F445" s="90">
        <f>ROUND(1.15,7)</f>
        <v>1.1499999999999999</v>
      </c>
      <c r="G445" s="90">
        <f>ROUND(Source!V126, 7)</f>
        <v>0.1173</v>
      </c>
      <c r="H445" s="91"/>
      <c r="I445" s="92"/>
      <c r="J445" s="93"/>
      <c r="K445" s="92"/>
      <c r="L445" s="94"/>
    </row>
    <row r="446" spans="1:56" ht="14.4">
      <c r="A446" s="110"/>
      <c r="B446" s="111"/>
      <c r="C446" s="111" t="s">
        <v>1379</v>
      </c>
      <c r="D446" s="81"/>
      <c r="E446" s="82"/>
      <c r="F446" s="82"/>
      <c r="G446" s="82"/>
      <c r="H446" s="83">
        <f>H440+H441+H443</f>
        <v>110.52000000000001</v>
      </c>
      <c r="I446" s="84"/>
      <c r="J446" s="85">
        <f>J440+J441+J443</f>
        <v>1172.1199999999999</v>
      </c>
      <c r="K446" s="84"/>
      <c r="L446" s="86"/>
    </row>
    <row r="447" spans="1:56" ht="14.4">
      <c r="A447" s="110"/>
      <c r="B447" s="111"/>
      <c r="C447" s="111" t="s">
        <v>1380</v>
      </c>
      <c r="D447" s="81"/>
      <c r="E447" s="82"/>
      <c r="F447" s="82"/>
      <c r="G447" s="82"/>
      <c r="H447" s="83"/>
      <c r="I447" s="84"/>
      <c r="J447" s="85">
        <f>SUM(Q438:Q450)+SUM(V438:V450)</f>
        <v>334.53</v>
      </c>
      <c r="K447" s="84"/>
      <c r="L447" s="86">
        <f>SUM(U438:U450)+SUM(W438:W450)</f>
        <v>8103</v>
      </c>
    </row>
    <row r="448" spans="1:56" ht="14.4">
      <c r="A448" s="110"/>
      <c r="B448" s="111" t="s">
        <v>1419</v>
      </c>
      <c r="C448" s="111" t="s">
        <v>1420</v>
      </c>
      <c r="D448" s="81" t="s">
        <v>1383</v>
      </c>
      <c r="E448" s="82">
        <f>Source!BZ126</f>
        <v>92</v>
      </c>
      <c r="F448" s="82"/>
      <c r="G448" s="82">
        <f>Source!AT126</f>
        <v>92</v>
      </c>
      <c r="H448" s="83"/>
      <c r="I448" s="84"/>
      <c r="J448" s="85">
        <f>SUM(AC438:AC450)</f>
        <v>307.77</v>
      </c>
      <c r="K448" s="84"/>
      <c r="L448" s="86">
        <f>SUM(AD438:AD450)</f>
        <v>7455</v>
      </c>
    </row>
    <row r="449" spans="1:56" ht="14.4">
      <c r="A449" s="114"/>
      <c r="B449" s="113" t="s">
        <v>1421</v>
      </c>
      <c r="C449" s="113" t="s">
        <v>1422</v>
      </c>
      <c r="D449" s="89" t="s">
        <v>1383</v>
      </c>
      <c r="E449" s="90">
        <f>Source!CA126</f>
        <v>52</v>
      </c>
      <c r="F449" s="90"/>
      <c r="G449" s="90">
        <f>Source!AU126</f>
        <v>52</v>
      </c>
      <c r="H449" s="91"/>
      <c r="I449" s="92"/>
      <c r="J449" s="93">
        <f>SUM(AE438:AE450)</f>
        <v>173.96</v>
      </c>
      <c r="K449" s="92"/>
      <c r="L449" s="94">
        <f>SUM(AF438:AF450)</f>
        <v>4214</v>
      </c>
    </row>
    <row r="450" spans="1:56" ht="13.8">
      <c r="C450" s="95" t="s">
        <v>1386</v>
      </c>
      <c r="D450" s="95"/>
      <c r="E450" s="95"/>
      <c r="F450" s="95"/>
      <c r="G450" s="95"/>
      <c r="H450" s="95"/>
      <c r="I450" s="95">
        <f>J440+J441+J443+J448+J449</f>
        <v>1653.85</v>
      </c>
      <c r="J450" s="95"/>
      <c r="O450" s="69">
        <f>I450</f>
        <v>1653.85</v>
      </c>
      <c r="P450">
        <f>K450</f>
        <v>0</v>
      </c>
      <c r="Q450" s="69">
        <f>J440</f>
        <v>333.01</v>
      </c>
      <c r="R450" s="69">
        <f>J440</f>
        <v>333.01</v>
      </c>
      <c r="U450" s="70">
        <f>L440</f>
        <v>8066</v>
      </c>
      <c r="V450" s="69">
        <f>J442</f>
        <v>1.52</v>
      </c>
      <c r="W450" s="70">
        <f>L442</f>
        <v>37</v>
      </c>
      <c r="X450" s="69">
        <f>J441</f>
        <v>10.56</v>
      </c>
      <c r="Z450" s="70">
        <f>L441</f>
        <v>0</v>
      </c>
      <c r="AB450" s="69">
        <f>J443</f>
        <v>828.55</v>
      </c>
      <c r="AN450">
        <f>IF(Source!BI126&lt;=1,J440+J441+J443+J448+J449, 0)</f>
        <v>1653.85</v>
      </c>
      <c r="AO450">
        <f>IF(Source!BI126&lt;=1,J443, 0)</f>
        <v>828.55</v>
      </c>
      <c r="AP450">
        <f>IF(Source!BI126&lt;=1,J441, 0)</f>
        <v>10.56</v>
      </c>
      <c r="AQ450">
        <f>IF(Source!BI126&lt;=1,J440, 0)</f>
        <v>333.01</v>
      </c>
      <c r="AX450">
        <f>IF(Source!BI126=2,J440+J441+J443+J448+J449, 0)</f>
        <v>0</v>
      </c>
      <c r="AY450">
        <f>IF(Source!BI126=2,J443, 0)</f>
        <v>0</v>
      </c>
      <c r="AZ450">
        <f>IF(Source!BI126=2,J441, 0)</f>
        <v>0</v>
      </c>
      <c r="BA450">
        <f>IF(Source!BI126=2,J440, 0)</f>
        <v>0</v>
      </c>
    </row>
    <row r="451" spans="1:56" ht="27.6">
      <c r="A451" s="110" t="str">
        <f>Source!E127</f>
        <v>59</v>
      </c>
      <c r="B451" s="111" t="str">
        <f>Source!F127</f>
        <v>404-0005</v>
      </c>
      <c r="C451" s="111" t="str">
        <f>Source!G127</f>
        <v>Кирпич керамический одинарный, размером 250х120х65 мм, марка 100</v>
      </c>
      <c r="D451" s="81" t="str">
        <f>Source!H127</f>
        <v>1000 шт.</v>
      </c>
      <c r="E451" s="82">
        <f>Source!K127</f>
        <v>-0.40799999999999997</v>
      </c>
      <c r="F451" s="82"/>
      <c r="G451" s="82">
        <f>Source!I127</f>
        <v>-0.40799999999999997</v>
      </c>
      <c r="H451" s="83">
        <f>Source!AL127</f>
        <v>1662.7</v>
      </c>
      <c r="I451" s="84"/>
      <c r="J451" s="85">
        <f>ROUND(Source!AC127*Source!I127, 2)</f>
        <v>-678.38</v>
      </c>
      <c r="K451" s="84"/>
      <c r="L451" s="86"/>
      <c r="AC451">
        <f>Source!X127</f>
        <v>0</v>
      </c>
      <c r="AD451">
        <f>Source!HK127</f>
        <v>0</v>
      </c>
      <c r="AE451">
        <f>Source!Y127</f>
        <v>0</v>
      </c>
      <c r="AF451">
        <f>Source!HL127</f>
        <v>0</v>
      </c>
      <c r="AS451">
        <f>IF(Source!BI127&lt;=1,AD451, 0)</f>
        <v>0</v>
      </c>
      <c r="AT451">
        <f>IF(Source!BI127&lt;=1,AF451, 0)</f>
        <v>0</v>
      </c>
      <c r="BC451">
        <f>IF(Source!BI127=2,AD451, 0)</f>
        <v>0</v>
      </c>
      <c r="BD451">
        <f>IF(Source!BI127=2,AF451, 0)</f>
        <v>0</v>
      </c>
    </row>
    <row r="453" spans="1:56">
      <c r="A453" s="71"/>
      <c r="B453" s="71"/>
      <c r="C453" s="72" t="str">
        <f>"Объем: "&amp;Source!K127&amp;"="&amp;Source!I126&amp;"*"&amp;"-"&amp;"0,04"</f>
        <v>Объем: -0,408=10,2*-0,04</v>
      </c>
      <c r="D453" s="71"/>
      <c r="E453" s="71"/>
      <c r="F453" s="71"/>
      <c r="G453" s="71"/>
      <c r="H453" s="71"/>
      <c r="I453" s="71"/>
      <c r="J453" s="71"/>
      <c r="K453" s="71"/>
      <c r="L453" s="71"/>
    </row>
    <row r="454" spans="1:56" ht="13.8">
      <c r="C454" s="95" t="s">
        <v>1386</v>
      </c>
      <c r="D454" s="95"/>
      <c r="E454" s="95"/>
      <c r="F454" s="95"/>
      <c r="G454" s="95"/>
      <c r="H454" s="95"/>
      <c r="I454" s="95">
        <f>J451</f>
        <v>-678.38</v>
      </c>
      <c r="J454" s="95"/>
      <c r="O454" s="69">
        <f>I454</f>
        <v>-678.38</v>
      </c>
      <c r="P454">
        <f>K454</f>
        <v>0</v>
      </c>
      <c r="Q454">
        <f>0</f>
        <v>0</v>
      </c>
      <c r="R454">
        <f>0</f>
        <v>0</v>
      </c>
      <c r="U454">
        <f>0</f>
        <v>0</v>
      </c>
      <c r="V454">
        <f>0</f>
        <v>0</v>
      </c>
      <c r="W454">
        <f>0</f>
        <v>0</v>
      </c>
      <c r="X454">
        <f>0</f>
        <v>0</v>
      </c>
      <c r="Z454">
        <f>0</f>
        <v>0</v>
      </c>
      <c r="AB454" s="69">
        <f>I454</f>
        <v>-678.38</v>
      </c>
      <c r="AN454">
        <f>IF(Source!BI127&lt;=1,J451, 0)</f>
        <v>-678.38</v>
      </c>
      <c r="AO454">
        <f>IF(Source!BI127&lt;=1,I454, 0)</f>
        <v>-678.38</v>
      </c>
      <c r="AP454">
        <f>IF(Source!BI127&lt;=1,0, 0)</f>
        <v>0</v>
      </c>
      <c r="AQ454">
        <f>IF(Source!BI127&lt;=1,0, 0)</f>
        <v>0</v>
      </c>
      <c r="AX454">
        <f>IF(Source!BI127=2,J451, 0)</f>
        <v>0</v>
      </c>
      <c r="AY454">
        <f>IF(Source!BI127=2,I454, 0)</f>
        <v>0</v>
      </c>
      <c r="AZ454">
        <f>IF(Source!BI127=2,0, 0)</f>
        <v>0</v>
      </c>
      <c r="BA454">
        <f>IF(Source!BI127=2,0, 0)</f>
        <v>0</v>
      </c>
    </row>
    <row r="455" spans="1:56" ht="27.6">
      <c r="A455" s="110" t="str">
        <f>Source!E128</f>
        <v>60</v>
      </c>
      <c r="B455" s="111" t="str">
        <f>Source!F128</f>
        <v>404-0007</v>
      </c>
      <c r="C455" s="111" t="str">
        <f>Source!G128</f>
        <v>Кирпич керамический одинарный, размером 250х120х65 мм, марка 150</v>
      </c>
      <c r="D455" s="81" t="str">
        <f>Source!H128</f>
        <v>1000 шт.</v>
      </c>
      <c r="E455" s="82">
        <f>Source!K128</f>
        <v>0.40799999999999997</v>
      </c>
      <c r="F455" s="82"/>
      <c r="G455" s="82">
        <f>Source!I128</f>
        <v>0.40799999999999997</v>
      </c>
      <c r="H455" s="83">
        <f>Source!AL128</f>
        <v>1912.53</v>
      </c>
      <c r="I455" s="84"/>
      <c r="J455" s="85">
        <f>ROUND(Source!AC128*Source!I128, 2)</f>
        <v>780.31</v>
      </c>
      <c r="K455" s="84"/>
      <c r="L455" s="86"/>
      <c r="AC455">
        <f>Source!X128</f>
        <v>0</v>
      </c>
      <c r="AD455">
        <f>Source!HK128</f>
        <v>0</v>
      </c>
      <c r="AE455">
        <f>Source!Y128</f>
        <v>0</v>
      </c>
      <c r="AF455">
        <f>Source!HL128</f>
        <v>0</v>
      </c>
      <c r="AS455">
        <f>IF(Source!BI128&lt;=1,AD455, 0)</f>
        <v>0</v>
      </c>
      <c r="AT455">
        <f>IF(Source!BI128&lt;=1,AF455, 0)</f>
        <v>0</v>
      </c>
      <c r="BC455">
        <f>IF(Source!BI128=2,AD455, 0)</f>
        <v>0</v>
      </c>
      <c r="BD455">
        <f>IF(Source!BI128=2,AF455, 0)</f>
        <v>0</v>
      </c>
    </row>
    <row r="457" spans="1:56">
      <c r="A457" s="71"/>
      <c r="B457" s="71"/>
      <c r="C457" s="72" t="str">
        <f>"Объем: "&amp;Source!K128&amp;"=(408)/"&amp;"1000"</f>
        <v>Объем: 0,408=(408)/1000</v>
      </c>
      <c r="D457" s="71"/>
      <c r="E457" s="71"/>
      <c r="F457" s="71"/>
      <c r="G457" s="71"/>
      <c r="H457" s="71"/>
      <c r="I457" s="71"/>
      <c r="J457" s="71"/>
      <c r="K457" s="71"/>
      <c r="L457" s="71"/>
    </row>
    <row r="458" spans="1:56" ht="13.8">
      <c r="C458" s="95" t="s">
        <v>1386</v>
      </c>
      <c r="D458" s="95"/>
      <c r="E458" s="95"/>
      <c r="F458" s="95"/>
      <c r="G458" s="95"/>
      <c r="H458" s="95"/>
      <c r="I458" s="95">
        <f>J455</f>
        <v>780.31</v>
      </c>
      <c r="J458" s="95"/>
      <c r="O458" s="69">
        <f>I458</f>
        <v>780.31</v>
      </c>
      <c r="P458">
        <f>K458</f>
        <v>0</v>
      </c>
      <c r="Q458">
        <f>0</f>
        <v>0</v>
      </c>
      <c r="R458">
        <f>0</f>
        <v>0</v>
      </c>
      <c r="U458">
        <f>0</f>
        <v>0</v>
      </c>
      <c r="V458">
        <f>0</f>
        <v>0</v>
      </c>
      <c r="W458">
        <f>0</f>
        <v>0</v>
      </c>
      <c r="X458">
        <f>0</f>
        <v>0</v>
      </c>
      <c r="Z458">
        <f>0</f>
        <v>0</v>
      </c>
      <c r="AB458" s="69">
        <f>I458</f>
        <v>780.31</v>
      </c>
      <c r="AN458">
        <f>IF(Source!BI128&lt;=1,J455, 0)</f>
        <v>780.31</v>
      </c>
      <c r="AO458">
        <f>IF(Source!BI128&lt;=1,I458, 0)</f>
        <v>780.31</v>
      </c>
      <c r="AP458">
        <f>IF(Source!BI128&lt;=1,0, 0)</f>
        <v>0</v>
      </c>
      <c r="AQ458">
        <f>IF(Source!BI128&lt;=1,0, 0)</f>
        <v>0</v>
      </c>
      <c r="AX458">
        <f>IF(Source!BI128=2,J455, 0)</f>
        <v>0</v>
      </c>
      <c r="AY458">
        <f>IF(Source!BI128=2,I458, 0)</f>
        <v>0</v>
      </c>
      <c r="AZ458">
        <f>IF(Source!BI128=2,0, 0)</f>
        <v>0</v>
      </c>
      <c r="BA458">
        <f>IF(Source!BI128=2,0, 0)</f>
        <v>0</v>
      </c>
    </row>
    <row r="459" spans="1:56" ht="174.6">
      <c r="A459" s="110" t="str">
        <f>Source!E129</f>
        <v>61</v>
      </c>
      <c r="B459" s="111" t="str">
        <f>Source!F129</f>
        <v>10-01-027-3</v>
      </c>
      <c r="C459" s="111" t="s">
        <v>1447</v>
      </c>
      <c r="D459" s="81" t="str">
        <f>Source!H129</f>
        <v>100 м2 проемов</v>
      </c>
      <c r="E459" s="82">
        <f>Source!K129</f>
        <v>3.4000000000000002E-2</v>
      </c>
      <c r="F459" s="82"/>
      <c r="G459" s="82">
        <f>Source!I129</f>
        <v>3.4000000000000002E-2</v>
      </c>
      <c r="H459" s="83"/>
      <c r="I459" s="84"/>
      <c r="J459" s="85"/>
      <c r="K459" s="84"/>
      <c r="L459" s="86"/>
      <c r="AC459">
        <f>Source!X129</f>
        <v>105.88</v>
      </c>
      <c r="AD459">
        <f>Source!HK129</f>
        <v>2564</v>
      </c>
      <c r="AE459">
        <f>Source!Y129</f>
        <v>50.92</v>
      </c>
      <c r="AF459">
        <f>Source!HL129</f>
        <v>1233</v>
      </c>
      <c r="AS459">
        <f>IF(Source!BI129&lt;=1,AD459, 0)</f>
        <v>2564</v>
      </c>
      <c r="AT459">
        <f>IF(Source!BI129&lt;=1,AF459, 0)</f>
        <v>1233</v>
      </c>
      <c r="BC459">
        <f>IF(Source!BI129=2,AD459, 0)</f>
        <v>0</v>
      </c>
      <c r="BD459">
        <f>IF(Source!BI129=2,AF459, 0)</f>
        <v>0</v>
      </c>
    </row>
    <row r="461" spans="1:56">
      <c r="C461" s="67" t="str">
        <f>"Объем: "&amp;Source!K129&amp;"=3,4/"&amp;"100"</f>
        <v>Объем: 0,034=3,4/100</v>
      </c>
    </row>
    <row r="462" spans="1:56" ht="14.4">
      <c r="A462" s="110"/>
      <c r="B462" s="112">
        <v>1</v>
      </c>
      <c r="C462" s="111" t="s">
        <v>1373</v>
      </c>
      <c r="D462" s="81"/>
      <c r="E462" s="82"/>
      <c r="F462" s="82"/>
      <c r="G462" s="82"/>
      <c r="H462" s="83">
        <f>Source!AO129</f>
        <v>2310.64</v>
      </c>
      <c r="I462" s="84">
        <f>ROUND(1.15*1.15,7)</f>
        <v>1.3225</v>
      </c>
      <c r="J462" s="85">
        <f>ROUND(Source!AF129*Source!I129, 2)</f>
        <v>103.9</v>
      </c>
      <c r="K462" s="84">
        <f>IF(Source!BA129&lt;&gt; 0, Source!BA129, 1)</f>
        <v>24.22</v>
      </c>
      <c r="L462" s="86">
        <f>Source!HJ129</f>
        <v>2516</v>
      </c>
    </row>
    <row r="463" spans="1:56" ht="14.4">
      <c r="A463" s="110"/>
      <c r="B463" s="112">
        <v>3</v>
      </c>
      <c r="C463" s="111" t="s">
        <v>1374</v>
      </c>
      <c r="D463" s="81"/>
      <c r="E463" s="82"/>
      <c r="F463" s="82"/>
      <c r="G463" s="82"/>
      <c r="H463" s="83">
        <f>Source!AM129</f>
        <v>1113.28</v>
      </c>
      <c r="I463" s="84">
        <f>ROUND(1.25*1.15,7)</f>
        <v>1.4375</v>
      </c>
      <c r="J463" s="85">
        <f>ROUND(Source!AD129*Source!I129, 2)</f>
        <v>54.41</v>
      </c>
      <c r="K463" s="84"/>
      <c r="L463" s="86"/>
    </row>
    <row r="464" spans="1:56" ht="14.4">
      <c r="A464" s="110"/>
      <c r="B464" s="112">
        <v>2</v>
      </c>
      <c r="C464" s="111" t="s">
        <v>1375</v>
      </c>
      <c r="D464" s="81"/>
      <c r="E464" s="82"/>
      <c r="F464" s="82"/>
      <c r="G464" s="82"/>
      <c r="H464" s="83">
        <f>Source!AN129</f>
        <v>102.94</v>
      </c>
      <c r="I464" s="84">
        <f>ROUND(1.25*1.15,7)</f>
        <v>1.4375</v>
      </c>
      <c r="J464" s="87">
        <f>ROUND(Source!AE129*Source!I129, 2)</f>
        <v>5.03</v>
      </c>
      <c r="K464" s="84">
        <f>IF(Source!BS129&lt;&gt; 0, Source!BS129, 1)</f>
        <v>24.22</v>
      </c>
      <c r="L464" s="88">
        <f>Source!HI129</f>
        <v>122</v>
      </c>
    </row>
    <row r="465" spans="1:71" ht="14.4">
      <c r="A465" s="110"/>
      <c r="B465" s="112">
        <v>4</v>
      </c>
      <c r="C465" s="111" t="s">
        <v>1408</v>
      </c>
      <c r="D465" s="81"/>
      <c r="E465" s="82"/>
      <c r="F465" s="82"/>
      <c r="G465" s="82"/>
      <c r="H465" s="83">
        <f>Source!AL129</f>
        <v>46904.35</v>
      </c>
      <c r="I465" s="84"/>
      <c r="J465" s="85">
        <f>ROUND(Source!AC129*Source!I129, 2)</f>
        <v>1594.75</v>
      </c>
      <c r="K465" s="84"/>
      <c r="L465" s="86"/>
    </row>
    <row r="466" spans="1:71" ht="14.4">
      <c r="A466" s="110"/>
      <c r="B466" s="111"/>
      <c r="C466" s="111" t="s">
        <v>1376</v>
      </c>
      <c r="D466" s="81" t="s">
        <v>1377</v>
      </c>
      <c r="E466" s="82">
        <f>Source!AQ129</f>
        <v>270.25</v>
      </c>
      <c r="F466" s="82">
        <f>ROUND(1.15*1.15,7)</f>
        <v>1.3225</v>
      </c>
      <c r="G466" s="82">
        <f>ROUND(Source!U129, 7)</f>
        <v>12.151791299999999</v>
      </c>
      <c r="H466" s="83"/>
      <c r="I466" s="84"/>
      <c r="J466" s="85"/>
      <c r="K466" s="84"/>
      <c r="L466" s="86"/>
    </row>
    <row r="467" spans="1:71" ht="14.4">
      <c r="A467" s="110"/>
      <c r="B467" s="111"/>
      <c r="C467" s="113" t="s">
        <v>1378</v>
      </c>
      <c r="D467" s="89" t="s">
        <v>1377</v>
      </c>
      <c r="E467" s="90">
        <f>Source!AR129</f>
        <v>7.9</v>
      </c>
      <c r="F467" s="90">
        <f>ROUND(1.25*1.15,7)</f>
        <v>1.4375</v>
      </c>
      <c r="G467" s="90">
        <f>ROUND(Source!V129, 7)</f>
        <v>0.38611250000000003</v>
      </c>
      <c r="H467" s="91"/>
      <c r="I467" s="92"/>
      <c r="J467" s="93"/>
      <c r="K467" s="92"/>
      <c r="L467" s="94"/>
    </row>
    <row r="468" spans="1:71" ht="14.4">
      <c r="A468" s="110"/>
      <c r="B468" s="111"/>
      <c r="C468" s="111" t="s">
        <v>1379</v>
      </c>
      <c r="D468" s="81"/>
      <c r="E468" s="82"/>
      <c r="F468" s="82"/>
      <c r="G468" s="82"/>
      <c r="H468" s="83">
        <f>H462+H463+H465</f>
        <v>50328.27</v>
      </c>
      <c r="I468" s="84"/>
      <c r="J468" s="85">
        <f>J462+J463+J465</f>
        <v>1753.06</v>
      </c>
      <c r="K468" s="84"/>
      <c r="L468" s="86"/>
    </row>
    <row r="469" spans="1:71" ht="14.4">
      <c r="A469" s="110"/>
      <c r="B469" s="111"/>
      <c r="C469" s="111" t="s">
        <v>1380</v>
      </c>
      <c r="D469" s="81"/>
      <c r="E469" s="82"/>
      <c r="F469" s="82"/>
      <c r="G469" s="82"/>
      <c r="H469" s="83"/>
      <c r="I469" s="84"/>
      <c r="J469" s="85">
        <f>SUM(Q459:Q472)+SUM(V459:V472)</f>
        <v>108.93</v>
      </c>
      <c r="K469" s="84"/>
      <c r="L469" s="86">
        <f>SUM(U459:U472)+SUM(W459:W472)</f>
        <v>2638</v>
      </c>
    </row>
    <row r="470" spans="1:71" ht="14.4">
      <c r="A470" s="110"/>
      <c r="B470" s="111" t="s">
        <v>1381</v>
      </c>
      <c r="C470" s="111" t="s">
        <v>1382</v>
      </c>
      <c r="D470" s="81" t="s">
        <v>1383</v>
      </c>
      <c r="E470" s="82">
        <f>Source!BZ129</f>
        <v>108</v>
      </c>
      <c r="F470" s="82">
        <f>ROUND(0.9,7)</f>
        <v>0.9</v>
      </c>
      <c r="G470" s="82">
        <f>Source!AT129</f>
        <v>97.2</v>
      </c>
      <c r="H470" s="83"/>
      <c r="I470" s="84"/>
      <c r="J470" s="85">
        <f>SUM(AC459:AC472)</f>
        <v>105.88</v>
      </c>
      <c r="K470" s="84"/>
      <c r="L470" s="86">
        <f>SUM(AD459:AD472)</f>
        <v>2564</v>
      </c>
    </row>
    <row r="471" spans="1:71" ht="14.4">
      <c r="A471" s="114"/>
      <c r="B471" s="113" t="s">
        <v>1384</v>
      </c>
      <c r="C471" s="113" t="s">
        <v>1385</v>
      </c>
      <c r="D471" s="89" t="s">
        <v>1383</v>
      </c>
      <c r="E471" s="90">
        <f>Source!CA129</f>
        <v>55</v>
      </c>
      <c r="F471" s="90">
        <f>ROUND(0.85,7)</f>
        <v>0.85</v>
      </c>
      <c r="G471" s="90">
        <f>Source!AU129</f>
        <v>46.75</v>
      </c>
      <c r="H471" s="91"/>
      <c r="I471" s="92"/>
      <c r="J471" s="93">
        <f>SUM(AE459:AE472)</f>
        <v>50.92</v>
      </c>
      <c r="K471" s="92"/>
      <c r="L471" s="94">
        <f>SUM(AF459:AF472)</f>
        <v>1233</v>
      </c>
    </row>
    <row r="472" spans="1:71" ht="13.8">
      <c r="C472" s="95" t="s">
        <v>1386</v>
      </c>
      <c r="D472" s="95"/>
      <c r="E472" s="95"/>
      <c r="F472" s="95"/>
      <c r="G472" s="95"/>
      <c r="H472" s="95"/>
      <c r="I472" s="95">
        <f>J462+J463+J465+J470+J471</f>
        <v>1909.8600000000001</v>
      </c>
      <c r="J472" s="95"/>
      <c r="O472" s="69">
        <f>I472</f>
        <v>1909.8600000000001</v>
      </c>
      <c r="P472">
        <f>K472</f>
        <v>0</v>
      </c>
      <c r="Q472" s="69">
        <f>J462</f>
        <v>103.9</v>
      </c>
      <c r="R472" s="69">
        <f>J462</f>
        <v>103.9</v>
      </c>
      <c r="U472" s="70">
        <f>L462</f>
        <v>2516</v>
      </c>
      <c r="V472" s="69">
        <f>J464</f>
        <v>5.03</v>
      </c>
      <c r="W472" s="70">
        <f>L464</f>
        <v>122</v>
      </c>
      <c r="X472" s="69">
        <f>J463</f>
        <v>54.41</v>
      </c>
      <c r="Z472" s="70">
        <f>L463</f>
        <v>0</v>
      </c>
      <c r="AB472" s="69">
        <f>J465</f>
        <v>1594.75</v>
      </c>
      <c r="AN472">
        <f>IF(Source!BI129&lt;=1,J462+J463+J465+J470+J471, 0)</f>
        <v>1909.8600000000001</v>
      </c>
      <c r="AO472">
        <f>IF(Source!BI129&lt;=1,J465, 0)</f>
        <v>1594.75</v>
      </c>
      <c r="AP472">
        <f>IF(Source!BI129&lt;=1,J463, 0)</f>
        <v>54.41</v>
      </c>
      <c r="AQ472">
        <f>IF(Source!BI129&lt;=1,J462, 0)</f>
        <v>103.9</v>
      </c>
      <c r="AX472">
        <f>IF(Source!BI129=2,J462+J463+J465+J470+J471, 0)</f>
        <v>0</v>
      </c>
      <c r="AY472">
        <f>IF(Source!BI129=2,J465, 0)</f>
        <v>0</v>
      </c>
      <c r="AZ472">
        <f>IF(Source!BI129=2,J463, 0)</f>
        <v>0</v>
      </c>
      <c r="BA472">
        <f>IF(Source!BI129=2,J462, 0)</f>
        <v>0</v>
      </c>
    </row>
    <row r="473" spans="1:71" ht="55.2">
      <c r="A473" s="110" t="str">
        <f>Source!E130</f>
        <v>62</v>
      </c>
      <c r="B473" s="111" t="str">
        <f>Source!F130</f>
        <v>203-0029</v>
      </c>
      <c r="C473" s="111" t="str">
        <f>Source!G130</f>
        <v>Блоки оконные с двойным остеклением с раздельными створками двустворные, с форточной створкой ОР 12-15, площадь 1,71 м2, ОР 15-12</v>
      </c>
      <c r="D473" s="81" t="str">
        <f>Source!H130</f>
        <v>м2</v>
      </c>
      <c r="E473" s="82">
        <f>Source!K130</f>
        <v>-3.4</v>
      </c>
      <c r="F473" s="82"/>
      <c r="G473" s="82">
        <f>Source!I130</f>
        <v>-3.4</v>
      </c>
      <c r="H473" s="83">
        <f>Source!AL130</f>
        <v>415.47</v>
      </c>
      <c r="I473" s="84"/>
      <c r="J473" s="85">
        <f>ROUND(Source!AC130*Source!I130, 2)</f>
        <v>-1412.6</v>
      </c>
      <c r="K473" s="84"/>
      <c r="L473" s="86"/>
      <c r="AC473">
        <f>Source!X130</f>
        <v>0</v>
      </c>
      <c r="AD473">
        <f>Source!HK130</f>
        <v>0</v>
      </c>
      <c r="AE473">
        <f>Source!Y130</f>
        <v>0</v>
      </c>
      <c r="AF473">
        <f>Source!HL130</f>
        <v>0</v>
      </c>
      <c r="AS473">
        <f>IF(Source!BI130&lt;=1,AD473, 0)</f>
        <v>0</v>
      </c>
      <c r="AT473">
        <f>IF(Source!BI130&lt;=1,AF473, 0)</f>
        <v>0</v>
      </c>
      <c r="BC473">
        <f>IF(Source!BI130=2,AD473, 0)</f>
        <v>0</v>
      </c>
      <c r="BD473">
        <f>IF(Source!BI130=2,AF473, 0)</f>
        <v>0</v>
      </c>
    </row>
    <row r="475" spans="1:71">
      <c r="A475" s="71"/>
      <c r="B475" s="71"/>
      <c r="C475" s="72" t="str">
        <f>"Объем: "&amp;Source!K130&amp;"="&amp;Source!I129&amp;"*"&amp;"-"&amp;"100"</f>
        <v>Объем: -3,4=0,034*-100</v>
      </c>
      <c r="D475" s="71"/>
      <c r="E475" s="71"/>
      <c r="F475" s="71"/>
      <c r="G475" s="71"/>
      <c r="H475" s="71"/>
      <c r="I475" s="71"/>
      <c r="J475" s="71"/>
      <c r="K475" s="71"/>
      <c r="L475" s="71"/>
    </row>
    <row r="476" spans="1:71" ht="13.8">
      <c r="C476" s="95" t="s">
        <v>1386</v>
      </c>
      <c r="D476" s="95"/>
      <c r="E476" s="95"/>
      <c r="F476" s="95"/>
      <c r="G476" s="95"/>
      <c r="H476" s="95"/>
      <c r="I476" s="95">
        <f>J473</f>
        <v>-1412.6</v>
      </c>
      <c r="J476" s="95"/>
      <c r="O476" s="69">
        <f>I476</f>
        <v>-1412.6</v>
      </c>
      <c r="P476">
        <f>K476</f>
        <v>0</v>
      </c>
      <c r="Q476">
        <f>0</f>
        <v>0</v>
      </c>
      <c r="R476">
        <f>0</f>
        <v>0</v>
      </c>
      <c r="U476">
        <f>0</f>
        <v>0</v>
      </c>
      <c r="V476">
        <f>0</f>
        <v>0</v>
      </c>
      <c r="W476">
        <f>0</f>
        <v>0</v>
      </c>
      <c r="X476">
        <f>0</f>
        <v>0</v>
      </c>
      <c r="Z476">
        <f>0</f>
        <v>0</v>
      </c>
      <c r="AB476" s="69">
        <f>I476</f>
        <v>-1412.6</v>
      </c>
      <c r="AN476">
        <f>IF(Source!BI130&lt;=1,J473, 0)</f>
        <v>-1412.6</v>
      </c>
      <c r="AO476">
        <f>IF(Source!BI130&lt;=1,I476, 0)</f>
        <v>-1412.6</v>
      </c>
      <c r="AP476">
        <f>IF(Source!BI130&lt;=1,0, 0)</f>
        <v>0</v>
      </c>
      <c r="AQ476">
        <f>IF(Source!BI130&lt;=1,0, 0)</f>
        <v>0</v>
      </c>
      <c r="AX476">
        <f>IF(Source!BI130=2,J473, 0)</f>
        <v>0</v>
      </c>
      <c r="AY476">
        <f>IF(Source!BI130=2,I476, 0)</f>
        <v>0</v>
      </c>
      <c r="AZ476">
        <f>IF(Source!BI130=2,0, 0)</f>
        <v>0</v>
      </c>
      <c r="BA476">
        <f>IF(Source!BI130=2,0, 0)</f>
        <v>0</v>
      </c>
    </row>
    <row r="477" spans="1:71" ht="41.4">
      <c r="A477" s="110" t="str">
        <f>Source!E131</f>
        <v>63</v>
      </c>
      <c r="B477" s="111" t="str">
        <f>Source!F131</f>
        <v>ТЦ_11.2.07.03_69_4823015698_22.07.2021_01</v>
      </c>
      <c r="C477" s="111" t="str">
        <f>Source!G131</f>
        <v>Оконный блок индивидуального изготовления  (42810/6,17)</v>
      </c>
      <c r="D477" s="81" t="str">
        <f>Source!H131</f>
        <v>м2</v>
      </c>
      <c r="E477" s="82">
        <f>Source!K131</f>
        <v>3.4</v>
      </c>
      <c r="F477" s="82"/>
      <c r="G477" s="82">
        <f>Source!I131</f>
        <v>3.4</v>
      </c>
      <c r="H477" s="83">
        <f>Source!AL131</f>
        <v>42810</v>
      </c>
      <c r="I477" s="84"/>
      <c r="J477" s="85">
        <f>Source!P131</f>
        <v>23590.6</v>
      </c>
      <c r="K477" s="84">
        <f>IF(Source!BC131&lt;&gt; 0, Source!BC131, 1)</f>
        <v>6.17</v>
      </c>
      <c r="L477" s="86">
        <f>Source!HG131</f>
        <v>145554</v>
      </c>
      <c r="AC477">
        <f>Source!X131</f>
        <v>0</v>
      </c>
      <c r="AD477">
        <f>Source!HK131</f>
        <v>0</v>
      </c>
      <c r="AE477">
        <f>Source!Y131</f>
        <v>0</v>
      </c>
      <c r="AF477">
        <f>Source!HL131</f>
        <v>0</v>
      </c>
      <c r="AS477">
        <f>IF(Source!BI131&lt;=1,AD477, 0)</f>
        <v>0</v>
      </c>
      <c r="AT477">
        <f>IF(Source!BI131&lt;=1,AF477, 0)</f>
        <v>0</v>
      </c>
      <c r="BC477">
        <f>IF(Source!BI131=2,AD477, 0)</f>
        <v>0</v>
      </c>
      <c r="BD477">
        <f>IF(Source!BI131=2,AF477, 0)</f>
        <v>0</v>
      </c>
    </row>
    <row r="478" spans="1:71">
      <c r="A478" s="71"/>
      <c r="B478" s="71"/>
      <c r="C478" s="71"/>
      <c r="D478" s="71"/>
      <c r="E478" s="71"/>
      <c r="F478" s="71"/>
      <c r="G478" s="71"/>
      <c r="H478" s="71"/>
      <c r="I478" s="71"/>
      <c r="J478" s="71"/>
      <c r="K478" s="71"/>
      <c r="L478" s="71"/>
    </row>
    <row r="479" spans="1:71" ht="13.8">
      <c r="C479" s="95" t="s">
        <v>1386</v>
      </c>
      <c r="D479" s="95"/>
      <c r="E479" s="95"/>
      <c r="F479" s="95"/>
      <c r="G479" s="95"/>
      <c r="H479" s="95"/>
      <c r="I479" s="95">
        <f>J477</f>
        <v>23590.6</v>
      </c>
      <c r="J479" s="95"/>
      <c r="K479" s="96">
        <f>L477</f>
        <v>145554</v>
      </c>
      <c r="L479" s="96"/>
      <c r="O479" s="69">
        <f>I479</f>
        <v>23590.6</v>
      </c>
      <c r="P479" s="70">
        <f>K479</f>
        <v>145554</v>
      </c>
      <c r="Q479">
        <f>0</f>
        <v>0</v>
      </c>
      <c r="R479">
        <f>0</f>
        <v>0</v>
      </c>
      <c r="U479">
        <f>0</f>
        <v>0</v>
      </c>
      <c r="V479">
        <f>0</f>
        <v>0</v>
      </c>
      <c r="W479">
        <f>0</f>
        <v>0</v>
      </c>
      <c r="X479">
        <f>0</f>
        <v>0</v>
      </c>
      <c r="Z479">
        <f>0</f>
        <v>0</v>
      </c>
      <c r="AB479" s="69">
        <f>I479</f>
        <v>23590.6</v>
      </c>
      <c r="AN479">
        <f>IF(Source!BI131&lt;=1,J477, 0)</f>
        <v>23590.6</v>
      </c>
      <c r="AO479">
        <f>IF(Source!BI131&lt;=1,I479, 0)</f>
        <v>23590.6</v>
      </c>
      <c r="AP479">
        <f>IF(Source!BI131&lt;=1,0, 0)</f>
        <v>0</v>
      </c>
      <c r="AQ479">
        <f>IF(Source!BI131&lt;=1,0, 0)</f>
        <v>0</v>
      </c>
      <c r="AX479">
        <f>IF(Source!BI131=2,J477, 0)</f>
        <v>0</v>
      </c>
      <c r="AY479">
        <f>IF(Source!BI131=2,I479, 0)</f>
        <v>0</v>
      </c>
      <c r="AZ479">
        <f>IF(Source!BI131=2,0, 0)</f>
        <v>0</v>
      </c>
      <c r="BA479">
        <f>IF(Source!BI131=2,0, 0)</f>
        <v>0</v>
      </c>
      <c r="BQ479" s="69">
        <f>I479</f>
        <v>23590.6</v>
      </c>
      <c r="BS479" s="70">
        <f>K479</f>
        <v>145554</v>
      </c>
    </row>
    <row r="480" spans="1:71" ht="55.2">
      <c r="A480" s="110" t="str">
        <f>Source!E132</f>
        <v>64</v>
      </c>
      <c r="B480" s="111" t="str">
        <f>Source!F132</f>
        <v>101-0897</v>
      </c>
      <c r="C480" s="111" t="str">
        <f>Source!G132</f>
        <v>Скобяные изделия для оконных блоков с раздельными двойными переплетами жилых зданий одностворных высотой до 1,5 м</v>
      </c>
      <c r="D480" s="81" t="str">
        <f>Source!H132</f>
        <v>компл.</v>
      </c>
      <c r="E480" s="82">
        <f>Source!K132</f>
        <v>4</v>
      </c>
      <c r="F480" s="82"/>
      <c r="G480" s="82">
        <f>Source!I132</f>
        <v>4</v>
      </c>
      <c r="H480" s="83">
        <f>Source!AL132</f>
        <v>20.170000000000002</v>
      </c>
      <c r="I480" s="84"/>
      <c r="J480" s="85">
        <f>ROUND(Source!AC132*Source!I132, 2)</f>
        <v>80.680000000000007</v>
      </c>
      <c r="K480" s="84"/>
      <c r="L480" s="86"/>
      <c r="AC480">
        <f>Source!X132</f>
        <v>0</v>
      </c>
      <c r="AD480">
        <f>Source!HK132</f>
        <v>0</v>
      </c>
      <c r="AE480">
        <f>Source!Y132</f>
        <v>0</v>
      </c>
      <c r="AF480">
        <f>Source!HL132</f>
        <v>0</v>
      </c>
      <c r="AS480">
        <f>IF(Source!BI132&lt;=1,AD480, 0)</f>
        <v>0</v>
      </c>
      <c r="AT480">
        <f>IF(Source!BI132&lt;=1,AF480, 0)</f>
        <v>0</v>
      </c>
      <c r="BC480">
        <f>IF(Source!BI132=2,AD480, 0)</f>
        <v>0</v>
      </c>
      <c r="BD480">
        <f>IF(Source!BI132=2,AF480, 0)</f>
        <v>0</v>
      </c>
    </row>
    <row r="481" spans="1:56">
      <c r="A481" s="71"/>
      <c r="B481" s="71"/>
      <c r="C481" s="71"/>
      <c r="D481" s="71"/>
      <c r="E481" s="71"/>
      <c r="F481" s="71"/>
      <c r="G481" s="71"/>
      <c r="H481" s="71"/>
      <c r="I481" s="71"/>
      <c r="J481" s="71"/>
      <c r="K481" s="71"/>
      <c r="L481" s="71"/>
    </row>
    <row r="482" spans="1:56" ht="13.8">
      <c r="C482" s="95" t="s">
        <v>1386</v>
      </c>
      <c r="D482" s="95"/>
      <c r="E482" s="95"/>
      <c r="F482" s="95"/>
      <c r="G482" s="95"/>
      <c r="H482" s="95"/>
      <c r="I482" s="95">
        <f>J480</f>
        <v>80.680000000000007</v>
      </c>
      <c r="J482" s="95"/>
      <c r="O482" s="69">
        <f>I482</f>
        <v>80.680000000000007</v>
      </c>
      <c r="P482">
        <f>K482</f>
        <v>0</v>
      </c>
      <c r="Q482">
        <f>0</f>
        <v>0</v>
      </c>
      <c r="R482">
        <f>0</f>
        <v>0</v>
      </c>
      <c r="U482">
        <f>0</f>
        <v>0</v>
      </c>
      <c r="V482">
        <f>0</f>
        <v>0</v>
      </c>
      <c r="W482">
        <f>0</f>
        <v>0</v>
      </c>
      <c r="X482">
        <f>0</f>
        <v>0</v>
      </c>
      <c r="Z482">
        <f>0</f>
        <v>0</v>
      </c>
      <c r="AB482" s="69">
        <f>I482</f>
        <v>80.680000000000007</v>
      </c>
      <c r="AN482">
        <f>IF(Source!BI132&lt;=1,J480, 0)</f>
        <v>80.680000000000007</v>
      </c>
      <c r="AO482">
        <f>IF(Source!BI132&lt;=1,I482, 0)</f>
        <v>80.680000000000007</v>
      </c>
      <c r="AP482">
        <f>IF(Source!BI132&lt;=1,0, 0)</f>
        <v>0</v>
      </c>
      <c r="AQ482">
        <f>IF(Source!BI132&lt;=1,0, 0)</f>
        <v>0</v>
      </c>
      <c r="AX482">
        <f>IF(Source!BI132=2,J480, 0)</f>
        <v>0</v>
      </c>
      <c r="AY482">
        <f>IF(Source!BI132=2,I482, 0)</f>
        <v>0</v>
      </c>
      <c r="AZ482">
        <f>IF(Source!BI132=2,0, 0)</f>
        <v>0</v>
      </c>
      <c r="BA482">
        <f>IF(Source!BI132=2,0, 0)</f>
        <v>0</v>
      </c>
    </row>
    <row r="483" spans="1:56" ht="174.6">
      <c r="A483" s="110" t="str">
        <f>Source!E133</f>
        <v>65</v>
      </c>
      <c r="B483" s="111" t="str">
        <f>Source!F133</f>
        <v>10-01-027-4</v>
      </c>
      <c r="C483" s="111" t="s">
        <v>1448</v>
      </c>
      <c r="D483" s="81" t="str">
        <f>Source!H133</f>
        <v>100 м2 проемов</v>
      </c>
      <c r="E483" s="82">
        <f>Source!K133</f>
        <v>0.5988</v>
      </c>
      <c r="F483" s="82"/>
      <c r="G483" s="82">
        <f>Source!I133</f>
        <v>0.5988</v>
      </c>
      <c r="H483" s="83"/>
      <c r="I483" s="84"/>
      <c r="J483" s="85"/>
      <c r="K483" s="84"/>
      <c r="L483" s="86"/>
      <c r="AC483">
        <f>Source!X133</f>
        <v>1266.1600000000001</v>
      </c>
      <c r="AD483">
        <f>Source!HK133</f>
        <v>30667</v>
      </c>
      <c r="AE483">
        <f>Source!Y133</f>
        <v>608.98</v>
      </c>
      <c r="AF483">
        <f>Source!HL133</f>
        <v>14750</v>
      </c>
      <c r="AS483">
        <f>IF(Source!BI133&lt;=1,AD483, 0)</f>
        <v>30667</v>
      </c>
      <c r="AT483">
        <f>IF(Source!BI133&lt;=1,AF483, 0)</f>
        <v>14750</v>
      </c>
      <c r="BC483">
        <f>IF(Source!BI133=2,AD483, 0)</f>
        <v>0</v>
      </c>
      <c r="BD483">
        <f>IF(Source!BI133=2,AF483, 0)</f>
        <v>0</v>
      </c>
    </row>
    <row r="485" spans="1:56">
      <c r="C485" s="67" t="str">
        <f>"Объем: "&amp;Source!K133&amp;"=59,88/"&amp;"100"</f>
        <v>Объем: 0,5988=59,88/100</v>
      </c>
    </row>
    <row r="486" spans="1:56" ht="14.4">
      <c r="A486" s="110"/>
      <c r="B486" s="112">
        <v>1</v>
      </c>
      <c r="C486" s="111" t="s">
        <v>1373</v>
      </c>
      <c r="D486" s="81"/>
      <c r="E486" s="82"/>
      <c r="F486" s="82"/>
      <c r="G486" s="82"/>
      <c r="H486" s="83">
        <f>Source!AO133</f>
        <v>1559.52</v>
      </c>
      <c r="I486" s="84">
        <f>ROUND(1.15*1.15,7)</f>
        <v>1.3225</v>
      </c>
      <c r="J486" s="85">
        <f>ROUND(Source!AF133*Source!I133, 2)</f>
        <v>1235</v>
      </c>
      <c r="K486" s="84">
        <f>IF(Source!BA133&lt;&gt; 0, Source!BA133, 1)</f>
        <v>24.22</v>
      </c>
      <c r="L486" s="86">
        <f>Source!HJ133</f>
        <v>29912</v>
      </c>
    </row>
    <row r="487" spans="1:56" ht="14.4">
      <c r="A487" s="110"/>
      <c r="B487" s="112">
        <v>3</v>
      </c>
      <c r="C487" s="111" t="s">
        <v>1374</v>
      </c>
      <c r="D487" s="81"/>
      <c r="E487" s="82"/>
      <c r="F487" s="82"/>
      <c r="G487" s="82"/>
      <c r="H487" s="83">
        <f>Source!AM133</f>
        <v>886.75</v>
      </c>
      <c r="I487" s="84">
        <f>ROUND(1.25*1.15,7)</f>
        <v>1.4375</v>
      </c>
      <c r="J487" s="85">
        <f>ROUND(Source!AD133*Source!I133, 2)</f>
        <v>763.29</v>
      </c>
      <c r="K487" s="84"/>
      <c r="L487" s="86"/>
    </row>
    <row r="488" spans="1:56" ht="14.4">
      <c r="A488" s="110"/>
      <c r="B488" s="112">
        <v>2</v>
      </c>
      <c r="C488" s="111" t="s">
        <v>1375</v>
      </c>
      <c r="D488" s="81"/>
      <c r="E488" s="82"/>
      <c r="F488" s="82"/>
      <c r="G488" s="82"/>
      <c r="H488" s="83">
        <f>Source!AN133</f>
        <v>78.569999999999993</v>
      </c>
      <c r="I488" s="84">
        <f>ROUND(1.25*1.15,7)</f>
        <v>1.4375</v>
      </c>
      <c r="J488" s="87">
        <f>ROUND(Source!AE133*Source!I133, 2)</f>
        <v>67.63</v>
      </c>
      <c r="K488" s="84">
        <f>IF(Source!BS133&lt;&gt; 0, Source!BS133, 1)</f>
        <v>24.22</v>
      </c>
      <c r="L488" s="88">
        <f>Source!HI133</f>
        <v>1638</v>
      </c>
    </row>
    <row r="489" spans="1:56" ht="14.4">
      <c r="A489" s="110"/>
      <c r="B489" s="112">
        <v>4</v>
      </c>
      <c r="C489" s="111" t="s">
        <v>1408</v>
      </c>
      <c r="D489" s="81"/>
      <c r="E489" s="82"/>
      <c r="F489" s="82"/>
      <c r="G489" s="82"/>
      <c r="H489" s="83">
        <f>Source!AL133</f>
        <v>45250.46</v>
      </c>
      <c r="I489" s="84"/>
      <c r="J489" s="85">
        <f>ROUND(Source!AC133*Source!I133, 2)</f>
        <v>27095.98</v>
      </c>
      <c r="K489" s="84"/>
      <c r="L489" s="86"/>
    </row>
    <row r="490" spans="1:56" ht="14.4">
      <c r="A490" s="110"/>
      <c r="B490" s="111"/>
      <c r="C490" s="111" t="s">
        <v>1376</v>
      </c>
      <c r="D490" s="81" t="s">
        <v>1377</v>
      </c>
      <c r="E490" s="82">
        <f>Source!AQ133</f>
        <v>182.4</v>
      </c>
      <c r="F490" s="82">
        <f>ROUND(1.15*1.15,7)</f>
        <v>1.3225</v>
      </c>
      <c r="G490" s="82">
        <f>ROUND(Source!U133, 7)</f>
        <v>144.44493120000001</v>
      </c>
      <c r="H490" s="83"/>
      <c r="I490" s="84"/>
      <c r="J490" s="85"/>
      <c r="K490" s="84"/>
      <c r="L490" s="86"/>
    </row>
    <row r="491" spans="1:56" ht="14.4">
      <c r="A491" s="110"/>
      <c r="B491" s="111"/>
      <c r="C491" s="113" t="s">
        <v>1378</v>
      </c>
      <c r="D491" s="89" t="s">
        <v>1377</v>
      </c>
      <c r="E491" s="90">
        <f>Source!AR133</f>
        <v>6.03</v>
      </c>
      <c r="F491" s="90">
        <f>ROUND(1.25*1.15,7)</f>
        <v>1.4375</v>
      </c>
      <c r="G491" s="90">
        <f>ROUND(Source!V133, 7)</f>
        <v>5.1904732999999998</v>
      </c>
      <c r="H491" s="91"/>
      <c r="I491" s="92"/>
      <c r="J491" s="93"/>
      <c r="K491" s="92"/>
      <c r="L491" s="94"/>
    </row>
    <row r="492" spans="1:56" ht="14.4">
      <c r="A492" s="110"/>
      <c r="B492" s="111"/>
      <c r="C492" s="111" t="s">
        <v>1379</v>
      </c>
      <c r="D492" s="81"/>
      <c r="E492" s="82"/>
      <c r="F492" s="82"/>
      <c r="G492" s="82"/>
      <c r="H492" s="83">
        <f>H486+H487+H489</f>
        <v>47696.729999999996</v>
      </c>
      <c r="I492" s="84"/>
      <c r="J492" s="85">
        <f>J486+J487+J489</f>
        <v>29094.27</v>
      </c>
      <c r="K492" s="84"/>
      <c r="L492" s="86"/>
    </row>
    <row r="493" spans="1:56" ht="14.4">
      <c r="A493" s="110"/>
      <c r="B493" s="111"/>
      <c r="C493" s="111" t="s">
        <v>1380</v>
      </c>
      <c r="D493" s="81"/>
      <c r="E493" s="82"/>
      <c r="F493" s="82"/>
      <c r="G493" s="82"/>
      <c r="H493" s="83"/>
      <c r="I493" s="84"/>
      <c r="J493" s="85">
        <f>SUM(Q483:Q496)+SUM(V483:V496)</f>
        <v>1302.6300000000001</v>
      </c>
      <c r="K493" s="84"/>
      <c r="L493" s="86">
        <f>SUM(U483:U496)+SUM(W483:W496)</f>
        <v>31550</v>
      </c>
    </row>
    <row r="494" spans="1:56" ht="14.4">
      <c r="A494" s="110"/>
      <c r="B494" s="111" t="s">
        <v>1381</v>
      </c>
      <c r="C494" s="111" t="s">
        <v>1382</v>
      </c>
      <c r="D494" s="81" t="s">
        <v>1383</v>
      </c>
      <c r="E494" s="82">
        <f>Source!BZ133</f>
        <v>108</v>
      </c>
      <c r="F494" s="82">
        <f>ROUND(0.9,7)</f>
        <v>0.9</v>
      </c>
      <c r="G494" s="82">
        <f>Source!AT133</f>
        <v>97.2</v>
      </c>
      <c r="H494" s="83"/>
      <c r="I494" s="84"/>
      <c r="J494" s="85">
        <f>SUM(AC483:AC496)</f>
        <v>1266.1600000000001</v>
      </c>
      <c r="K494" s="84"/>
      <c r="L494" s="86">
        <f>SUM(AD483:AD496)</f>
        <v>30667</v>
      </c>
    </row>
    <row r="495" spans="1:56" ht="14.4">
      <c r="A495" s="114"/>
      <c r="B495" s="113" t="s">
        <v>1384</v>
      </c>
      <c r="C495" s="113" t="s">
        <v>1385</v>
      </c>
      <c r="D495" s="89" t="s">
        <v>1383</v>
      </c>
      <c r="E495" s="90">
        <f>Source!CA133</f>
        <v>55</v>
      </c>
      <c r="F495" s="90">
        <f>ROUND(0.85,7)</f>
        <v>0.85</v>
      </c>
      <c r="G495" s="90">
        <f>Source!AU133</f>
        <v>46.75</v>
      </c>
      <c r="H495" s="91"/>
      <c r="I495" s="92"/>
      <c r="J495" s="93">
        <f>SUM(AE483:AE496)</f>
        <v>608.98</v>
      </c>
      <c r="K495" s="92"/>
      <c r="L495" s="94">
        <f>SUM(AF483:AF496)</f>
        <v>14750</v>
      </c>
    </row>
    <row r="496" spans="1:56" ht="13.8">
      <c r="C496" s="95" t="s">
        <v>1386</v>
      </c>
      <c r="D496" s="95"/>
      <c r="E496" s="95"/>
      <c r="F496" s="95"/>
      <c r="G496" s="95"/>
      <c r="H496" s="95"/>
      <c r="I496" s="95">
        <f>J486+J487+J489+J494+J495</f>
        <v>30969.41</v>
      </c>
      <c r="J496" s="95"/>
      <c r="O496" s="69">
        <f>I496</f>
        <v>30969.41</v>
      </c>
      <c r="P496">
        <f>K496</f>
        <v>0</v>
      </c>
      <c r="Q496" s="69">
        <f>J486</f>
        <v>1235</v>
      </c>
      <c r="R496" s="69">
        <f>J486</f>
        <v>1235</v>
      </c>
      <c r="U496" s="70">
        <f>L486</f>
        <v>29912</v>
      </c>
      <c r="V496" s="69">
        <f>J488</f>
        <v>67.63</v>
      </c>
      <c r="W496" s="70">
        <f>L488</f>
        <v>1638</v>
      </c>
      <c r="X496" s="69">
        <f>J487</f>
        <v>763.29</v>
      </c>
      <c r="Z496" s="70">
        <f>L487</f>
        <v>0</v>
      </c>
      <c r="AB496" s="69">
        <f>J489</f>
        <v>27095.98</v>
      </c>
      <c r="AN496">
        <f>IF(Source!BI133&lt;=1,J486+J487+J489+J494+J495, 0)</f>
        <v>30969.41</v>
      </c>
      <c r="AO496">
        <f>IF(Source!BI133&lt;=1,J489, 0)</f>
        <v>27095.98</v>
      </c>
      <c r="AP496">
        <f>IF(Source!BI133&lt;=1,J487, 0)</f>
        <v>763.29</v>
      </c>
      <c r="AQ496">
        <f>IF(Source!BI133&lt;=1,J486, 0)</f>
        <v>1235</v>
      </c>
      <c r="AX496">
        <f>IF(Source!BI133=2,J486+J487+J489+J494+J495, 0)</f>
        <v>0</v>
      </c>
      <c r="AY496">
        <f>IF(Source!BI133=2,J489, 0)</f>
        <v>0</v>
      </c>
      <c r="AZ496">
        <f>IF(Source!BI133=2,J487, 0)</f>
        <v>0</v>
      </c>
      <c r="BA496">
        <f>IF(Source!BI133=2,J486, 0)</f>
        <v>0</v>
      </c>
    </row>
    <row r="497" spans="1:71" ht="69">
      <c r="A497" s="110" t="str">
        <f>Source!E134</f>
        <v>66</v>
      </c>
      <c r="B497" s="111" t="str">
        <f>Source!F134</f>
        <v>203-0031</v>
      </c>
      <c r="C497" s="111" t="str">
        <f>Source!G134</f>
        <v>Блоки оконные с двойным остеклением с раздельными створками двустворные, с форточной створкой ОР 18-13,5, площадь 2,32 м2; ОР 18-15, площадь 2,59 м2</v>
      </c>
      <c r="D497" s="81" t="str">
        <f>Source!H134</f>
        <v>м2</v>
      </c>
      <c r="E497" s="82">
        <f>Source!K134</f>
        <v>-59.88</v>
      </c>
      <c r="F497" s="82"/>
      <c r="G497" s="82">
        <f>Source!I134</f>
        <v>-59.88</v>
      </c>
      <c r="H497" s="83">
        <f>Source!AL134</f>
        <v>415.47</v>
      </c>
      <c r="I497" s="84"/>
      <c r="J497" s="85">
        <f>ROUND(Source!AC134*Source!I134, 2)</f>
        <v>-24878.34</v>
      </c>
      <c r="K497" s="84"/>
      <c r="L497" s="86"/>
      <c r="AC497">
        <f>Source!X134</f>
        <v>0</v>
      </c>
      <c r="AD497">
        <f>Source!HK134</f>
        <v>0</v>
      </c>
      <c r="AE497">
        <f>Source!Y134</f>
        <v>0</v>
      </c>
      <c r="AF497">
        <f>Source!HL134</f>
        <v>0</v>
      </c>
      <c r="AS497">
        <f>IF(Source!BI134&lt;=1,AD497, 0)</f>
        <v>0</v>
      </c>
      <c r="AT497">
        <f>IF(Source!BI134&lt;=1,AF497, 0)</f>
        <v>0</v>
      </c>
      <c r="BC497">
        <f>IF(Source!BI134=2,AD497, 0)</f>
        <v>0</v>
      </c>
      <c r="BD497">
        <f>IF(Source!BI134=2,AF497, 0)</f>
        <v>0</v>
      </c>
    </row>
    <row r="499" spans="1:71">
      <c r="A499" s="71"/>
      <c r="B499" s="71"/>
      <c r="C499" s="72" t="str">
        <f>"Объем: "&amp;Source!K134&amp;"="&amp;Source!I133&amp;"*"&amp;"-"&amp;"100"</f>
        <v>Объем: -59,88=0,5988*-100</v>
      </c>
      <c r="D499" s="71"/>
      <c r="E499" s="71"/>
      <c r="F499" s="71"/>
      <c r="G499" s="71"/>
      <c r="H499" s="71"/>
      <c r="I499" s="71"/>
      <c r="J499" s="71"/>
      <c r="K499" s="71"/>
      <c r="L499" s="71"/>
    </row>
    <row r="500" spans="1:71" ht="13.8">
      <c r="C500" s="95" t="s">
        <v>1386</v>
      </c>
      <c r="D500" s="95"/>
      <c r="E500" s="95"/>
      <c r="F500" s="95"/>
      <c r="G500" s="95"/>
      <c r="H500" s="95"/>
      <c r="I500" s="95">
        <f>J497</f>
        <v>-24878.34</v>
      </c>
      <c r="J500" s="95"/>
      <c r="O500" s="69">
        <f>I500</f>
        <v>-24878.34</v>
      </c>
      <c r="P500">
        <f>K500</f>
        <v>0</v>
      </c>
      <c r="Q500">
        <f>0</f>
        <v>0</v>
      </c>
      <c r="R500">
        <f>0</f>
        <v>0</v>
      </c>
      <c r="U500">
        <f>0</f>
        <v>0</v>
      </c>
      <c r="V500">
        <f>0</f>
        <v>0</v>
      </c>
      <c r="W500">
        <f>0</f>
        <v>0</v>
      </c>
      <c r="X500">
        <f>0</f>
        <v>0</v>
      </c>
      <c r="Z500">
        <f>0</f>
        <v>0</v>
      </c>
      <c r="AB500" s="69">
        <f>I500</f>
        <v>-24878.34</v>
      </c>
      <c r="AN500">
        <f>IF(Source!BI134&lt;=1,J497, 0)</f>
        <v>-24878.34</v>
      </c>
      <c r="AO500">
        <f>IF(Source!BI134&lt;=1,I500, 0)</f>
        <v>-24878.34</v>
      </c>
      <c r="AP500">
        <f>IF(Source!BI134&lt;=1,0, 0)</f>
        <v>0</v>
      </c>
      <c r="AQ500">
        <f>IF(Source!BI134&lt;=1,0, 0)</f>
        <v>0</v>
      </c>
      <c r="AX500">
        <f>IF(Source!BI134=2,J497, 0)</f>
        <v>0</v>
      </c>
      <c r="AY500">
        <f>IF(Source!BI134=2,I500, 0)</f>
        <v>0</v>
      </c>
      <c r="AZ500">
        <f>IF(Source!BI134=2,0, 0)</f>
        <v>0</v>
      </c>
      <c r="BA500">
        <f>IF(Source!BI134=2,0, 0)</f>
        <v>0</v>
      </c>
    </row>
    <row r="501" spans="1:71" ht="41.4">
      <c r="A501" s="110" t="str">
        <f>Source!E135</f>
        <v>67</v>
      </c>
      <c r="B501" s="111" t="str">
        <f>Source!F135</f>
        <v>ТЦ_11.2.07.03_69_4823015698_22.07.2021_01</v>
      </c>
      <c r="C501" s="111" t="str">
        <f>Source!G135</f>
        <v>Оконный блок индивидуального изготовления ( 42810/6,17)</v>
      </c>
      <c r="D501" s="81" t="str">
        <f>Source!H135</f>
        <v>м2</v>
      </c>
      <c r="E501" s="82">
        <f>Source!K135</f>
        <v>31.8</v>
      </c>
      <c r="F501" s="82"/>
      <c r="G501" s="82">
        <f>Source!I135</f>
        <v>31.8</v>
      </c>
      <c r="H501" s="83">
        <f>Source!AL135</f>
        <v>42810</v>
      </c>
      <c r="I501" s="84"/>
      <c r="J501" s="85">
        <f>Source!P135</f>
        <v>220641.49</v>
      </c>
      <c r="K501" s="84">
        <f>IF(Source!BC135&lt;&gt; 0, Source!BC135, 1)</f>
        <v>6.17</v>
      </c>
      <c r="L501" s="86">
        <f>Source!HG135</f>
        <v>1361358</v>
      </c>
      <c r="AC501">
        <f>Source!X135</f>
        <v>0</v>
      </c>
      <c r="AD501">
        <f>Source!HK135</f>
        <v>0</v>
      </c>
      <c r="AE501">
        <f>Source!Y135</f>
        <v>0</v>
      </c>
      <c r="AF501">
        <f>Source!HL135</f>
        <v>0</v>
      </c>
      <c r="AS501">
        <f>IF(Source!BI135&lt;=1,AD501, 0)</f>
        <v>0</v>
      </c>
      <c r="AT501">
        <f>IF(Source!BI135&lt;=1,AF501, 0)</f>
        <v>0</v>
      </c>
      <c r="BC501">
        <f>IF(Source!BI135=2,AD501, 0)</f>
        <v>0</v>
      </c>
      <c r="BD501">
        <f>IF(Source!BI135=2,AF501, 0)</f>
        <v>0</v>
      </c>
    </row>
    <row r="502" spans="1:71">
      <c r="A502" s="71"/>
      <c r="B502" s="71"/>
      <c r="C502" s="71"/>
      <c r="D502" s="71"/>
      <c r="E502" s="71"/>
      <c r="F502" s="71"/>
      <c r="G502" s="71"/>
      <c r="H502" s="71"/>
      <c r="I502" s="71"/>
      <c r="J502" s="71"/>
      <c r="K502" s="71"/>
      <c r="L502" s="71"/>
    </row>
    <row r="503" spans="1:71" ht="13.8">
      <c r="C503" s="95" t="s">
        <v>1386</v>
      </c>
      <c r="D503" s="95"/>
      <c r="E503" s="95"/>
      <c r="F503" s="95"/>
      <c r="G503" s="95"/>
      <c r="H503" s="95"/>
      <c r="I503" s="95">
        <f>J501</f>
        <v>220641.49</v>
      </c>
      <c r="J503" s="95"/>
      <c r="K503" s="96">
        <f>L501</f>
        <v>1361358</v>
      </c>
      <c r="L503" s="96"/>
      <c r="O503" s="69">
        <f>I503</f>
        <v>220641.49</v>
      </c>
      <c r="P503" s="70">
        <f>K503</f>
        <v>1361358</v>
      </c>
      <c r="Q503">
        <f>0</f>
        <v>0</v>
      </c>
      <c r="R503">
        <f>0</f>
        <v>0</v>
      </c>
      <c r="U503">
        <f>0</f>
        <v>0</v>
      </c>
      <c r="V503">
        <f>0</f>
        <v>0</v>
      </c>
      <c r="W503">
        <f>0</f>
        <v>0</v>
      </c>
      <c r="X503">
        <f>0</f>
        <v>0</v>
      </c>
      <c r="Z503">
        <f>0</f>
        <v>0</v>
      </c>
      <c r="AB503" s="69">
        <f>I503</f>
        <v>220641.49</v>
      </c>
      <c r="AN503">
        <f>IF(Source!BI135&lt;=1,J501, 0)</f>
        <v>220641.49</v>
      </c>
      <c r="AO503">
        <f>IF(Source!BI135&lt;=1,I503, 0)</f>
        <v>220641.49</v>
      </c>
      <c r="AP503">
        <f>IF(Source!BI135&lt;=1,0, 0)</f>
        <v>0</v>
      </c>
      <c r="AQ503">
        <f>IF(Source!BI135&lt;=1,0, 0)</f>
        <v>0</v>
      </c>
      <c r="AX503">
        <f>IF(Source!BI135=2,J501, 0)</f>
        <v>0</v>
      </c>
      <c r="AY503">
        <f>IF(Source!BI135=2,I503, 0)</f>
        <v>0</v>
      </c>
      <c r="AZ503">
        <f>IF(Source!BI135=2,0, 0)</f>
        <v>0</v>
      </c>
      <c r="BA503">
        <f>IF(Source!BI135=2,0, 0)</f>
        <v>0</v>
      </c>
      <c r="BQ503" s="69">
        <f>I503</f>
        <v>220641.49</v>
      </c>
      <c r="BS503" s="70">
        <f>K503</f>
        <v>1361358</v>
      </c>
    </row>
    <row r="504" spans="1:71" ht="41.4">
      <c r="A504" s="110" t="str">
        <f>Source!E136</f>
        <v>68</v>
      </c>
      <c r="B504" s="111" t="str">
        <f>Source!F136</f>
        <v>ТЦ_11.2.07.03_69_4823015698_22.07.2021_01</v>
      </c>
      <c r="C504" s="111" t="str">
        <f>Source!G136</f>
        <v>Оконный блок индивидуального изготовления (42810/6,17)</v>
      </c>
      <c r="D504" s="81" t="str">
        <f>Source!H136</f>
        <v>м2</v>
      </c>
      <c r="E504" s="82">
        <f>Source!K136</f>
        <v>28.08</v>
      </c>
      <c r="F504" s="82"/>
      <c r="G504" s="82">
        <f>Source!I136</f>
        <v>28.08</v>
      </c>
      <c r="H504" s="83">
        <f>Source!AL136</f>
        <v>42810</v>
      </c>
      <c r="I504" s="84"/>
      <c r="J504" s="85">
        <f>Source!P136</f>
        <v>194830.63</v>
      </c>
      <c r="K504" s="84">
        <f>IF(Source!BC136&lt;&gt; 0, Source!BC136, 1)</f>
        <v>6.17</v>
      </c>
      <c r="L504" s="86">
        <f>Source!HG136</f>
        <v>1202105</v>
      </c>
      <c r="AC504">
        <f>Source!X136</f>
        <v>0</v>
      </c>
      <c r="AD504">
        <f>Source!HK136</f>
        <v>0</v>
      </c>
      <c r="AE504">
        <f>Source!Y136</f>
        <v>0</v>
      </c>
      <c r="AF504">
        <f>Source!HL136</f>
        <v>0</v>
      </c>
      <c r="AS504">
        <f>IF(Source!BI136&lt;=1,AD504, 0)</f>
        <v>0</v>
      </c>
      <c r="AT504">
        <f>IF(Source!BI136&lt;=1,AF504, 0)</f>
        <v>0</v>
      </c>
      <c r="BC504">
        <f>IF(Source!BI136=2,AD504, 0)</f>
        <v>0</v>
      </c>
      <c r="BD504">
        <f>IF(Source!BI136=2,AF504, 0)</f>
        <v>0</v>
      </c>
    </row>
    <row r="505" spans="1:71">
      <c r="A505" s="71"/>
      <c r="B505" s="71"/>
      <c r="C505" s="71"/>
      <c r="D505" s="71"/>
      <c r="E505" s="71"/>
      <c r="F505" s="71"/>
      <c r="G505" s="71"/>
      <c r="H505" s="71"/>
      <c r="I505" s="71"/>
      <c r="J505" s="71"/>
      <c r="K505" s="71"/>
      <c r="L505" s="71"/>
    </row>
    <row r="506" spans="1:71" ht="13.8">
      <c r="C506" s="95" t="s">
        <v>1386</v>
      </c>
      <c r="D506" s="95"/>
      <c r="E506" s="95"/>
      <c r="F506" s="95"/>
      <c r="G506" s="95"/>
      <c r="H506" s="95"/>
      <c r="I506" s="95">
        <f>J504</f>
        <v>194830.63</v>
      </c>
      <c r="J506" s="95"/>
      <c r="K506" s="96">
        <f>L504</f>
        <v>1202105</v>
      </c>
      <c r="L506" s="96"/>
      <c r="O506" s="69">
        <f>I506</f>
        <v>194830.63</v>
      </c>
      <c r="P506" s="70">
        <f>K506</f>
        <v>1202105</v>
      </c>
      <c r="Q506">
        <f>0</f>
        <v>0</v>
      </c>
      <c r="R506">
        <f>0</f>
        <v>0</v>
      </c>
      <c r="U506">
        <f>0</f>
        <v>0</v>
      </c>
      <c r="V506">
        <f>0</f>
        <v>0</v>
      </c>
      <c r="W506">
        <f>0</f>
        <v>0</v>
      </c>
      <c r="X506">
        <f>0</f>
        <v>0</v>
      </c>
      <c r="Z506">
        <f>0</f>
        <v>0</v>
      </c>
      <c r="AB506" s="69">
        <f>I506</f>
        <v>194830.63</v>
      </c>
      <c r="AN506">
        <f>IF(Source!BI136&lt;=1,J504, 0)</f>
        <v>194830.63</v>
      </c>
      <c r="AO506">
        <f>IF(Source!BI136&lt;=1,I506, 0)</f>
        <v>194830.63</v>
      </c>
      <c r="AP506">
        <f>IF(Source!BI136&lt;=1,0, 0)</f>
        <v>0</v>
      </c>
      <c r="AQ506">
        <f>IF(Source!BI136&lt;=1,0, 0)</f>
        <v>0</v>
      </c>
      <c r="AX506">
        <f>IF(Source!BI136=2,J504, 0)</f>
        <v>0</v>
      </c>
      <c r="AY506">
        <f>IF(Source!BI136=2,I506, 0)</f>
        <v>0</v>
      </c>
      <c r="AZ506">
        <f>IF(Source!BI136=2,0, 0)</f>
        <v>0</v>
      </c>
      <c r="BA506">
        <f>IF(Source!BI136=2,0, 0)</f>
        <v>0</v>
      </c>
      <c r="BQ506" s="69">
        <f>I506</f>
        <v>194830.63</v>
      </c>
      <c r="BS506" s="70">
        <f>K506</f>
        <v>1202105</v>
      </c>
    </row>
    <row r="507" spans="1:71" ht="55.2">
      <c r="A507" s="110" t="str">
        <f>Source!E137</f>
        <v>69</v>
      </c>
      <c r="B507" s="111" t="str">
        <f>Source!F137</f>
        <v>101-0900</v>
      </c>
      <c r="C507" s="111" t="str">
        <f>Source!G137</f>
        <v>Скобяные изделия для оконных блоков с раздельными двойными переплетами жилых зданий одностворных с форточкой высотой до 1,8 м</v>
      </c>
      <c r="D507" s="81" t="str">
        <f>Source!H137</f>
        <v>компл.</v>
      </c>
      <c r="E507" s="82">
        <f>Source!K137</f>
        <v>24</v>
      </c>
      <c r="F507" s="82"/>
      <c r="G507" s="82">
        <f>Source!I137</f>
        <v>24</v>
      </c>
      <c r="H507" s="83">
        <f>Source!AL137</f>
        <v>32.15</v>
      </c>
      <c r="I507" s="84"/>
      <c r="J507" s="85">
        <f>ROUND(Source!AC137*Source!I137, 2)</f>
        <v>771.6</v>
      </c>
      <c r="K507" s="84"/>
      <c r="L507" s="86"/>
      <c r="AC507">
        <f>Source!X137</f>
        <v>0</v>
      </c>
      <c r="AD507">
        <f>Source!HK137</f>
        <v>0</v>
      </c>
      <c r="AE507">
        <f>Source!Y137</f>
        <v>0</v>
      </c>
      <c r="AF507">
        <f>Source!HL137</f>
        <v>0</v>
      </c>
      <c r="AS507">
        <f>IF(Source!BI137&lt;=1,AD507, 0)</f>
        <v>0</v>
      </c>
      <c r="AT507">
        <f>IF(Source!BI137&lt;=1,AF507, 0)</f>
        <v>0</v>
      </c>
      <c r="BC507">
        <f>IF(Source!BI137=2,AD507, 0)</f>
        <v>0</v>
      </c>
      <c r="BD507">
        <f>IF(Source!BI137=2,AF507, 0)</f>
        <v>0</v>
      </c>
    </row>
    <row r="508" spans="1:71">
      <c r="A508" s="71"/>
      <c r="B508" s="71"/>
      <c r="C508" s="71"/>
      <c r="D508" s="71"/>
      <c r="E508" s="71"/>
      <c r="F508" s="71"/>
      <c r="G508" s="71"/>
      <c r="H508" s="71"/>
      <c r="I508" s="71"/>
      <c r="J508" s="71"/>
      <c r="K508" s="71"/>
      <c r="L508" s="71"/>
    </row>
    <row r="509" spans="1:71" ht="13.8">
      <c r="C509" s="95" t="s">
        <v>1386</v>
      </c>
      <c r="D509" s="95"/>
      <c r="E509" s="95"/>
      <c r="F509" s="95"/>
      <c r="G509" s="95"/>
      <c r="H509" s="95"/>
      <c r="I509" s="95">
        <f>J507</f>
        <v>771.6</v>
      </c>
      <c r="J509" s="95"/>
      <c r="O509" s="69">
        <f>I509</f>
        <v>771.6</v>
      </c>
      <c r="P509">
        <f>K509</f>
        <v>0</v>
      </c>
      <c r="Q509">
        <f>0</f>
        <v>0</v>
      </c>
      <c r="R509">
        <f>0</f>
        <v>0</v>
      </c>
      <c r="U509">
        <f>0</f>
        <v>0</v>
      </c>
      <c r="V509">
        <f>0</f>
        <v>0</v>
      </c>
      <c r="W509">
        <f>0</f>
        <v>0</v>
      </c>
      <c r="X509">
        <f>0</f>
        <v>0</v>
      </c>
      <c r="Z509">
        <f>0</f>
        <v>0</v>
      </c>
      <c r="AB509" s="69">
        <f>I509</f>
        <v>771.6</v>
      </c>
      <c r="AN509">
        <f>IF(Source!BI137&lt;=1,J507, 0)</f>
        <v>771.6</v>
      </c>
      <c r="AO509">
        <f>IF(Source!BI137&lt;=1,I509, 0)</f>
        <v>771.6</v>
      </c>
      <c r="AP509">
        <f>IF(Source!BI137&lt;=1,0, 0)</f>
        <v>0</v>
      </c>
      <c r="AQ509">
        <f>IF(Source!BI137&lt;=1,0, 0)</f>
        <v>0</v>
      </c>
      <c r="AX509">
        <f>IF(Source!BI137=2,J507, 0)</f>
        <v>0</v>
      </c>
      <c r="AY509">
        <f>IF(Source!BI137=2,I509, 0)</f>
        <v>0</v>
      </c>
      <c r="AZ509">
        <f>IF(Source!BI137=2,0, 0)</f>
        <v>0</v>
      </c>
      <c r="BA509">
        <f>IF(Source!BI137=2,0, 0)</f>
        <v>0</v>
      </c>
    </row>
    <row r="510" spans="1:71" ht="147">
      <c r="A510" s="110" t="str">
        <f>Source!E138</f>
        <v>70</v>
      </c>
      <c r="B510" s="111" t="str">
        <f>Source!F138</f>
        <v>10-01-033-3</v>
      </c>
      <c r="C510" s="111" t="s">
        <v>1449</v>
      </c>
      <c r="D510" s="81" t="str">
        <f>Source!H138</f>
        <v>100 м2 проемов</v>
      </c>
      <c r="E510" s="82">
        <f>Source!K138</f>
        <v>0.32800000000000001</v>
      </c>
      <c r="F510" s="82"/>
      <c r="G510" s="82">
        <f>Source!I138</f>
        <v>0.32800000000000001</v>
      </c>
      <c r="H510" s="83"/>
      <c r="I510" s="84"/>
      <c r="J510" s="85"/>
      <c r="K510" s="84"/>
      <c r="L510" s="86"/>
      <c r="AC510">
        <f>Source!X138</f>
        <v>160.21</v>
      </c>
      <c r="AD510">
        <f>Source!HK138</f>
        <v>3880</v>
      </c>
      <c r="AE510">
        <f>Source!Y138</f>
        <v>77.06</v>
      </c>
      <c r="AF510">
        <f>Source!HL138</f>
        <v>1866</v>
      </c>
      <c r="AS510">
        <f>IF(Source!BI138&lt;=1,AD510, 0)</f>
        <v>3880</v>
      </c>
      <c r="AT510">
        <f>IF(Source!BI138&lt;=1,AF510, 0)</f>
        <v>1866</v>
      </c>
      <c r="BC510">
        <f>IF(Source!BI138=2,AD510, 0)</f>
        <v>0</v>
      </c>
      <c r="BD510">
        <f>IF(Source!BI138=2,AF510, 0)</f>
        <v>0</v>
      </c>
    </row>
    <row r="512" spans="1:71">
      <c r="C512" s="67" t="str">
        <f>"Объем: "&amp;Source!K138&amp;"=32,8/"&amp;"100"</f>
        <v>Объем: 0,328=32,8/100</v>
      </c>
    </row>
    <row r="513" spans="1:56" ht="14.4">
      <c r="A513" s="110"/>
      <c r="B513" s="112">
        <v>1</v>
      </c>
      <c r="C513" s="111" t="s">
        <v>1373</v>
      </c>
      <c r="D513" s="81"/>
      <c r="E513" s="82"/>
      <c r="F513" s="82"/>
      <c r="G513" s="82"/>
      <c r="H513" s="83">
        <f>Source!AO138</f>
        <v>378.43</v>
      </c>
      <c r="I513" s="84">
        <f>ROUND(1.15*1.15,7)</f>
        <v>1.3225</v>
      </c>
      <c r="J513" s="85">
        <f>ROUND(Source!AF138*Source!I138, 2)</f>
        <v>164.16</v>
      </c>
      <c r="K513" s="84">
        <f>IF(Source!BA138&lt;&gt; 0, Source!BA138, 1)</f>
        <v>24.22</v>
      </c>
      <c r="L513" s="86">
        <f>Source!HJ138</f>
        <v>3976</v>
      </c>
    </row>
    <row r="514" spans="1:56" ht="14.4">
      <c r="A514" s="110"/>
      <c r="B514" s="112">
        <v>3</v>
      </c>
      <c r="C514" s="111" t="s">
        <v>1374</v>
      </c>
      <c r="D514" s="81"/>
      <c r="E514" s="82"/>
      <c r="F514" s="82"/>
      <c r="G514" s="82"/>
      <c r="H514" s="83">
        <f>Source!AM138</f>
        <v>53.2</v>
      </c>
      <c r="I514" s="84">
        <f>ROUND(1.25*1.15,7)</f>
        <v>1.4375</v>
      </c>
      <c r="J514" s="85">
        <f>ROUND(Source!AD138*Source!I138, 2)</f>
        <v>25.08</v>
      </c>
      <c r="K514" s="84"/>
      <c r="L514" s="86"/>
    </row>
    <row r="515" spans="1:56" ht="14.4">
      <c r="A515" s="110"/>
      <c r="B515" s="112">
        <v>2</v>
      </c>
      <c r="C515" s="111" t="s">
        <v>1375</v>
      </c>
      <c r="D515" s="81"/>
      <c r="E515" s="82"/>
      <c r="F515" s="82"/>
      <c r="G515" s="82"/>
      <c r="H515" s="83">
        <f>Source!AN138</f>
        <v>1.43</v>
      </c>
      <c r="I515" s="84">
        <f>ROUND(1.25*1.15,7)</f>
        <v>1.4375</v>
      </c>
      <c r="J515" s="87">
        <f>ROUND(Source!AE138*Source!I138, 2)</f>
        <v>0.67</v>
      </c>
      <c r="K515" s="84">
        <f>IF(Source!BS138&lt;&gt; 0, Source!BS138, 1)</f>
        <v>24.22</v>
      </c>
      <c r="L515" s="88">
        <f>Source!HI138</f>
        <v>16</v>
      </c>
    </row>
    <row r="516" spans="1:56" ht="14.4">
      <c r="A516" s="110"/>
      <c r="B516" s="112">
        <v>4</v>
      </c>
      <c r="C516" s="111" t="s">
        <v>1408</v>
      </c>
      <c r="D516" s="81"/>
      <c r="E516" s="82"/>
      <c r="F516" s="82"/>
      <c r="G516" s="82"/>
      <c r="H516" s="83">
        <f>Source!AL138</f>
        <v>2572.5700000000002</v>
      </c>
      <c r="I516" s="84"/>
      <c r="J516" s="85">
        <f>ROUND(Source!AC138*Source!I138, 2)</f>
        <v>843.8</v>
      </c>
      <c r="K516" s="84"/>
      <c r="L516" s="86"/>
    </row>
    <row r="517" spans="1:56" ht="14.4">
      <c r="A517" s="110"/>
      <c r="B517" s="111"/>
      <c r="C517" s="111" t="s">
        <v>1376</v>
      </c>
      <c r="D517" s="81" t="s">
        <v>1377</v>
      </c>
      <c r="E517" s="82">
        <f>Source!AQ138</f>
        <v>45.43</v>
      </c>
      <c r="F517" s="82">
        <f>ROUND(1.15*1.15,7)</f>
        <v>1.3225</v>
      </c>
      <c r="G517" s="82">
        <f>ROUND(Source!U138, 7)</f>
        <v>19.7066254</v>
      </c>
      <c r="H517" s="83"/>
      <c r="I517" s="84"/>
      <c r="J517" s="85"/>
      <c r="K517" s="84"/>
      <c r="L517" s="86"/>
    </row>
    <row r="518" spans="1:56" ht="14.4">
      <c r="A518" s="110"/>
      <c r="B518" s="111"/>
      <c r="C518" s="113" t="s">
        <v>1378</v>
      </c>
      <c r="D518" s="89" t="s">
        <v>1377</v>
      </c>
      <c r="E518" s="90">
        <f>Source!AR138</f>
        <v>0.11</v>
      </c>
      <c r="F518" s="90">
        <f>ROUND(1.25*1.15,7)</f>
        <v>1.4375</v>
      </c>
      <c r="G518" s="90">
        <f>ROUND(Source!V138, 7)</f>
        <v>5.1865000000000001E-2</v>
      </c>
      <c r="H518" s="91"/>
      <c r="I518" s="92"/>
      <c r="J518" s="93"/>
      <c r="K518" s="92"/>
      <c r="L518" s="94"/>
    </row>
    <row r="519" spans="1:56" ht="14.4">
      <c r="A519" s="110"/>
      <c r="B519" s="111"/>
      <c r="C519" s="111" t="s">
        <v>1379</v>
      </c>
      <c r="D519" s="81"/>
      <c r="E519" s="82"/>
      <c r="F519" s="82"/>
      <c r="G519" s="82"/>
      <c r="H519" s="83">
        <f>H513+H514+H516</f>
        <v>3004.2000000000003</v>
      </c>
      <c r="I519" s="84"/>
      <c r="J519" s="85">
        <f>J513+J514+J516</f>
        <v>1033.04</v>
      </c>
      <c r="K519" s="84"/>
      <c r="L519" s="86"/>
    </row>
    <row r="520" spans="1:56" ht="14.4">
      <c r="A520" s="110"/>
      <c r="B520" s="111"/>
      <c r="C520" s="111" t="s">
        <v>1380</v>
      </c>
      <c r="D520" s="81"/>
      <c r="E520" s="82"/>
      <c r="F520" s="82"/>
      <c r="G520" s="82"/>
      <c r="H520" s="83"/>
      <c r="I520" s="84"/>
      <c r="J520" s="85">
        <f>SUM(Q510:Q523)+SUM(V510:V523)</f>
        <v>164.82999999999998</v>
      </c>
      <c r="K520" s="84"/>
      <c r="L520" s="86">
        <f>SUM(U510:U523)+SUM(W510:W523)</f>
        <v>3992</v>
      </c>
    </row>
    <row r="521" spans="1:56" ht="14.4">
      <c r="A521" s="110"/>
      <c r="B521" s="111" t="s">
        <v>1381</v>
      </c>
      <c r="C521" s="111" t="s">
        <v>1382</v>
      </c>
      <c r="D521" s="81" t="s">
        <v>1383</v>
      </c>
      <c r="E521" s="82">
        <f>Source!BZ138</f>
        <v>108</v>
      </c>
      <c r="F521" s="82">
        <f>ROUND(0.9,7)</f>
        <v>0.9</v>
      </c>
      <c r="G521" s="82">
        <f>Source!AT138</f>
        <v>97.2</v>
      </c>
      <c r="H521" s="83"/>
      <c r="I521" s="84"/>
      <c r="J521" s="85">
        <f>SUM(AC510:AC523)</f>
        <v>160.21</v>
      </c>
      <c r="K521" s="84"/>
      <c r="L521" s="86">
        <f>SUM(AD510:AD523)</f>
        <v>3880</v>
      </c>
    </row>
    <row r="522" spans="1:56" ht="14.4">
      <c r="A522" s="114"/>
      <c r="B522" s="113" t="s">
        <v>1384</v>
      </c>
      <c r="C522" s="113" t="s">
        <v>1385</v>
      </c>
      <c r="D522" s="89" t="s">
        <v>1383</v>
      </c>
      <c r="E522" s="90">
        <f>Source!CA138</f>
        <v>55</v>
      </c>
      <c r="F522" s="90">
        <f>ROUND(0.85,7)</f>
        <v>0.85</v>
      </c>
      <c r="G522" s="90">
        <f>Source!AU138</f>
        <v>46.75</v>
      </c>
      <c r="H522" s="91"/>
      <c r="I522" s="92"/>
      <c r="J522" s="93">
        <f>SUM(AE510:AE523)</f>
        <v>77.06</v>
      </c>
      <c r="K522" s="92"/>
      <c r="L522" s="94">
        <f>SUM(AF510:AF523)</f>
        <v>1866</v>
      </c>
    </row>
    <row r="523" spans="1:56" ht="13.8">
      <c r="C523" s="95" t="s">
        <v>1386</v>
      </c>
      <c r="D523" s="95"/>
      <c r="E523" s="95"/>
      <c r="F523" s="95"/>
      <c r="G523" s="95"/>
      <c r="H523" s="95"/>
      <c r="I523" s="95">
        <f>J513+J514+J516+J521+J522</f>
        <v>1270.31</v>
      </c>
      <c r="J523" s="95"/>
      <c r="O523" s="69">
        <f>I523</f>
        <v>1270.31</v>
      </c>
      <c r="P523">
        <f>K523</f>
        <v>0</v>
      </c>
      <c r="Q523" s="69">
        <f>J513</f>
        <v>164.16</v>
      </c>
      <c r="R523" s="69">
        <f>J513</f>
        <v>164.16</v>
      </c>
      <c r="U523" s="70">
        <f>L513</f>
        <v>3976</v>
      </c>
      <c r="V523" s="69">
        <f>J515</f>
        <v>0.67</v>
      </c>
      <c r="W523" s="70">
        <f>L515</f>
        <v>16</v>
      </c>
      <c r="X523" s="69">
        <f>J514</f>
        <v>25.08</v>
      </c>
      <c r="Z523" s="70">
        <f>L514</f>
        <v>0</v>
      </c>
      <c r="AB523" s="69">
        <f>J516</f>
        <v>843.8</v>
      </c>
      <c r="AN523">
        <f>IF(Source!BI138&lt;=1,J513+J514+J516+J521+J522, 0)</f>
        <v>1270.31</v>
      </c>
      <c r="AO523">
        <f>IF(Source!BI138&lt;=1,J516, 0)</f>
        <v>843.8</v>
      </c>
      <c r="AP523">
        <f>IF(Source!BI138&lt;=1,J514, 0)</f>
        <v>25.08</v>
      </c>
      <c r="AQ523">
        <f>IF(Source!BI138&lt;=1,J513, 0)</f>
        <v>164.16</v>
      </c>
      <c r="AX523">
        <f>IF(Source!BI138=2,J513+J514+J516+J521+J522, 0)</f>
        <v>0</v>
      </c>
      <c r="AY523">
        <f>IF(Source!BI138=2,J516, 0)</f>
        <v>0</v>
      </c>
      <c r="AZ523">
        <f>IF(Source!BI138=2,J514, 0)</f>
        <v>0</v>
      </c>
      <c r="BA523">
        <f>IF(Source!BI138=2,J513, 0)</f>
        <v>0</v>
      </c>
    </row>
    <row r="524" spans="1:56" ht="69">
      <c r="A524" s="110" t="str">
        <f>Source!E139</f>
        <v>71</v>
      </c>
      <c r="B524" s="111" t="str">
        <f>Source!F139</f>
        <v>203-0384</v>
      </c>
      <c r="C524" s="111" t="str">
        <f>Source!G139</f>
        <v>Доски подоконные клееные из древесины, облицованные сверхтвердой древесноволокнистой плитой или водостойкой фанерой марки ПД-1, ПД-3, толщиной 34 мм, шириной 250 мм</v>
      </c>
      <c r="D524" s="81" t="str">
        <f>Source!H139</f>
        <v>м</v>
      </c>
      <c r="E524" s="82">
        <f>Source!K139</f>
        <v>-16.6296</v>
      </c>
      <c r="F524" s="82"/>
      <c r="G524" s="82">
        <f>Source!I139</f>
        <v>-16.6296</v>
      </c>
      <c r="H524" s="83">
        <f>Source!AL139</f>
        <v>37.44</v>
      </c>
      <c r="I524" s="84"/>
      <c r="J524" s="85">
        <f>ROUND(Source!AC139*Source!I139, 2)</f>
        <v>-622.61</v>
      </c>
      <c r="K524" s="84"/>
      <c r="L524" s="86"/>
      <c r="AC524">
        <f>Source!X139</f>
        <v>0</v>
      </c>
      <c r="AD524">
        <f>Source!HK139</f>
        <v>0</v>
      </c>
      <c r="AE524">
        <f>Source!Y139</f>
        <v>0</v>
      </c>
      <c r="AF524">
        <f>Source!HL139</f>
        <v>0</v>
      </c>
      <c r="AS524">
        <f>IF(Source!BI139&lt;=1,AD524, 0)</f>
        <v>0</v>
      </c>
      <c r="AT524">
        <f>IF(Source!BI139&lt;=1,AF524, 0)</f>
        <v>0</v>
      </c>
      <c r="BC524">
        <f>IF(Source!BI139=2,AD524, 0)</f>
        <v>0</v>
      </c>
      <c r="BD524">
        <f>IF(Source!BI139=2,AF524, 0)</f>
        <v>0</v>
      </c>
    </row>
    <row r="526" spans="1:56">
      <c r="A526" s="71"/>
      <c r="B526" s="71"/>
      <c r="C526" s="72" t="str">
        <f>"Объем: "&amp;Source!K139&amp;"="&amp;Source!I138&amp;"*"&amp;"-"&amp;"50,7"</f>
        <v>Объем: -16,6296=0,328*-50,7</v>
      </c>
      <c r="D526" s="71"/>
      <c r="E526" s="71"/>
      <c r="F526" s="71"/>
      <c r="G526" s="71"/>
      <c r="H526" s="71"/>
      <c r="I526" s="71"/>
      <c r="J526" s="71"/>
      <c r="K526" s="71"/>
      <c r="L526" s="71"/>
    </row>
    <row r="527" spans="1:56" ht="13.8">
      <c r="C527" s="95" t="s">
        <v>1386</v>
      </c>
      <c r="D527" s="95"/>
      <c r="E527" s="95"/>
      <c r="F527" s="95"/>
      <c r="G527" s="95"/>
      <c r="H527" s="95"/>
      <c r="I527" s="95">
        <f>J524</f>
        <v>-622.61</v>
      </c>
      <c r="J527" s="95"/>
      <c r="O527" s="69">
        <f>I527</f>
        <v>-622.61</v>
      </c>
      <c r="P527">
        <f>K527</f>
        <v>0</v>
      </c>
      <c r="Q527">
        <f>0</f>
        <v>0</v>
      </c>
      <c r="R527">
        <f>0</f>
        <v>0</v>
      </c>
      <c r="U527">
        <f>0</f>
        <v>0</v>
      </c>
      <c r="V527">
        <f>0</f>
        <v>0</v>
      </c>
      <c r="W527">
        <f>0</f>
        <v>0</v>
      </c>
      <c r="X527">
        <f>0</f>
        <v>0</v>
      </c>
      <c r="Z527">
        <f>0</f>
        <v>0</v>
      </c>
      <c r="AB527" s="69">
        <f>I527</f>
        <v>-622.61</v>
      </c>
      <c r="AN527">
        <f>IF(Source!BI139&lt;=1,J524, 0)</f>
        <v>-622.61</v>
      </c>
      <c r="AO527">
        <f>IF(Source!BI139&lt;=1,I527, 0)</f>
        <v>-622.61</v>
      </c>
      <c r="AP527">
        <f>IF(Source!BI139&lt;=1,0, 0)</f>
        <v>0</v>
      </c>
      <c r="AQ527">
        <f>IF(Source!BI139&lt;=1,0, 0)</f>
        <v>0</v>
      </c>
      <c r="AX527">
        <f>IF(Source!BI139=2,J524, 0)</f>
        <v>0</v>
      </c>
      <c r="AY527">
        <f>IF(Source!BI139=2,I527, 0)</f>
        <v>0</v>
      </c>
      <c r="AZ527">
        <f>IF(Source!BI139=2,0, 0)</f>
        <v>0</v>
      </c>
      <c r="BA527">
        <f>IF(Source!BI139=2,0, 0)</f>
        <v>0</v>
      </c>
    </row>
    <row r="528" spans="1:56" ht="41.4">
      <c r="A528" s="110" t="str">
        <f>Source!E140</f>
        <v>72</v>
      </c>
      <c r="B528" s="111" t="str">
        <f>Source!F140</f>
        <v>ТЦ_11.2.07.03_69_4823015698_22.07.2021_01</v>
      </c>
      <c r="C528" s="111" t="str">
        <f>Source!G140</f>
        <v>Подоконная доска ПД-1 0,329х1,216=0,4м2 (9688/6,17)</v>
      </c>
      <c r="D528" s="81" t="str">
        <f>Source!H140</f>
        <v>м2</v>
      </c>
      <c r="E528" s="82">
        <f>Source!K140</f>
        <v>4.8</v>
      </c>
      <c r="F528" s="82"/>
      <c r="G528" s="82">
        <f>Source!I140</f>
        <v>4.8</v>
      </c>
      <c r="H528" s="83">
        <f>Source!AL140</f>
        <v>9688</v>
      </c>
      <c r="I528" s="84"/>
      <c r="J528" s="85">
        <f>Source!P140</f>
        <v>7536.79</v>
      </c>
      <c r="K528" s="84">
        <f>IF(Source!BC140&lt;&gt; 0, Source!BC140, 1)</f>
        <v>6.17</v>
      </c>
      <c r="L528" s="86">
        <f>Source!HG140</f>
        <v>46502</v>
      </c>
      <c r="AC528">
        <f>Source!X140</f>
        <v>0</v>
      </c>
      <c r="AD528">
        <f>Source!HK140</f>
        <v>0</v>
      </c>
      <c r="AE528">
        <f>Source!Y140</f>
        <v>0</v>
      </c>
      <c r="AF528">
        <f>Source!HL140</f>
        <v>0</v>
      </c>
      <c r="AS528">
        <f>IF(Source!BI140&lt;=1,AD528, 0)</f>
        <v>0</v>
      </c>
      <c r="AT528">
        <f>IF(Source!BI140&lt;=1,AF528, 0)</f>
        <v>0</v>
      </c>
      <c r="BC528">
        <f>IF(Source!BI140=2,AD528, 0)</f>
        <v>0</v>
      </c>
      <c r="BD528">
        <f>IF(Source!BI140=2,AF528, 0)</f>
        <v>0</v>
      </c>
    </row>
    <row r="529" spans="1:71">
      <c r="A529" s="71"/>
      <c r="B529" s="71"/>
      <c r="C529" s="71"/>
      <c r="D529" s="71"/>
      <c r="E529" s="71"/>
      <c r="F529" s="71"/>
      <c r="G529" s="71"/>
      <c r="H529" s="71"/>
      <c r="I529" s="71"/>
      <c r="J529" s="71"/>
      <c r="K529" s="71"/>
      <c r="L529" s="71"/>
    </row>
    <row r="530" spans="1:71" ht="13.8">
      <c r="C530" s="95" t="s">
        <v>1386</v>
      </c>
      <c r="D530" s="95"/>
      <c r="E530" s="95"/>
      <c r="F530" s="95"/>
      <c r="G530" s="95"/>
      <c r="H530" s="95"/>
      <c r="I530" s="95">
        <f>J528</f>
        <v>7536.79</v>
      </c>
      <c r="J530" s="95"/>
      <c r="K530" s="96">
        <f>L528</f>
        <v>46502</v>
      </c>
      <c r="L530" s="96"/>
      <c r="O530" s="69">
        <f>I530</f>
        <v>7536.79</v>
      </c>
      <c r="P530" s="70">
        <f>K530</f>
        <v>46502</v>
      </c>
      <c r="Q530">
        <f>0</f>
        <v>0</v>
      </c>
      <c r="R530">
        <f>0</f>
        <v>0</v>
      </c>
      <c r="U530">
        <f>0</f>
        <v>0</v>
      </c>
      <c r="V530">
        <f>0</f>
        <v>0</v>
      </c>
      <c r="W530">
        <f>0</f>
        <v>0</v>
      </c>
      <c r="X530">
        <f>0</f>
        <v>0</v>
      </c>
      <c r="Z530">
        <f>0</f>
        <v>0</v>
      </c>
      <c r="AB530" s="69">
        <f>I530</f>
        <v>7536.79</v>
      </c>
      <c r="AN530">
        <f>IF(Source!BI140&lt;=1,J528, 0)</f>
        <v>7536.79</v>
      </c>
      <c r="AO530">
        <f>IF(Source!BI140&lt;=1,I530, 0)</f>
        <v>7536.79</v>
      </c>
      <c r="AP530">
        <f>IF(Source!BI140&lt;=1,0, 0)</f>
        <v>0</v>
      </c>
      <c r="AQ530">
        <f>IF(Source!BI140&lt;=1,0, 0)</f>
        <v>0</v>
      </c>
      <c r="AX530">
        <f>IF(Source!BI140=2,J528, 0)</f>
        <v>0</v>
      </c>
      <c r="AY530">
        <f>IF(Source!BI140=2,I530, 0)</f>
        <v>0</v>
      </c>
      <c r="AZ530">
        <f>IF(Source!BI140=2,0, 0)</f>
        <v>0</v>
      </c>
      <c r="BA530">
        <f>IF(Source!BI140=2,0, 0)</f>
        <v>0</v>
      </c>
      <c r="BQ530" s="69">
        <f>I530</f>
        <v>7536.79</v>
      </c>
      <c r="BS530" s="70">
        <f>K530</f>
        <v>46502</v>
      </c>
    </row>
    <row r="531" spans="1:71" ht="147">
      <c r="A531" s="110" t="str">
        <f>Source!E141</f>
        <v>73</v>
      </c>
      <c r="B531" s="111" t="str">
        <f>Source!F141</f>
        <v>15-04-025-5</v>
      </c>
      <c r="C531" s="111" t="s">
        <v>1450</v>
      </c>
      <c r="D531" s="81" t="str">
        <f>Source!H141</f>
        <v>100 м2 окрашиваемой поверхности</v>
      </c>
      <c r="E531" s="82">
        <f>Source!K141</f>
        <v>0.68079999999999996</v>
      </c>
      <c r="F531" s="82"/>
      <c r="G531" s="82">
        <f>Source!I141</f>
        <v>0.68079999999999996</v>
      </c>
      <c r="H531" s="83"/>
      <c r="I531" s="84"/>
      <c r="J531" s="85"/>
      <c r="K531" s="84"/>
      <c r="L531" s="86"/>
      <c r="AC531">
        <f>Source!X141</f>
        <v>983.96</v>
      </c>
      <c r="AD531">
        <f>Source!HK141</f>
        <v>23831</v>
      </c>
      <c r="AE531">
        <f>Source!Y141</f>
        <v>455.36</v>
      </c>
      <c r="AF531">
        <f>Source!HL141</f>
        <v>11029</v>
      </c>
      <c r="AS531">
        <f>IF(Source!BI141&lt;=1,AD531, 0)</f>
        <v>23831</v>
      </c>
      <c r="AT531">
        <f>IF(Source!BI141&lt;=1,AF531, 0)</f>
        <v>11029</v>
      </c>
      <c r="BC531">
        <f>IF(Source!BI141=2,AD531, 0)</f>
        <v>0</v>
      </c>
      <c r="BD531">
        <f>IF(Source!BI141=2,AF531, 0)</f>
        <v>0</v>
      </c>
    </row>
    <row r="533" spans="1:71">
      <c r="C533" s="67" t="str">
        <f>"Объем: "&amp;Source!K141&amp;"=(59,88+"&amp;"3,4+"&amp;"4,8)/"&amp;"100"</f>
        <v>Объем: 0,6808=(59,88+3,4+4,8)/100</v>
      </c>
    </row>
    <row r="534" spans="1:71" ht="14.4">
      <c r="A534" s="110"/>
      <c r="B534" s="112">
        <v>1</v>
      </c>
      <c r="C534" s="111" t="s">
        <v>1373</v>
      </c>
      <c r="D534" s="81"/>
      <c r="E534" s="82"/>
      <c r="F534" s="82"/>
      <c r="G534" s="82"/>
      <c r="H534" s="83">
        <f>Source!AO141</f>
        <v>1214.1400000000001</v>
      </c>
      <c r="I534" s="84">
        <f>ROUND(1.15*1.15,7)</f>
        <v>1.3225</v>
      </c>
      <c r="J534" s="85">
        <f>ROUND(Source!AF141*Source!I141, 2)</f>
        <v>1093.1600000000001</v>
      </c>
      <c r="K534" s="84">
        <f>IF(Source!BA141&lt;&gt; 0, Source!BA141, 1)</f>
        <v>24.22</v>
      </c>
      <c r="L534" s="86">
        <f>Source!HJ141</f>
        <v>26476</v>
      </c>
    </row>
    <row r="535" spans="1:71" ht="14.4">
      <c r="A535" s="110"/>
      <c r="B535" s="112">
        <v>3</v>
      </c>
      <c r="C535" s="111" t="s">
        <v>1374</v>
      </c>
      <c r="D535" s="81"/>
      <c r="E535" s="82"/>
      <c r="F535" s="82"/>
      <c r="G535" s="82"/>
      <c r="H535" s="83">
        <f>Source!AM141</f>
        <v>8.5500000000000007</v>
      </c>
      <c r="I535" s="84">
        <f>ROUND(1.25*1.15,7)</f>
        <v>1.4375</v>
      </c>
      <c r="J535" s="85">
        <f>ROUND(Source!AD141*Source!I141, 2)</f>
        <v>8.3699999999999992</v>
      </c>
      <c r="K535" s="84"/>
      <c r="L535" s="86"/>
    </row>
    <row r="536" spans="1:71" ht="14.4">
      <c r="A536" s="110"/>
      <c r="B536" s="112">
        <v>2</v>
      </c>
      <c r="C536" s="111" t="s">
        <v>1375</v>
      </c>
      <c r="D536" s="81"/>
      <c r="E536" s="82"/>
      <c r="F536" s="82"/>
      <c r="G536" s="82"/>
      <c r="H536" s="83">
        <f>Source!AN141</f>
        <v>0.13</v>
      </c>
      <c r="I536" s="84">
        <f>ROUND(1.25*1.15,7)</f>
        <v>1.4375</v>
      </c>
      <c r="J536" s="87">
        <f>ROUND(Source!AE141*Source!I141, 2)</f>
        <v>0.13</v>
      </c>
      <c r="K536" s="84">
        <f>IF(Source!BS141&lt;&gt; 0, Source!BS141, 1)</f>
        <v>24.22</v>
      </c>
      <c r="L536" s="88">
        <f>Source!HI141</f>
        <v>3</v>
      </c>
    </row>
    <row r="537" spans="1:71" ht="14.4">
      <c r="A537" s="110"/>
      <c r="B537" s="112">
        <v>4</v>
      </c>
      <c r="C537" s="111" t="s">
        <v>1408</v>
      </c>
      <c r="D537" s="81"/>
      <c r="E537" s="82"/>
      <c r="F537" s="82"/>
      <c r="G537" s="82"/>
      <c r="H537" s="83">
        <f>Source!AL141</f>
        <v>603.24</v>
      </c>
      <c r="I537" s="84"/>
      <c r="J537" s="85">
        <f>ROUND(Source!AC141*Source!I141, 2)</f>
        <v>410.69</v>
      </c>
      <c r="K537" s="84"/>
      <c r="L537" s="86"/>
    </row>
    <row r="538" spans="1:71" ht="14.4">
      <c r="A538" s="110"/>
      <c r="B538" s="111"/>
      <c r="C538" s="111" t="s">
        <v>1376</v>
      </c>
      <c r="D538" s="81" t="s">
        <v>1377</v>
      </c>
      <c r="E538" s="82">
        <f>Source!AQ141</f>
        <v>138.6</v>
      </c>
      <c r="F538" s="82">
        <f>ROUND(1.15*1.15,7)</f>
        <v>1.3225</v>
      </c>
      <c r="G538" s="82">
        <f>ROUND(Source!U141, 7)</f>
        <v>124.7896188</v>
      </c>
      <c r="H538" s="83"/>
      <c r="I538" s="84"/>
      <c r="J538" s="85"/>
      <c r="K538" s="84"/>
      <c r="L538" s="86"/>
    </row>
    <row r="539" spans="1:71" ht="14.4">
      <c r="A539" s="110"/>
      <c r="B539" s="111"/>
      <c r="C539" s="113" t="s">
        <v>1378</v>
      </c>
      <c r="D539" s="89" t="s">
        <v>1377</v>
      </c>
      <c r="E539" s="90">
        <f>Source!AR141</f>
        <v>0.01</v>
      </c>
      <c r="F539" s="90">
        <f>ROUND(1.25*1.15,7)</f>
        <v>1.4375</v>
      </c>
      <c r="G539" s="90">
        <f>ROUND(Source!V141, 7)</f>
        <v>9.7865000000000001E-3</v>
      </c>
      <c r="H539" s="91"/>
      <c r="I539" s="92"/>
      <c r="J539" s="93"/>
      <c r="K539" s="92"/>
      <c r="L539" s="94"/>
    </row>
    <row r="540" spans="1:71" ht="14.4">
      <c r="A540" s="110"/>
      <c r="B540" s="111"/>
      <c r="C540" s="111" t="s">
        <v>1379</v>
      </c>
      <c r="D540" s="81"/>
      <c r="E540" s="82"/>
      <c r="F540" s="82"/>
      <c r="G540" s="82"/>
      <c r="H540" s="83">
        <f>H534+H535+H537</f>
        <v>1825.93</v>
      </c>
      <c r="I540" s="84"/>
      <c r="J540" s="85">
        <f>J534+J535+J537</f>
        <v>1512.22</v>
      </c>
      <c r="K540" s="84"/>
      <c r="L540" s="86"/>
    </row>
    <row r="541" spans="1:71" ht="14.4">
      <c r="A541" s="110"/>
      <c r="B541" s="111"/>
      <c r="C541" s="111" t="s">
        <v>1380</v>
      </c>
      <c r="D541" s="81"/>
      <c r="E541" s="82"/>
      <c r="F541" s="82"/>
      <c r="G541" s="82"/>
      <c r="H541" s="83"/>
      <c r="I541" s="84"/>
      <c r="J541" s="85">
        <f>SUM(Q531:Q544)+SUM(V531:V544)</f>
        <v>1093.2900000000002</v>
      </c>
      <c r="K541" s="84"/>
      <c r="L541" s="86">
        <f>SUM(U531:U544)+SUM(W531:W544)</f>
        <v>26479</v>
      </c>
    </row>
    <row r="542" spans="1:71" ht="14.4">
      <c r="A542" s="110"/>
      <c r="B542" s="111" t="s">
        <v>1414</v>
      </c>
      <c r="C542" s="111" t="s">
        <v>1415</v>
      </c>
      <c r="D542" s="81" t="s">
        <v>1383</v>
      </c>
      <c r="E542" s="82">
        <f>Source!BZ141</f>
        <v>100</v>
      </c>
      <c r="F542" s="82">
        <f>ROUND(0.9,7)</f>
        <v>0.9</v>
      </c>
      <c r="G542" s="82">
        <f>Source!AT141</f>
        <v>90</v>
      </c>
      <c r="H542" s="83"/>
      <c r="I542" s="84"/>
      <c r="J542" s="85">
        <f>SUM(AC531:AC544)</f>
        <v>983.96</v>
      </c>
      <c r="K542" s="84"/>
      <c r="L542" s="86">
        <f>SUM(AD531:AD544)</f>
        <v>23831</v>
      </c>
    </row>
    <row r="543" spans="1:71" ht="14.4">
      <c r="A543" s="114"/>
      <c r="B543" s="113" t="s">
        <v>1416</v>
      </c>
      <c r="C543" s="113" t="s">
        <v>1417</v>
      </c>
      <c r="D543" s="89" t="s">
        <v>1383</v>
      </c>
      <c r="E543" s="90">
        <f>Source!CA141</f>
        <v>49</v>
      </c>
      <c r="F543" s="90">
        <f>ROUND(0.85,7)</f>
        <v>0.85</v>
      </c>
      <c r="G543" s="90">
        <f>Source!AU141</f>
        <v>41.65</v>
      </c>
      <c r="H543" s="91"/>
      <c r="I543" s="92"/>
      <c r="J543" s="93">
        <f>SUM(AE531:AE544)</f>
        <v>455.36</v>
      </c>
      <c r="K543" s="92"/>
      <c r="L543" s="94">
        <f>SUM(AF531:AF544)</f>
        <v>11029</v>
      </c>
    </row>
    <row r="544" spans="1:71" ht="13.8">
      <c r="C544" s="95" t="s">
        <v>1386</v>
      </c>
      <c r="D544" s="95"/>
      <c r="E544" s="95"/>
      <c r="F544" s="95"/>
      <c r="G544" s="95"/>
      <c r="H544" s="95"/>
      <c r="I544" s="95">
        <f>J534+J535+J537+J542+J543</f>
        <v>2951.5400000000004</v>
      </c>
      <c r="J544" s="95"/>
      <c r="O544" s="69">
        <f>I544</f>
        <v>2951.5400000000004</v>
      </c>
      <c r="P544">
        <f>K544</f>
        <v>0</v>
      </c>
      <c r="Q544" s="69">
        <f>J534</f>
        <v>1093.1600000000001</v>
      </c>
      <c r="R544" s="69">
        <f>J534</f>
        <v>1093.1600000000001</v>
      </c>
      <c r="U544" s="70">
        <f>L534</f>
        <v>26476</v>
      </c>
      <c r="V544" s="69">
        <f>J536</f>
        <v>0.13</v>
      </c>
      <c r="W544" s="70">
        <f>L536</f>
        <v>3</v>
      </c>
      <c r="X544" s="69">
        <f>J535</f>
        <v>8.3699999999999992</v>
      </c>
      <c r="Z544" s="70">
        <f>L535</f>
        <v>0</v>
      </c>
      <c r="AB544" s="69">
        <f>J537</f>
        <v>410.69</v>
      </c>
      <c r="AN544">
        <f>IF(Source!BI141&lt;=1,J534+J535+J537+J542+J543, 0)</f>
        <v>2951.5400000000004</v>
      </c>
      <c r="AO544">
        <f>IF(Source!BI141&lt;=1,J537, 0)</f>
        <v>410.69</v>
      </c>
      <c r="AP544">
        <f>IF(Source!BI141&lt;=1,J535, 0)</f>
        <v>8.3699999999999992</v>
      </c>
      <c r="AQ544">
        <f>IF(Source!BI141&lt;=1,J534, 0)</f>
        <v>1093.1600000000001</v>
      </c>
      <c r="AX544">
        <f>IF(Source!BI141=2,J534+J535+J537+J542+J543, 0)</f>
        <v>0</v>
      </c>
      <c r="AY544">
        <f>IF(Source!BI141=2,J537, 0)</f>
        <v>0</v>
      </c>
      <c r="AZ544">
        <f>IF(Source!BI141=2,J535, 0)</f>
        <v>0</v>
      </c>
      <c r="BA544">
        <f>IF(Source!BI141=2,J534, 0)</f>
        <v>0</v>
      </c>
    </row>
    <row r="545" spans="1:56" ht="147">
      <c r="A545" s="110" t="str">
        <f>Source!E142</f>
        <v>74</v>
      </c>
      <c r="B545" s="111" t="str">
        <f>Source!F142</f>
        <v>12-01-010-1</v>
      </c>
      <c r="C545" s="111" t="s">
        <v>1424</v>
      </c>
      <c r="D545" s="81" t="str">
        <f>Source!H142</f>
        <v>100 м2 покрытия</v>
      </c>
      <c r="E545" s="82">
        <f>Source!K142</f>
        <v>3.85E-2</v>
      </c>
      <c r="F545" s="82"/>
      <c r="G545" s="82">
        <f>Source!I142</f>
        <v>3.85E-2</v>
      </c>
      <c r="H545" s="83"/>
      <c r="I545" s="84"/>
      <c r="J545" s="85"/>
      <c r="K545" s="84"/>
      <c r="L545" s="86"/>
      <c r="AC545">
        <f>Source!X142</f>
        <v>46.49</v>
      </c>
      <c r="AD545">
        <f>Source!HK142</f>
        <v>1125</v>
      </c>
      <c r="AE545">
        <f>Source!Y142</f>
        <v>22.96</v>
      </c>
      <c r="AF545">
        <f>Source!HL142</f>
        <v>556</v>
      </c>
      <c r="AS545">
        <f>IF(Source!BI142&lt;=1,AD545, 0)</f>
        <v>1125</v>
      </c>
      <c r="AT545">
        <f>IF(Source!BI142&lt;=1,AF545, 0)</f>
        <v>556</v>
      </c>
      <c r="BC545">
        <f>IF(Source!BI142=2,AD545, 0)</f>
        <v>0</v>
      </c>
      <c r="BD545">
        <f>IF(Source!BI142=2,AF545, 0)</f>
        <v>0</v>
      </c>
    </row>
    <row r="547" spans="1:56">
      <c r="C547" s="67" t="str">
        <f>"Объем: "&amp;Source!K142&amp;"=3,85/"&amp;"100"</f>
        <v>Объем: 0,0385=3,85/100</v>
      </c>
    </row>
    <row r="548" spans="1:56" ht="14.4">
      <c r="A548" s="110"/>
      <c r="B548" s="112">
        <v>1</v>
      </c>
      <c r="C548" s="111" t="s">
        <v>1373</v>
      </c>
      <c r="D548" s="81"/>
      <c r="E548" s="82"/>
      <c r="F548" s="82"/>
      <c r="G548" s="82"/>
      <c r="H548" s="83">
        <f>Source!AO142</f>
        <v>927.93</v>
      </c>
      <c r="I548" s="84">
        <f>ROUND(1.15*1.15,7)</f>
        <v>1.3225</v>
      </c>
      <c r="J548" s="85">
        <f>ROUND(Source!AF142*Source!I142, 2)</f>
        <v>47.25</v>
      </c>
      <c r="K548" s="84">
        <f>IF(Source!BA142&lt;&gt; 0, Source!BA142, 1)</f>
        <v>24.22</v>
      </c>
      <c r="L548" s="86">
        <f>Source!HJ142</f>
        <v>1144</v>
      </c>
    </row>
    <row r="549" spans="1:56" ht="14.4">
      <c r="A549" s="110"/>
      <c r="B549" s="112">
        <v>3</v>
      </c>
      <c r="C549" s="111" t="s">
        <v>1374</v>
      </c>
      <c r="D549" s="81"/>
      <c r="E549" s="82"/>
      <c r="F549" s="82"/>
      <c r="G549" s="82"/>
      <c r="H549" s="83">
        <f>Source!AM142</f>
        <v>23.6</v>
      </c>
      <c r="I549" s="84">
        <f>ROUND(1.25*1.15,7)</f>
        <v>1.4375</v>
      </c>
      <c r="J549" s="85">
        <f>ROUND(Source!AD142*Source!I142, 2)</f>
        <v>1.31</v>
      </c>
      <c r="K549" s="84"/>
      <c r="L549" s="86"/>
    </row>
    <row r="550" spans="1:56" ht="14.4">
      <c r="A550" s="110"/>
      <c r="B550" s="112">
        <v>2</v>
      </c>
      <c r="C550" s="111" t="s">
        <v>1375</v>
      </c>
      <c r="D550" s="81"/>
      <c r="E550" s="82"/>
      <c r="F550" s="82"/>
      <c r="G550" s="82"/>
      <c r="H550" s="83">
        <f>Source!AN142</f>
        <v>2.61</v>
      </c>
      <c r="I550" s="84">
        <f>ROUND(1.25*1.15,7)</f>
        <v>1.4375</v>
      </c>
      <c r="J550" s="87">
        <f>ROUND(Source!AE142*Source!I142, 2)</f>
        <v>0.14000000000000001</v>
      </c>
      <c r="K550" s="84">
        <f>IF(Source!BS142&lt;&gt; 0, Source!BS142, 1)</f>
        <v>24.22</v>
      </c>
      <c r="L550" s="88">
        <f>Source!HI142</f>
        <v>3</v>
      </c>
    </row>
    <row r="551" spans="1:56" ht="14.4">
      <c r="A551" s="110"/>
      <c r="B551" s="112">
        <v>4</v>
      </c>
      <c r="C551" s="111" t="s">
        <v>1408</v>
      </c>
      <c r="D551" s="81"/>
      <c r="E551" s="82"/>
      <c r="F551" s="82"/>
      <c r="G551" s="82"/>
      <c r="H551" s="83">
        <f>Source!AL142</f>
        <v>9655.7000000000007</v>
      </c>
      <c r="I551" s="84"/>
      <c r="J551" s="85">
        <f>ROUND(Source!AC142*Source!I142, 2)</f>
        <v>371.74</v>
      </c>
      <c r="K551" s="84"/>
      <c r="L551" s="86"/>
    </row>
    <row r="552" spans="1:56" ht="14.4">
      <c r="A552" s="110"/>
      <c r="B552" s="111"/>
      <c r="C552" s="111" t="s">
        <v>1376</v>
      </c>
      <c r="D552" s="81" t="s">
        <v>1377</v>
      </c>
      <c r="E552" s="82">
        <f>Source!AQ142</f>
        <v>112.75</v>
      </c>
      <c r="F552" s="82">
        <f>ROUND(1.15*1.15,7)</f>
        <v>1.3225</v>
      </c>
      <c r="G552" s="82">
        <f>ROUND(Source!U142, 7)</f>
        <v>5.7408071999999999</v>
      </c>
      <c r="H552" s="83"/>
      <c r="I552" s="84"/>
      <c r="J552" s="85"/>
      <c r="K552" s="84"/>
      <c r="L552" s="86"/>
    </row>
    <row r="553" spans="1:56" ht="14.4">
      <c r="A553" s="110"/>
      <c r="B553" s="111"/>
      <c r="C553" s="113" t="s">
        <v>1378</v>
      </c>
      <c r="D553" s="89" t="s">
        <v>1377</v>
      </c>
      <c r="E553" s="90">
        <f>Source!AR142</f>
        <v>0.2</v>
      </c>
      <c r="F553" s="90">
        <f>ROUND(1.25*1.15,7)</f>
        <v>1.4375</v>
      </c>
      <c r="G553" s="90">
        <f>ROUND(Source!V142, 7)</f>
        <v>1.10688E-2</v>
      </c>
      <c r="H553" s="91"/>
      <c r="I553" s="92"/>
      <c r="J553" s="93"/>
      <c r="K553" s="92"/>
      <c r="L553" s="94"/>
    </row>
    <row r="554" spans="1:56" ht="14.4">
      <c r="A554" s="110"/>
      <c r="B554" s="111"/>
      <c r="C554" s="111" t="s">
        <v>1379</v>
      </c>
      <c r="D554" s="81"/>
      <c r="E554" s="82"/>
      <c r="F554" s="82"/>
      <c r="G554" s="82"/>
      <c r="H554" s="83">
        <f>H548+H549+H551</f>
        <v>10607.230000000001</v>
      </c>
      <c r="I554" s="84"/>
      <c r="J554" s="85">
        <f>J548+J549+J551</f>
        <v>420.3</v>
      </c>
      <c r="K554" s="84"/>
      <c r="L554" s="86"/>
    </row>
    <row r="555" spans="1:56" ht="14.4">
      <c r="A555" s="110"/>
      <c r="B555" s="111"/>
      <c r="C555" s="111" t="s">
        <v>1380</v>
      </c>
      <c r="D555" s="81"/>
      <c r="E555" s="82"/>
      <c r="F555" s="82"/>
      <c r="G555" s="82"/>
      <c r="H555" s="83"/>
      <c r="I555" s="84"/>
      <c r="J555" s="85">
        <f>SUM(Q545:Q558)+SUM(V545:V558)</f>
        <v>47.39</v>
      </c>
      <c r="K555" s="84"/>
      <c r="L555" s="86">
        <f>SUM(U545:U558)+SUM(W545:W558)</f>
        <v>1147</v>
      </c>
    </row>
    <row r="556" spans="1:56" ht="14.4">
      <c r="A556" s="110"/>
      <c r="B556" s="111" t="s">
        <v>1425</v>
      </c>
      <c r="C556" s="111" t="s">
        <v>1426</v>
      </c>
      <c r="D556" s="81" t="s">
        <v>1383</v>
      </c>
      <c r="E556" s="82">
        <f>Source!BZ142</f>
        <v>109</v>
      </c>
      <c r="F556" s="82">
        <f>ROUND(0.9,7)</f>
        <v>0.9</v>
      </c>
      <c r="G556" s="82">
        <f>Source!AT142</f>
        <v>98.1</v>
      </c>
      <c r="H556" s="83"/>
      <c r="I556" s="84"/>
      <c r="J556" s="85">
        <f>SUM(AC545:AC558)</f>
        <v>46.49</v>
      </c>
      <c r="K556" s="84"/>
      <c r="L556" s="86">
        <f>SUM(AD545:AD558)</f>
        <v>1125</v>
      </c>
    </row>
    <row r="557" spans="1:56" ht="14.4">
      <c r="A557" s="114"/>
      <c r="B557" s="113" t="s">
        <v>1427</v>
      </c>
      <c r="C557" s="113" t="s">
        <v>1428</v>
      </c>
      <c r="D557" s="89" t="s">
        <v>1383</v>
      </c>
      <c r="E557" s="90">
        <f>Source!CA142</f>
        <v>57</v>
      </c>
      <c r="F557" s="90">
        <f>ROUND(0.85,7)</f>
        <v>0.85</v>
      </c>
      <c r="G557" s="90">
        <f>Source!AU142</f>
        <v>48.45</v>
      </c>
      <c r="H557" s="91"/>
      <c r="I557" s="92"/>
      <c r="J557" s="93">
        <f>SUM(AE545:AE558)</f>
        <v>22.96</v>
      </c>
      <c r="K557" s="92"/>
      <c r="L557" s="94">
        <f>SUM(AF545:AF558)</f>
        <v>556</v>
      </c>
    </row>
    <row r="558" spans="1:56" ht="13.8">
      <c r="C558" s="95" t="s">
        <v>1386</v>
      </c>
      <c r="D558" s="95"/>
      <c r="E558" s="95"/>
      <c r="F558" s="95"/>
      <c r="G558" s="95"/>
      <c r="H558" s="95"/>
      <c r="I558" s="95">
        <f>J548+J549+J551+J556+J557</f>
        <v>489.75</v>
      </c>
      <c r="J558" s="95"/>
      <c r="O558" s="69">
        <f>I558</f>
        <v>489.75</v>
      </c>
      <c r="P558">
        <f>K558</f>
        <v>0</v>
      </c>
      <c r="Q558" s="69">
        <f>J548</f>
        <v>47.25</v>
      </c>
      <c r="R558" s="69">
        <f>J548</f>
        <v>47.25</v>
      </c>
      <c r="U558" s="70">
        <f>L548</f>
        <v>1144</v>
      </c>
      <c r="V558" s="69">
        <f>J550</f>
        <v>0.14000000000000001</v>
      </c>
      <c r="W558" s="70">
        <f>L550</f>
        <v>3</v>
      </c>
      <c r="X558" s="69">
        <f>J549</f>
        <v>1.31</v>
      </c>
      <c r="Z558" s="70">
        <f>L549</f>
        <v>0</v>
      </c>
      <c r="AB558" s="69">
        <f>J551</f>
        <v>371.74</v>
      </c>
      <c r="AN558">
        <f>IF(Source!BI142&lt;=1,J548+J549+J551+J556+J557, 0)</f>
        <v>489.75</v>
      </c>
      <c r="AO558">
        <f>IF(Source!BI142&lt;=1,J551, 0)</f>
        <v>371.74</v>
      </c>
      <c r="AP558">
        <f>IF(Source!BI142&lt;=1,J549, 0)</f>
        <v>1.31</v>
      </c>
      <c r="AQ558">
        <f>IF(Source!BI142&lt;=1,J548, 0)</f>
        <v>47.25</v>
      </c>
      <c r="AX558">
        <f>IF(Source!BI142=2,J548+J549+J551+J556+J557, 0)</f>
        <v>0</v>
      </c>
      <c r="AY558">
        <f>IF(Source!BI142=2,J551, 0)</f>
        <v>0</v>
      </c>
      <c r="AZ558">
        <f>IF(Source!BI142=2,J549, 0)</f>
        <v>0</v>
      </c>
      <c r="BA558">
        <f>IF(Source!BI142=2,J548, 0)</f>
        <v>0</v>
      </c>
    </row>
    <row r="559" spans="1:56" ht="13.8">
      <c r="C559" s="79" t="str">
        <f>Source!G143</f>
        <v>Внутренние работы</v>
      </c>
    </row>
    <row r="560" spans="1:56" ht="106.8">
      <c r="A560" s="110" t="str">
        <f>Source!E144</f>
        <v>75</v>
      </c>
      <c r="B560" s="111" t="str">
        <f>Source!F144</f>
        <v>46-02-009-2</v>
      </c>
      <c r="C560" s="111" t="s">
        <v>1451</v>
      </c>
      <c r="D560" s="81" t="str">
        <f>Source!H144</f>
        <v>100 м2</v>
      </c>
      <c r="E560" s="82">
        <f>Source!K144</f>
        <v>5.54</v>
      </c>
      <c r="F560" s="82"/>
      <c r="G560" s="82">
        <f>Source!I144</f>
        <v>5.54</v>
      </c>
      <c r="H560" s="83"/>
      <c r="I560" s="84"/>
      <c r="J560" s="85"/>
      <c r="K560" s="84"/>
      <c r="L560" s="86"/>
      <c r="AC560">
        <f>Source!X144</f>
        <v>1127.57</v>
      </c>
      <c r="AD560">
        <f>Source!HK144</f>
        <v>27309</v>
      </c>
      <c r="AE560">
        <f>Source!Y144</f>
        <v>1127.57</v>
      </c>
      <c r="AF560">
        <f>Source!HL144</f>
        <v>27309</v>
      </c>
      <c r="AS560">
        <f>IF(Source!BI144&lt;=1,AD560, 0)</f>
        <v>27309</v>
      </c>
      <c r="AT560">
        <f>IF(Source!BI144&lt;=1,AF560, 0)</f>
        <v>27309</v>
      </c>
      <c r="BC560">
        <f>IF(Source!BI144=2,AD560, 0)</f>
        <v>0</v>
      </c>
      <c r="BD560">
        <f>IF(Source!BI144=2,AF560, 0)</f>
        <v>0</v>
      </c>
    </row>
    <row r="562" spans="1:56">
      <c r="C562" s="67" t="str">
        <f>"Объем: "&amp;Source!K144&amp;"=(102,4+"&amp;"36,1)*"&amp;"4/"&amp;"100"</f>
        <v>Объем: 5,54=(102,4+36,1)*4/100</v>
      </c>
    </row>
    <row r="563" spans="1:56" ht="14.4">
      <c r="A563" s="110"/>
      <c r="B563" s="112">
        <v>1</v>
      </c>
      <c r="C563" s="111" t="s">
        <v>1373</v>
      </c>
      <c r="D563" s="81"/>
      <c r="E563" s="82"/>
      <c r="F563" s="82"/>
      <c r="G563" s="82"/>
      <c r="H563" s="83">
        <f>Source!AO144</f>
        <v>171.83</v>
      </c>
      <c r="I563" s="84">
        <f>ROUND(1.15,7)</f>
        <v>1.1499999999999999</v>
      </c>
      <c r="J563" s="85">
        <f>ROUND(Source!AF144*Source!I144, 2)</f>
        <v>1094.73</v>
      </c>
      <c r="K563" s="84">
        <f>IF(Source!BA144&lt;&gt; 0, Source!BA144, 1)</f>
        <v>24.22</v>
      </c>
      <c r="L563" s="86">
        <f>Source!HJ144</f>
        <v>26514</v>
      </c>
    </row>
    <row r="564" spans="1:56" ht="14.4">
      <c r="A564" s="110"/>
      <c r="B564" s="111"/>
      <c r="C564" s="113" t="s">
        <v>1376</v>
      </c>
      <c r="D564" s="89" t="s">
        <v>1377</v>
      </c>
      <c r="E564" s="90">
        <f>Source!AQ144</f>
        <v>22.82</v>
      </c>
      <c r="F564" s="90">
        <f>ROUND(1.15,7)</f>
        <v>1.1499999999999999</v>
      </c>
      <c r="G564" s="90">
        <f>ROUND(Source!U144, 7)</f>
        <v>145.38622000000001</v>
      </c>
      <c r="H564" s="91"/>
      <c r="I564" s="92"/>
      <c r="J564" s="93"/>
      <c r="K564" s="92"/>
      <c r="L564" s="94"/>
    </row>
    <row r="565" spans="1:56" ht="14.4">
      <c r="A565" s="110"/>
      <c r="B565" s="111"/>
      <c r="C565" s="111" t="s">
        <v>1379</v>
      </c>
      <c r="D565" s="81"/>
      <c r="E565" s="82"/>
      <c r="F565" s="82"/>
      <c r="G565" s="82"/>
      <c r="H565" s="83">
        <f>H563</f>
        <v>171.83</v>
      </c>
      <c r="I565" s="84"/>
      <c r="J565" s="85">
        <f>J563</f>
        <v>1094.73</v>
      </c>
      <c r="K565" s="84"/>
      <c r="L565" s="86"/>
    </row>
    <row r="566" spans="1:56" ht="14.4">
      <c r="A566" s="110"/>
      <c r="B566" s="111"/>
      <c r="C566" s="111" t="s">
        <v>1380</v>
      </c>
      <c r="D566" s="81"/>
      <c r="E566" s="82"/>
      <c r="F566" s="82"/>
      <c r="G566" s="82"/>
      <c r="H566" s="83"/>
      <c r="I566" s="84"/>
      <c r="J566" s="85">
        <f>SUM(Q560:Q569)+SUM(V560:V569)</f>
        <v>1094.73</v>
      </c>
      <c r="K566" s="84"/>
      <c r="L566" s="86">
        <f>SUM(U560:U569)+SUM(W560:W569)</f>
        <v>26514</v>
      </c>
    </row>
    <row r="567" spans="1:56" ht="55.2">
      <c r="A567" s="110"/>
      <c r="B567" s="111" t="s">
        <v>1452</v>
      </c>
      <c r="C567" s="111" t="s">
        <v>1453</v>
      </c>
      <c r="D567" s="81" t="s">
        <v>1383</v>
      </c>
      <c r="E567" s="82">
        <f>Source!BZ144</f>
        <v>103</v>
      </c>
      <c r="F567" s="82"/>
      <c r="G567" s="82">
        <f>Source!AT144</f>
        <v>103</v>
      </c>
      <c r="H567" s="83"/>
      <c r="I567" s="84"/>
      <c r="J567" s="85">
        <f>SUM(AC560:AC569)</f>
        <v>1127.57</v>
      </c>
      <c r="K567" s="84"/>
      <c r="L567" s="86">
        <f>SUM(AD560:AD569)</f>
        <v>27309</v>
      </c>
    </row>
    <row r="568" spans="1:56" ht="55.2">
      <c r="A568" s="114"/>
      <c r="B568" s="113" t="s">
        <v>1454</v>
      </c>
      <c r="C568" s="113" t="s">
        <v>1455</v>
      </c>
      <c r="D568" s="89" t="s">
        <v>1383</v>
      </c>
      <c r="E568" s="90">
        <f>Source!CA144</f>
        <v>59</v>
      </c>
      <c r="F568" s="90"/>
      <c r="G568" s="90">
        <f>Source!AU144</f>
        <v>103</v>
      </c>
      <c r="H568" s="91"/>
      <c r="I568" s="92"/>
      <c r="J568" s="93">
        <f>SUM(AE560:AE569)</f>
        <v>1127.57</v>
      </c>
      <c r="K568" s="92"/>
      <c r="L568" s="94">
        <f>SUM(AF560:AF569)</f>
        <v>27309</v>
      </c>
    </row>
    <row r="569" spans="1:56" ht="13.8">
      <c r="C569" s="95" t="s">
        <v>1386</v>
      </c>
      <c r="D569" s="95"/>
      <c r="E569" s="95"/>
      <c r="F569" s="95"/>
      <c r="G569" s="95"/>
      <c r="H569" s="95"/>
      <c r="I569" s="95">
        <f>J563+J567+J568</f>
        <v>3349.87</v>
      </c>
      <c r="J569" s="95"/>
      <c r="O569" s="69">
        <f>I569</f>
        <v>3349.87</v>
      </c>
      <c r="P569">
        <f>K569</f>
        <v>0</v>
      </c>
      <c r="Q569" s="69">
        <f>J563</f>
        <v>1094.73</v>
      </c>
      <c r="R569" s="69">
        <f>J563</f>
        <v>1094.73</v>
      </c>
      <c r="U569" s="70">
        <f>L563</f>
        <v>26514</v>
      </c>
      <c r="V569">
        <f>0</f>
        <v>0</v>
      </c>
      <c r="W569">
        <f>0</f>
        <v>0</v>
      </c>
      <c r="X569">
        <f>0</f>
        <v>0</v>
      </c>
      <c r="Z569">
        <f>0</f>
        <v>0</v>
      </c>
      <c r="AB569">
        <f>0</f>
        <v>0</v>
      </c>
      <c r="AN569">
        <f>IF(Source!BI144&lt;=1,J563+J567+J568, 0)</f>
        <v>3349.87</v>
      </c>
      <c r="AO569">
        <f>IF(Source!BI144&lt;=1,0, 0)</f>
        <v>0</v>
      </c>
      <c r="AP569">
        <f>IF(Source!BI144&lt;=1,0, 0)</f>
        <v>0</v>
      </c>
      <c r="AQ569">
        <f>IF(Source!BI144&lt;=1,J563, 0)</f>
        <v>1094.73</v>
      </c>
      <c r="AX569">
        <f>IF(Source!BI144=2,J563+J567+J568, 0)</f>
        <v>0</v>
      </c>
      <c r="AY569">
        <f>IF(Source!BI144=2,0, 0)</f>
        <v>0</v>
      </c>
      <c r="AZ569">
        <f>IF(Source!BI144=2,0, 0)</f>
        <v>0</v>
      </c>
      <c r="BA569">
        <f>IF(Source!BI144=2,J563, 0)</f>
        <v>0</v>
      </c>
    </row>
    <row r="570" spans="1:56" ht="106.8">
      <c r="A570" s="110" t="str">
        <f>Source!E145</f>
        <v>76</v>
      </c>
      <c r="B570" s="111" t="str">
        <f>Source!F145</f>
        <v>46-04-012-3</v>
      </c>
      <c r="C570" s="111" t="s">
        <v>1456</v>
      </c>
      <c r="D570" s="81" t="str">
        <f>Source!H145</f>
        <v>100 м2</v>
      </c>
      <c r="E570" s="82">
        <f>Source!K145</f>
        <v>0.33</v>
      </c>
      <c r="F570" s="82"/>
      <c r="G570" s="82">
        <f>Source!I145</f>
        <v>0.33</v>
      </c>
      <c r="H570" s="83"/>
      <c r="I570" s="84"/>
      <c r="J570" s="85"/>
      <c r="K570" s="84"/>
      <c r="L570" s="86"/>
      <c r="AC570">
        <f>Source!X145</f>
        <v>315.08999999999997</v>
      </c>
      <c r="AD570">
        <f>Source!HK145</f>
        <v>7631</v>
      </c>
      <c r="AE570">
        <f>Source!Y145</f>
        <v>315.08999999999997</v>
      </c>
      <c r="AF570">
        <f>Source!HL145</f>
        <v>7631</v>
      </c>
      <c r="AS570">
        <f>IF(Source!BI145&lt;=1,AD570, 0)</f>
        <v>7631</v>
      </c>
      <c r="AT570">
        <f>IF(Source!BI145&lt;=1,AF570, 0)</f>
        <v>7631</v>
      </c>
      <c r="BC570">
        <f>IF(Source!BI145=2,AD570, 0)</f>
        <v>0</v>
      </c>
      <c r="BD570">
        <f>IF(Source!BI145=2,AF570, 0)</f>
        <v>0</v>
      </c>
    </row>
    <row r="572" spans="1:56">
      <c r="C572" s="67" t="str">
        <f>"Объем: "&amp;Source!K145&amp;"=33/"&amp;"100"</f>
        <v>Объем: 0,33=33/100</v>
      </c>
    </row>
    <row r="573" spans="1:56" ht="14.4">
      <c r="A573" s="110"/>
      <c r="B573" s="112">
        <v>1</v>
      </c>
      <c r="C573" s="111" t="s">
        <v>1373</v>
      </c>
      <c r="D573" s="81"/>
      <c r="E573" s="82"/>
      <c r="F573" s="82"/>
      <c r="G573" s="82"/>
      <c r="H573" s="83">
        <f>Source!AO145</f>
        <v>811.54</v>
      </c>
      <c r="I573" s="84">
        <f>ROUND(1.15,7)</f>
        <v>1.1499999999999999</v>
      </c>
      <c r="J573" s="85">
        <f>ROUND(Source!AF145*Source!I145, 2)</f>
        <v>307.98</v>
      </c>
      <c r="K573" s="84">
        <f>IF(Source!BA145&lt;&gt; 0, Source!BA145, 1)</f>
        <v>24.22</v>
      </c>
      <c r="L573" s="86">
        <f>Source!HJ145</f>
        <v>7459</v>
      </c>
    </row>
    <row r="574" spans="1:56" ht="14.4">
      <c r="A574" s="110"/>
      <c r="B574" s="112">
        <v>3</v>
      </c>
      <c r="C574" s="111" t="s">
        <v>1374</v>
      </c>
      <c r="D574" s="81"/>
      <c r="E574" s="82"/>
      <c r="F574" s="82"/>
      <c r="G574" s="82"/>
      <c r="H574" s="83">
        <f>Source!AM145</f>
        <v>238.78</v>
      </c>
      <c r="I574" s="84">
        <f>ROUND(1.15,7)</f>
        <v>1.1499999999999999</v>
      </c>
      <c r="J574" s="85">
        <f>ROUND(Source!AD145*Source!I145, 2)</f>
        <v>90.62</v>
      </c>
      <c r="K574" s="84"/>
      <c r="L574" s="86"/>
    </row>
    <row r="575" spans="1:56" ht="14.4">
      <c r="A575" s="110"/>
      <c r="B575" s="112">
        <v>2</v>
      </c>
      <c r="C575" s="111" t="s">
        <v>1375</v>
      </c>
      <c r="D575" s="81"/>
      <c r="E575" s="82"/>
      <c r="F575" s="82"/>
      <c r="G575" s="82"/>
      <c r="H575" s="83">
        <f>Source!AN145</f>
        <v>100.85</v>
      </c>
      <c r="I575" s="84">
        <f>ROUND(1.15,7)</f>
        <v>1.1499999999999999</v>
      </c>
      <c r="J575" s="87">
        <f>ROUND(Source!AE145*Source!I145, 2)</f>
        <v>38.270000000000003</v>
      </c>
      <c r="K575" s="84">
        <f>IF(Source!BS145&lt;&gt; 0, Source!BS145, 1)</f>
        <v>24.22</v>
      </c>
      <c r="L575" s="88">
        <f>Source!HI145</f>
        <v>927</v>
      </c>
    </row>
    <row r="576" spans="1:56" ht="14.4">
      <c r="A576" s="110"/>
      <c r="B576" s="111"/>
      <c r="C576" s="111" t="s">
        <v>1376</v>
      </c>
      <c r="D576" s="81" t="s">
        <v>1377</v>
      </c>
      <c r="E576" s="82">
        <f>Source!AQ145</f>
        <v>103.91</v>
      </c>
      <c r="F576" s="82">
        <f>ROUND(1.15,7)</f>
        <v>1.1499999999999999</v>
      </c>
      <c r="G576" s="82">
        <f>ROUND(Source!U145, 7)</f>
        <v>39.433844999999998</v>
      </c>
      <c r="H576" s="83"/>
      <c r="I576" s="84"/>
      <c r="J576" s="85"/>
      <c r="K576" s="84"/>
      <c r="L576" s="86"/>
    </row>
    <row r="577" spans="1:56" ht="14.4">
      <c r="A577" s="110"/>
      <c r="B577" s="111"/>
      <c r="C577" s="113" t="s">
        <v>1378</v>
      </c>
      <c r="D577" s="89" t="s">
        <v>1377</v>
      </c>
      <c r="E577" s="90">
        <f>Source!AR145</f>
        <v>7.74</v>
      </c>
      <c r="F577" s="90">
        <f>ROUND(1.15,7)</f>
        <v>1.1499999999999999</v>
      </c>
      <c r="G577" s="90">
        <f>ROUND(Source!V145, 7)</f>
        <v>2.9373300000000002</v>
      </c>
      <c r="H577" s="91"/>
      <c r="I577" s="92"/>
      <c r="J577" s="93"/>
      <c r="K577" s="92"/>
      <c r="L577" s="94"/>
    </row>
    <row r="578" spans="1:56" ht="14.4">
      <c r="A578" s="110"/>
      <c r="B578" s="111"/>
      <c r="C578" s="111" t="s">
        <v>1379</v>
      </c>
      <c r="D578" s="81"/>
      <c r="E578" s="82"/>
      <c r="F578" s="82"/>
      <c r="G578" s="82"/>
      <c r="H578" s="83">
        <f>H573+H574</f>
        <v>1050.32</v>
      </c>
      <c r="I578" s="84"/>
      <c r="J578" s="85">
        <f>J573+J574</f>
        <v>398.6</v>
      </c>
      <c r="K578" s="84"/>
      <c r="L578" s="86"/>
    </row>
    <row r="579" spans="1:56" ht="14.4">
      <c r="A579" s="110"/>
      <c r="B579" s="111"/>
      <c r="C579" s="111" t="s">
        <v>1380</v>
      </c>
      <c r="D579" s="81"/>
      <c r="E579" s="82"/>
      <c r="F579" s="82"/>
      <c r="G579" s="82"/>
      <c r="H579" s="83"/>
      <c r="I579" s="84"/>
      <c r="J579" s="85">
        <f>SUM(Q570:Q582)+SUM(V570:V582)</f>
        <v>346.25</v>
      </c>
      <c r="K579" s="84"/>
      <c r="L579" s="86">
        <f>SUM(U570:U582)+SUM(W570:W582)</f>
        <v>8386</v>
      </c>
    </row>
    <row r="580" spans="1:56" ht="69">
      <c r="A580" s="110"/>
      <c r="B580" s="111" t="s">
        <v>1431</v>
      </c>
      <c r="C580" s="111" t="s">
        <v>1432</v>
      </c>
      <c r="D580" s="81" t="s">
        <v>1383</v>
      </c>
      <c r="E580" s="82">
        <f>Source!BZ145</f>
        <v>91</v>
      </c>
      <c r="F580" s="82"/>
      <c r="G580" s="82">
        <f>Source!AT145</f>
        <v>91</v>
      </c>
      <c r="H580" s="83"/>
      <c r="I580" s="84"/>
      <c r="J580" s="85">
        <f>SUM(AC570:AC582)</f>
        <v>315.08999999999997</v>
      </c>
      <c r="K580" s="84"/>
      <c r="L580" s="86">
        <f>SUM(AD570:AD582)</f>
        <v>7631</v>
      </c>
    </row>
    <row r="581" spans="1:56" ht="69">
      <c r="A581" s="114"/>
      <c r="B581" s="113" t="s">
        <v>1433</v>
      </c>
      <c r="C581" s="113" t="s">
        <v>1434</v>
      </c>
      <c r="D581" s="89" t="s">
        <v>1383</v>
      </c>
      <c r="E581" s="90">
        <f>Source!CA145</f>
        <v>52</v>
      </c>
      <c r="F581" s="90"/>
      <c r="G581" s="90">
        <f>Source!AU145</f>
        <v>91</v>
      </c>
      <c r="H581" s="91"/>
      <c r="I581" s="92"/>
      <c r="J581" s="93">
        <f>SUM(AE570:AE582)</f>
        <v>315.08999999999997</v>
      </c>
      <c r="K581" s="92"/>
      <c r="L581" s="94">
        <f>SUM(AF570:AF582)</f>
        <v>7631</v>
      </c>
    </row>
    <row r="582" spans="1:56" ht="13.8">
      <c r="C582" s="95" t="s">
        <v>1386</v>
      </c>
      <c r="D582" s="95"/>
      <c r="E582" s="95"/>
      <c r="F582" s="95"/>
      <c r="G582" s="95"/>
      <c r="H582" s="95"/>
      <c r="I582" s="95">
        <f>J573+J574+J580+J581</f>
        <v>1028.78</v>
      </c>
      <c r="J582" s="95"/>
      <c r="O582" s="69">
        <f>I582</f>
        <v>1028.78</v>
      </c>
      <c r="P582">
        <f>K582</f>
        <v>0</v>
      </c>
      <c r="Q582" s="69">
        <f>J573</f>
        <v>307.98</v>
      </c>
      <c r="R582" s="69">
        <f>J573</f>
        <v>307.98</v>
      </c>
      <c r="U582" s="70">
        <f>L573</f>
        <v>7459</v>
      </c>
      <c r="V582" s="69">
        <f>J575</f>
        <v>38.270000000000003</v>
      </c>
      <c r="W582" s="70">
        <f>L575</f>
        <v>927</v>
      </c>
      <c r="X582" s="69">
        <f>J574</f>
        <v>90.62</v>
      </c>
      <c r="Z582" s="70">
        <f>L574</f>
        <v>0</v>
      </c>
      <c r="AB582">
        <f>0</f>
        <v>0</v>
      </c>
      <c r="AN582">
        <f>IF(Source!BI145&lt;=1,J573+J574+J580+J581, 0)</f>
        <v>1028.78</v>
      </c>
      <c r="AO582">
        <f>IF(Source!BI145&lt;=1,0, 0)</f>
        <v>0</v>
      </c>
      <c r="AP582">
        <f>IF(Source!BI145&lt;=1,J574, 0)</f>
        <v>90.62</v>
      </c>
      <c r="AQ582">
        <f>IF(Source!BI145&lt;=1,J573, 0)</f>
        <v>307.98</v>
      </c>
      <c r="AX582">
        <f>IF(Source!BI145=2,J573+J574+J580+J581, 0)</f>
        <v>0</v>
      </c>
      <c r="AY582">
        <f>IF(Source!BI145=2,0, 0)</f>
        <v>0</v>
      </c>
      <c r="AZ582">
        <f>IF(Source!BI145=2,J574, 0)</f>
        <v>0</v>
      </c>
      <c r="BA582">
        <f>IF(Source!BI145=2,J573, 0)</f>
        <v>0</v>
      </c>
    </row>
    <row r="583" spans="1:56" ht="13.8">
      <c r="C583" s="79" t="str">
        <f>Source!G146</f>
        <v>Отделка дверных и оконных откосов</v>
      </c>
    </row>
    <row r="584" spans="1:56" ht="133.19999999999999">
      <c r="A584" s="110" t="str">
        <f>Source!E147</f>
        <v>77</v>
      </c>
      <c r="B584" s="111" t="str">
        <f>Source!F147</f>
        <v>15-02-036-1</v>
      </c>
      <c r="C584" s="111" t="s">
        <v>1457</v>
      </c>
      <c r="D584" s="81" t="str">
        <f>Source!H147</f>
        <v>100 м2 оштукатуриваемой поверхности</v>
      </c>
      <c r="E584" s="82">
        <f>Source!K147</f>
        <v>0.76100000000000001</v>
      </c>
      <c r="F584" s="82"/>
      <c r="G584" s="82">
        <f>Source!I147</f>
        <v>0.76100000000000001</v>
      </c>
      <c r="H584" s="83"/>
      <c r="I584" s="84"/>
      <c r="J584" s="85"/>
      <c r="K584" s="84"/>
      <c r="L584" s="86"/>
      <c r="AC584">
        <f>Source!X147</f>
        <v>1060.8900000000001</v>
      </c>
      <c r="AD584">
        <f>Source!HK147</f>
        <v>25695</v>
      </c>
      <c r="AE584">
        <f>Source!Y147</f>
        <v>490.96</v>
      </c>
      <c r="AF584">
        <f>Source!HL147</f>
        <v>11891</v>
      </c>
      <c r="AS584">
        <f>IF(Source!BI147&lt;=1,AD584, 0)</f>
        <v>25695</v>
      </c>
      <c r="AT584">
        <f>IF(Source!BI147&lt;=1,AF584, 0)</f>
        <v>11891</v>
      </c>
      <c r="BC584">
        <f>IF(Source!BI147=2,AD584, 0)</f>
        <v>0</v>
      </c>
      <c r="BD584">
        <f>IF(Source!BI147=2,AF584, 0)</f>
        <v>0</v>
      </c>
    </row>
    <row r="586" spans="1:56">
      <c r="C586" s="67" t="str">
        <f>"Объем: "&amp;Source!K147&amp;"=76,1/"&amp;"100"</f>
        <v>Объем: 0,761=76,1/100</v>
      </c>
    </row>
    <row r="587" spans="1:56" ht="14.4">
      <c r="A587" s="110"/>
      <c r="B587" s="112">
        <v>1</v>
      </c>
      <c r="C587" s="111" t="s">
        <v>1373</v>
      </c>
      <c r="D587" s="81"/>
      <c r="E587" s="82"/>
      <c r="F587" s="82"/>
      <c r="G587" s="82"/>
      <c r="H587" s="83">
        <f>Source!AO147</f>
        <v>1151.3599999999999</v>
      </c>
      <c r="I587" s="84">
        <f>ROUND(1.15*1.15,7)</f>
        <v>1.3225</v>
      </c>
      <c r="J587" s="85">
        <f>ROUND(Source!AF147*Source!I147, 2)</f>
        <v>1158.75</v>
      </c>
      <c r="K587" s="84">
        <f>IF(Source!BA147&lt;&gt; 0, Source!BA147, 1)</f>
        <v>24.22</v>
      </c>
      <c r="L587" s="86">
        <f>Source!HJ147</f>
        <v>28065</v>
      </c>
    </row>
    <row r="588" spans="1:56" ht="14.4">
      <c r="A588" s="110"/>
      <c r="B588" s="112">
        <v>3</v>
      </c>
      <c r="C588" s="111" t="s">
        <v>1374</v>
      </c>
      <c r="D588" s="81"/>
      <c r="E588" s="82"/>
      <c r="F588" s="82"/>
      <c r="G588" s="82"/>
      <c r="H588" s="83">
        <f>Source!AM147</f>
        <v>53.82</v>
      </c>
      <c r="I588" s="84">
        <f>ROUND(1.25*1.15,7)</f>
        <v>1.4375</v>
      </c>
      <c r="J588" s="85">
        <f>ROUND(Source!AD147*Source!I147, 2)</f>
        <v>58.88</v>
      </c>
      <c r="K588" s="84"/>
      <c r="L588" s="86"/>
    </row>
    <row r="589" spans="1:56" ht="14.4">
      <c r="A589" s="110"/>
      <c r="B589" s="112">
        <v>2</v>
      </c>
      <c r="C589" s="111" t="s">
        <v>1375</v>
      </c>
      <c r="D589" s="81"/>
      <c r="E589" s="82"/>
      <c r="F589" s="82"/>
      <c r="G589" s="82"/>
      <c r="H589" s="83">
        <f>Source!AN147</f>
        <v>18.3</v>
      </c>
      <c r="I589" s="84">
        <f>ROUND(1.25*1.15,7)</f>
        <v>1.4375</v>
      </c>
      <c r="J589" s="87">
        <f>ROUND(Source!AE147*Source!I147, 2)</f>
        <v>20.02</v>
      </c>
      <c r="K589" s="84">
        <f>IF(Source!BS147&lt;&gt; 0, Source!BS147, 1)</f>
        <v>24.22</v>
      </c>
      <c r="L589" s="88">
        <f>Source!HI147</f>
        <v>485</v>
      </c>
    </row>
    <row r="590" spans="1:56" ht="14.4">
      <c r="A590" s="110"/>
      <c r="B590" s="112">
        <v>4</v>
      </c>
      <c r="C590" s="111" t="s">
        <v>1408</v>
      </c>
      <c r="D590" s="81"/>
      <c r="E590" s="82"/>
      <c r="F590" s="82"/>
      <c r="G590" s="82"/>
      <c r="H590" s="83">
        <f>Source!AL147</f>
        <v>2580.87</v>
      </c>
      <c r="I590" s="84"/>
      <c r="J590" s="85">
        <f>ROUND(Source!AC147*Source!I147, 2)</f>
        <v>1964.04</v>
      </c>
      <c r="K590" s="84"/>
      <c r="L590" s="86"/>
    </row>
    <row r="591" spans="1:56" ht="14.4">
      <c r="A591" s="110"/>
      <c r="B591" s="111"/>
      <c r="C591" s="111" t="s">
        <v>1376</v>
      </c>
      <c r="D591" s="81" t="s">
        <v>1377</v>
      </c>
      <c r="E591" s="82">
        <f>Source!AQ147</f>
        <v>129.94999999999999</v>
      </c>
      <c r="F591" s="82">
        <f>ROUND(1.15*1.15,7)</f>
        <v>1.3225</v>
      </c>
      <c r="G591" s="82">
        <f>ROUND(Source!U147, 7)</f>
        <v>130.78460390000001</v>
      </c>
      <c r="H591" s="83"/>
      <c r="I591" s="84"/>
      <c r="J591" s="85"/>
      <c r="K591" s="84"/>
      <c r="L591" s="86"/>
    </row>
    <row r="592" spans="1:56" ht="14.4">
      <c r="A592" s="110"/>
      <c r="B592" s="111"/>
      <c r="C592" s="113" t="s">
        <v>1378</v>
      </c>
      <c r="D592" s="89" t="s">
        <v>1377</v>
      </c>
      <c r="E592" s="90">
        <f>Source!AR147</f>
        <v>1.44</v>
      </c>
      <c r="F592" s="90">
        <f>ROUND(1.25*1.15,7)</f>
        <v>1.4375</v>
      </c>
      <c r="G592" s="90">
        <f>ROUND(Source!V147, 7)</f>
        <v>1.5752699999999999</v>
      </c>
      <c r="H592" s="91"/>
      <c r="I592" s="92"/>
      <c r="J592" s="93"/>
      <c r="K592" s="92"/>
      <c r="L592" s="94"/>
    </row>
    <row r="593" spans="1:56" ht="14.4">
      <c r="A593" s="110"/>
      <c r="B593" s="111"/>
      <c r="C593" s="111" t="s">
        <v>1379</v>
      </c>
      <c r="D593" s="81"/>
      <c r="E593" s="82"/>
      <c r="F593" s="82"/>
      <c r="G593" s="82"/>
      <c r="H593" s="83">
        <f>H587+H588+H590</f>
        <v>3786.0499999999997</v>
      </c>
      <c r="I593" s="84"/>
      <c r="J593" s="85">
        <f>J587+J588+J590</f>
        <v>3181.67</v>
      </c>
      <c r="K593" s="84"/>
      <c r="L593" s="86"/>
    </row>
    <row r="594" spans="1:56" ht="14.4">
      <c r="A594" s="110"/>
      <c r="B594" s="111"/>
      <c r="C594" s="111" t="s">
        <v>1380</v>
      </c>
      <c r="D594" s="81"/>
      <c r="E594" s="82"/>
      <c r="F594" s="82"/>
      <c r="G594" s="82"/>
      <c r="H594" s="83"/>
      <c r="I594" s="84"/>
      <c r="J594" s="85">
        <f>SUM(Q584:Q597)+SUM(V584:V597)</f>
        <v>1178.77</v>
      </c>
      <c r="K594" s="84"/>
      <c r="L594" s="86">
        <f>SUM(U584:U597)+SUM(W584:W597)</f>
        <v>28550</v>
      </c>
    </row>
    <row r="595" spans="1:56" ht="14.4">
      <c r="A595" s="110"/>
      <c r="B595" s="111" t="s">
        <v>1414</v>
      </c>
      <c r="C595" s="111" t="s">
        <v>1415</v>
      </c>
      <c r="D595" s="81" t="s">
        <v>1383</v>
      </c>
      <c r="E595" s="82">
        <f>Source!BZ147</f>
        <v>100</v>
      </c>
      <c r="F595" s="82">
        <f>ROUND(0.9,7)</f>
        <v>0.9</v>
      </c>
      <c r="G595" s="82">
        <f>Source!AT147</f>
        <v>90</v>
      </c>
      <c r="H595" s="83"/>
      <c r="I595" s="84"/>
      <c r="J595" s="85">
        <f>SUM(AC584:AC597)</f>
        <v>1060.8900000000001</v>
      </c>
      <c r="K595" s="84"/>
      <c r="L595" s="86">
        <f>SUM(AD584:AD597)</f>
        <v>25695</v>
      </c>
    </row>
    <row r="596" spans="1:56" ht="14.4">
      <c r="A596" s="114"/>
      <c r="B596" s="113" t="s">
        <v>1416</v>
      </c>
      <c r="C596" s="113" t="s">
        <v>1417</v>
      </c>
      <c r="D596" s="89" t="s">
        <v>1383</v>
      </c>
      <c r="E596" s="90">
        <f>Source!CA147</f>
        <v>49</v>
      </c>
      <c r="F596" s="90">
        <f>ROUND(0.85,7)</f>
        <v>0.85</v>
      </c>
      <c r="G596" s="90">
        <f>Source!AU147</f>
        <v>41.65</v>
      </c>
      <c r="H596" s="91"/>
      <c r="I596" s="92"/>
      <c r="J596" s="93">
        <f>SUM(AE584:AE597)</f>
        <v>490.96</v>
      </c>
      <c r="K596" s="92"/>
      <c r="L596" s="94">
        <f>SUM(AF584:AF597)</f>
        <v>11891</v>
      </c>
    </row>
    <row r="597" spans="1:56" ht="13.8">
      <c r="C597" s="95" t="s">
        <v>1386</v>
      </c>
      <c r="D597" s="95"/>
      <c r="E597" s="95"/>
      <c r="F597" s="95"/>
      <c r="G597" s="95"/>
      <c r="H597" s="95"/>
      <c r="I597" s="95">
        <f>J587+J588+J590+J595+J596</f>
        <v>4733.5200000000004</v>
      </c>
      <c r="J597" s="95"/>
      <c r="O597" s="69">
        <f>I597</f>
        <v>4733.5200000000004</v>
      </c>
      <c r="P597">
        <f>K597</f>
        <v>0</v>
      </c>
      <c r="Q597" s="69">
        <f>J587</f>
        <v>1158.75</v>
      </c>
      <c r="R597" s="69">
        <f>J587</f>
        <v>1158.75</v>
      </c>
      <c r="U597" s="70">
        <f>L587</f>
        <v>28065</v>
      </c>
      <c r="V597" s="69">
        <f>J589</f>
        <v>20.02</v>
      </c>
      <c r="W597" s="70">
        <f>L589</f>
        <v>485</v>
      </c>
      <c r="X597" s="69">
        <f>J588</f>
        <v>58.88</v>
      </c>
      <c r="Z597" s="70">
        <f>L588</f>
        <v>0</v>
      </c>
      <c r="AB597" s="69">
        <f>J590</f>
        <v>1964.04</v>
      </c>
      <c r="AN597">
        <f>IF(Source!BI147&lt;=1,J587+J588+J590+J595+J596, 0)</f>
        <v>4733.5200000000004</v>
      </c>
      <c r="AO597">
        <f>IF(Source!BI147&lt;=1,J590, 0)</f>
        <v>1964.04</v>
      </c>
      <c r="AP597">
        <f>IF(Source!BI147&lt;=1,J588, 0)</f>
        <v>58.88</v>
      </c>
      <c r="AQ597">
        <f>IF(Source!BI147&lt;=1,J587, 0)</f>
        <v>1158.75</v>
      </c>
      <c r="AX597">
        <f>IF(Source!BI147=2,J587+J588+J590+J595+J596, 0)</f>
        <v>0</v>
      </c>
      <c r="AY597">
        <f>IF(Source!BI147=2,J590, 0)</f>
        <v>0</v>
      </c>
      <c r="AZ597">
        <f>IF(Source!BI147=2,J588, 0)</f>
        <v>0</v>
      </c>
      <c r="BA597">
        <f>IF(Source!BI147=2,J587, 0)</f>
        <v>0</v>
      </c>
    </row>
    <row r="598" spans="1:56" ht="160.80000000000001">
      <c r="A598" s="110" t="str">
        <f>Source!E148</f>
        <v>78</v>
      </c>
      <c r="B598" s="111" t="str">
        <f>Source!F148</f>
        <v>15-04-027-5</v>
      </c>
      <c r="C598" s="111" t="s">
        <v>1458</v>
      </c>
      <c r="D598" s="81" t="str">
        <f>Source!H148</f>
        <v>100 м2 окрашиваемой поверхности</v>
      </c>
      <c r="E598" s="82">
        <f>Source!K148</f>
        <v>0.76100000000000001</v>
      </c>
      <c r="F598" s="82"/>
      <c r="G598" s="82">
        <f>Source!I148</f>
        <v>0.76100000000000001</v>
      </c>
      <c r="H598" s="83"/>
      <c r="I598" s="84"/>
      <c r="J598" s="85"/>
      <c r="K598" s="84"/>
      <c r="L598" s="86"/>
      <c r="AC598">
        <f>Source!X148</f>
        <v>99.83</v>
      </c>
      <c r="AD598">
        <f>Source!HK148</f>
        <v>2417</v>
      </c>
      <c r="AE598">
        <f>Source!Y148</f>
        <v>46.2</v>
      </c>
      <c r="AF598">
        <f>Source!HL148</f>
        <v>1119</v>
      </c>
      <c r="AS598">
        <f>IF(Source!BI148&lt;=1,AD598, 0)</f>
        <v>2417</v>
      </c>
      <c r="AT598">
        <f>IF(Source!BI148&lt;=1,AF598, 0)</f>
        <v>1119</v>
      </c>
      <c r="BC598">
        <f>IF(Source!BI148=2,AD598, 0)</f>
        <v>0</v>
      </c>
      <c r="BD598">
        <f>IF(Source!BI148=2,AF598, 0)</f>
        <v>0</v>
      </c>
    </row>
    <row r="600" spans="1:56">
      <c r="C600" s="67" t="str">
        <f>"Объем: "&amp;Source!K148&amp;"=76,1/"&amp;"100"</f>
        <v>Объем: 0,761=76,1/100</v>
      </c>
    </row>
    <row r="601" spans="1:56" ht="14.4">
      <c r="A601" s="110"/>
      <c r="B601" s="112">
        <v>1</v>
      </c>
      <c r="C601" s="111" t="s">
        <v>1373</v>
      </c>
      <c r="D601" s="81"/>
      <c r="E601" s="82"/>
      <c r="F601" s="82"/>
      <c r="G601" s="82"/>
      <c r="H601" s="83">
        <f>Source!AO148</f>
        <v>110.07</v>
      </c>
      <c r="I601" s="84">
        <f>ROUND(1.15*1.15,7)</f>
        <v>1.3225</v>
      </c>
      <c r="J601" s="85">
        <f>ROUND(Source!AF148*Source!I148, 2)</f>
        <v>110.78</v>
      </c>
      <c r="K601" s="84">
        <f>IF(Source!BA148&lt;&gt; 0, Source!BA148, 1)</f>
        <v>24.22</v>
      </c>
      <c r="L601" s="86">
        <f>Source!HJ148</f>
        <v>2683</v>
      </c>
    </row>
    <row r="602" spans="1:56" ht="14.4">
      <c r="A602" s="110"/>
      <c r="B602" s="112">
        <v>3</v>
      </c>
      <c r="C602" s="111" t="s">
        <v>1374</v>
      </c>
      <c r="D602" s="81"/>
      <c r="E602" s="82"/>
      <c r="F602" s="82"/>
      <c r="G602" s="82"/>
      <c r="H602" s="83">
        <f>Source!AM148</f>
        <v>3.06</v>
      </c>
      <c r="I602" s="84">
        <f>ROUND(1.25*1.15,7)</f>
        <v>1.4375</v>
      </c>
      <c r="J602" s="85">
        <f>ROUND(Source!AD148*Source!I148, 2)</f>
        <v>3.35</v>
      </c>
      <c r="K602" s="84"/>
      <c r="L602" s="86"/>
    </row>
    <row r="603" spans="1:56" ht="14.4">
      <c r="A603" s="110"/>
      <c r="B603" s="112">
        <v>2</v>
      </c>
      <c r="C603" s="111" t="s">
        <v>1375</v>
      </c>
      <c r="D603" s="81"/>
      <c r="E603" s="82"/>
      <c r="F603" s="82"/>
      <c r="G603" s="82"/>
      <c r="H603" s="83">
        <f>Source!AN148</f>
        <v>0.13</v>
      </c>
      <c r="I603" s="84">
        <f>ROUND(1.25*1.15,7)</f>
        <v>1.4375</v>
      </c>
      <c r="J603" s="87">
        <f>ROUND(Source!AE148*Source!I148, 2)</f>
        <v>0.14000000000000001</v>
      </c>
      <c r="K603" s="84">
        <f>IF(Source!BS148&lt;&gt; 0, Source!BS148, 1)</f>
        <v>24.22</v>
      </c>
      <c r="L603" s="88">
        <f>Source!HI148</f>
        <v>3</v>
      </c>
    </row>
    <row r="604" spans="1:56" ht="14.4">
      <c r="A604" s="110"/>
      <c r="B604" s="112">
        <v>4</v>
      </c>
      <c r="C604" s="111" t="s">
        <v>1408</v>
      </c>
      <c r="D604" s="81"/>
      <c r="E604" s="82"/>
      <c r="F604" s="82"/>
      <c r="G604" s="82"/>
      <c r="H604" s="83">
        <f>Source!AL148</f>
        <v>414.61</v>
      </c>
      <c r="I604" s="84"/>
      <c r="J604" s="85">
        <f>ROUND(Source!AC148*Source!I148, 2)</f>
        <v>315.52</v>
      </c>
      <c r="K604" s="84"/>
      <c r="L604" s="86"/>
    </row>
    <row r="605" spans="1:56" ht="14.4">
      <c r="A605" s="110"/>
      <c r="B605" s="111"/>
      <c r="C605" s="111" t="s">
        <v>1376</v>
      </c>
      <c r="D605" s="81" t="s">
        <v>1377</v>
      </c>
      <c r="E605" s="82">
        <f>Source!AQ148</f>
        <v>11.99</v>
      </c>
      <c r="F605" s="82">
        <f>ROUND(1.15*1.15,7)</f>
        <v>1.3225</v>
      </c>
      <c r="G605" s="82">
        <f>ROUND(Source!U148, 7)</f>
        <v>12.0670058</v>
      </c>
      <c r="H605" s="83"/>
      <c r="I605" s="84"/>
      <c r="J605" s="85"/>
      <c r="K605" s="84"/>
      <c r="L605" s="86"/>
    </row>
    <row r="606" spans="1:56" ht="14.4">
      <c r="A606" s="110"/>
      <c r="B606" s="111"/>
      <c r="C606" s="113" t="s">
        <v>1378</v>
      </c>
      <c r="D606" s="89" t="s">
        <v>1377</v>
      </c>
      <c r="E606" s="90">
        <f>Source!AR148</f>
        <v>0.01</v>
      </c>
      <c r="F606" s="90">
        <f>ROUND(1.25*1.15,7)</f>
        <v>1.4375</v>
      </c>
      <c r="G606" s="90">
        <f>ROUND(Source!V148, 7)</f>
        <v>1.09394E-2</v>
      </c>
      <c r="H606" s="91"/>
      <c r="I606" s="92"/>
      <c r="J606" s="93"/>
      <c r="K606" s="92"/>
      <c r="L606" s="94"/>
    </row>
    <row r="607" spans="1:56" ht="14.4">
      <c r="A607" s="110"/>
      <c r="B607" s="111"/>
      <c r="C607" s="111" t="s">
        <v>1379</v>
      </c>
      <c r="D607" s="81"/>
      <c r="E607" s="82"/>
      <c r="F607" s="82"/>
      <c r="G607" s="82"/>
      <c r="H607" s="83">
        <f>H601+H602+H604</f>
        <v>527.74</v>
      </c>
      <c r="I607" s="84"/>
      <c r="J607" s="85">
        <f>J601+J602+J604</f>
        <v>429.65</v>
      </c>
      <c r="K607" s="84"/>
      <c r="L607" s="86"/>
    </row>
    <row r="608" spans="1:56" ht="14.4">
      <c r="A608" s="110"/>
      <c r="B608" s="111"/>
      <c r="C608" s="111" t="s">
        <v>1380</v>
      </c>
      <c r="D608" s="81"/>
      <c r="E608" s="82"/>
      <c r="F608" s="82"/>
      <c r="G608" s="82"/>
      <c r="H608" s="83"/>
      <c r="I608" s="84"/>
      <c r="J608" s="85">
        <f>SUM(Q598:Q611)+SUM(V598:V611)</f>
        <v>110.92</v>
      </c>
      <c r="K608" s="84"/>
      <c r="L608" s="86">
        <f>SUM(U598:U611)+SUM(W598:W611)</f>
        <v>2686</v>
      </c>
    </row>
    <row r="609" spans="1:56" ht="14.4">
      <c r="A609" s="110"/>
      <c r="B609" s="111" t="s">
        <v>1414</v>
      </c>
      <c r="C609" s="111" t="s">
        <v>1415</v>
      </c>
      <c r="D609" s="81" t="s">
        <v>1383</v>
      </c>
      <c r="E609" s="82">
        <f>Source!BZ148</f>
        <v>100</v>
      </c>
      <c r="F609" s="82">
        <f>ROUND(0.9,7)</f>
        <v>0.9</v>
      </c>
      <c r="G609" s="82">
        <f>Source!AT148</f>
        <v>90</v>
      </c>
      <c r="H609" s="83"/>
      <c r="I609" s="84"/>
      <c r="J609" s="85">
        <f>SUM(AC598:AC611)</f>
        <v>99.83</v>
      </c>
      <c r="K609" s="84"/>
      <c r="L609" s="86">
        <f>SUM(AD598:AD611)</f>
        <v>2417</v>
      </c>
    </row>
    <row r="610" spans="1:56" ht="14.4">
      <c r="A610" s="114"/>
      <c r="B610" s="113" t="s">
        <v>1416</v>
      </c>
      <c r="C610" s="113" t="s">
        <v>1417</v>
      </c>
      <c r="D610" s="89" t="s">
        <v>1383</v>
      </c>
      <c r="E610" s="90">
        <f>Source!CA148</f>
        <v>49</v>
      </c>
      <c r="F610" s="90">
        <f>ROUND(0.85,7)</f>
        <v>0.85</v>
      </c>
      <c r="G610" s="90">
        <f>Source!AU148</f>
        <v>41.65</v>
      </c>
      <c r="H610" s="91"/>
      <c r="I610" s="92"/>
      <c r="J610" s="93">
        <f>SUM(AE598:AE611)</f>
        <v>46.2</v>
      </c>
      <c r="K610" s="92"/>
      <c r="L610" s="94">
        <f>SUM(AF598:AF611)</f>
        <v>1119</v>
      </c>
    </row>
    <row r="611" spans="1:56" ht="13.8">
      <c r="C611" s="95" t="s">
        <v>1386</v>
      </c>
      <c r="D611" s="95"/>
      <c r="E611" s="95"/>
      <c r="F611" s="95"/>
      <c r="G611" s="95"/>
      <c r="H611" s="95"/>
      <c r="I611" s="95">
        <f>J601+J602+J604+J609+J610</f>
        <v>575.68000000000006</v>
      </c>
      <c r="J611" s="95"/>
      <c r="O611" s="69">
        <f>I611</f>
        <v>575.68000000000006</v>
      </c>
      <c r="P611">
        <f>K611</f>
        <v>0</v>
      </c>
      <c r="Q611" s="69">
        <f>J601</f>
        <v>110.78</v>
      </c>
      <c r="R611" s="69">
        <f>J601</f>
        <v>110.78</v>
      </c>
      <c r="U611" s="70">
        <f>L601</f>
        <v>2683</v>
      </c>
      <c r="V611" s="69">
        <f>J603</f>
        <v>0.14000000000000001</v>
      </c>
      <c r="W611" s="70">
        <f>L603</f>
        <v>3</v>
      </c>
      <c r="X611" s="69">
        <f>J602</f>
        <v>3.35</v>
      </c>
      <c r="Z611" s="70">
        <f>L602</f>
        <v>0</v>
      </c>
      <c r="AB611" s="69">
        <f>J604</f>
        <v>315.52</v>
      </c>
      <c r="AN611">
        <f>IF(Source!BI148&lt;=1,J601+J602+J604+J609+J610, 0)</f>
        <v>575.68000000000006</v>
      </c>
      <c r="AO611">
        <f>IF(Source!BI148&lt;=1,J604, 0)</f>
        <v>315.52</v>
      </c>
      <c r="AP611">
        <f>IF(Source!BI148&lt;=1,J602, 0)</f>
        <v>3.35</v>
      </c>
      <c r="AQ611">
        <f>IF(Source!BI148&lt;=1,J601, 0)</f>
        <v>110.78</v>
      </c>
      <c r="AX611">
        <f>IF(Source!BI148=2,J601+J602+J604+J609+J610, 0)</f>
        <v>0</v>
      </c>
      <c r="AY611">
        <f>IF(Source!BI148=2,J604, 0)</f>
        <v>0</v>
      </c>
      <c r="AZ611">
        <f>IF(Source!BI148=2,J602, 0)</f>
        <v>0</v>
      </c>
      <c r="BA611">
        <f>IF(Source!BI148=2,J601, 0)</f>
        <v>0</v>
      </c>
    </row>
    <row r="612" spans="1:56" ht="147">
      <c r="A612" s="110" t="str">
        <f>Source!E149</f>
        <v>79</v>
      </c>
      <c r="B612" s="111" t="str">
        <f>Source!F149</f>
        <v>15-04-005-7</v>
      </c>
      <c r="C612" s="111" t="s">
        <v>1459</v>
      </c>
      <c r="D612" s="81" t="str">
        <f>Source!H149</f>
        <v>100 м2 окрашиваемой поверхности</v>
      </c>
      <c r="E612" s="82">
        <f>Source!K149</f>
        <v>0.76100000000000001</v>
      </c>
      <c r="F612" s="82"/>
      <c r="G612" s="82">
        <f>Source!I149</f>
        <v>0.76100000000000001</v>
      </c>
      <c r="H612" s="83"/>
      <c r="I612" s="84"/>
      <c r="J612" s="85"/>
      <c r="K612" s="84"/>
      <c r="L612" s="86"/>
      <c r="AC612">
        <f>Source!X149</f>
        <v>578.9</v>
      </c>
      <c r="AD612">
        <f>Source!HK149</f>
        <v>14020</v>
      </c>
      <c r="AE612">
        <f>Source!Y149</f>
        <v>267.89999999999998</v>
      </c>
      <c r="AF612">
        <f>Source!HL149</f>
        <v>6488</v>
      </c>
      <c r="AS612">
        <f>IF(Source!BI149&lt;=1,AD612, 0)</f>
        <v>14020</v>
      </c>
      <c r="AT612">
        <f>IF(Source!BI149&lt;=1,AF612, 0)</f>
        <v>6488</v>
      </c>
      <c r="BC612">
        <f>IF(Source!BI149=2,AD612, 0)</f>
        <v>0</v>
      </c>
      <c r="BD612">
        <f>IF(Source!BI149=2,AF612, 0)</f>
        <v>0</v>
      </c>
    </row>
    <row r="614" spans="1:56">
      <c r="C614" s="67" t="str">
        <f>"Объем: "&amp;Source!K149&amp;"=76,1/"&amp;"100"</f>
        <v>Объем: 0,761=76,1/100</v>
      </c>
    </row>
    <row r="615" spans="1:56" ht="14.4">
      <c r="A615" s="110"/>
      <c r="B615" s="112">
        <v>1</v>
      </c>
      <c r="C615" s="111" t="s">
        <v>1373</v>
      </c>
      <c r="D615" s="81"/>
      <c r="E615" s="82"/>
      <c r="F615" s="82"/>
      <c r="G615" s="82"/>
      <c r="H615" s="83">
        <f>Source!AO149</f>
        <v>638.69000000000005</v>
      </c>
      <c r="I615" s="84">
        <f>ROUND(1.15*1.15,7)</f>
        <v>1.3225</v>
      </c>
      <c r="J615" s="85">
        <f>ROUND(Source!AF149*Source!I149, 2)</f>
        <v>642.79</v>
      </c>
      <c r="K615" s="84">
        <f>IF(Source!BA149&lt;&gt; 0, Source!BA149, 1)</f>
        <v>24.22</v>
      </c>
      <c r="L615" s="86">
        <f>Source!HJ149</f>
        <v>15568</v>
      </c>
    </row>
    <row r="616" spans="1:56" ht="14.4">
      <c r="A616" s="110"/>
      <c r="B616" s="112">
        <v>3</v>
      </c>
      <c r="C616" s="111" t="s">
        <v>1374</v>
      </c>
      <c r="D616" s="81"/>
      <c r="E616" s="82"/>
      <c r="F616" s="82"/>
      <c r="G616" s="82"/>
      <c r="H616" s="83">
        <f>Source!AM149</f>
        <v>19.25</v>
      </c>
      <c r="I616" s="84">
        <f>ROUND(1.25*1.15,7)</f>
        <v>1.4375</v>
      </c>
      <c r="J616" s="85">
        <f>ROUND(Source!AD149*Source!I149, 2)</f>
        <v>21.06</v>
      </c>
      <c r="K616" s="84"/>
      <c r="L616" s="86"/>
    </row>
    <row r="617" spans="1:56" ht="14.4">
      <c r="A617" s="110"/>
      <c r="B617" s="112">
        <v>2</v>
      </c>
      <c r="C617" s="111" t="s">
        <v>1375</v>
      </c>
      <c r="D617" s="81"/>
      <c r="E617" s="82"/>
      <c r="F617" s="82"/>
      <c r="G617" s="82"/>
      <c r="H617" s="83">
        <f>Source!AN149</f>
        <v>0.39</v>
      </c>
      <c r="I617" s="84">
        <f>ROUND(1.25*1.15,7)</f>
        <v>1.4375</v>
      </c>
      <c r="J617" s="87">
        <f>ROUND(Source!AE149*Source!I149, 2)</f>
        <v>0.43</v>
      </c>
      <c r="K617" s="84">
        <f>IF(Source!BS149&lt;&gt; 0, Source!BS149, 1)</f>
        <v>24.22</v>
      </c>
      <c r="L617" s="88">
        <f>Source!HI149</f>
        <v>10</v>
      </c>
    </row>
    <row r="618" spans="1:56" ht="14.4">
      <c r="A618" s="110"/>
      <c r="B618" s="112">
        <v>4</v>
      </c>
      <c r="C618" s="111" t="s">
        <v>1408</v>
      </c>
      <c r="D618" s="81"/>
      <c r="E618" s="82"/>
      <c r="F618" s="82"/>
      <c r="G618" s="82"/>
      <c r="H618" s="83">
        <f>Source!AL149</f>
        <v>1385.44</v>
      </c>
      <c r="I618" s="84"/>
      <c r="J618" s="85">
        <f>ROUND(Source!AC149*Source!I149, 2)</f>
        <v>1054.32</v>
      </c>
      <c r="K618" s="84"/>
      <c r="L618" s="86"/>
    </row>
    <row r="619" spans="1:56" ht="14.4">
      <c r="A619" s="110"/>
      <c r="B619" s="111"/>
      <c r="C619" s="111" t="s">
        <v>1376</v>
      </c>
      <c r="D619" s="81" t="s">
        <v>1377</v>
      </c>
      <c r="E619" s="82">
        <f>Source!AQ149</f>
        <v>68.75</v>
      </c>
      <c r="F619" s="82">
        <f>ROUND(1.15*1.15,7)</f>
        <v>1.3225</v>
      </c>
      <c r="G619" s="82">
        <f>ROUND(Source!U149, 7)</f>
        <v>69.191546900000006</v>
      </c>
      <c r="H619" s="83"/>
      <c r="I619" s="84"/>
      <c r="J619" s="85"/>
      <c r="K619" s="84"/>
      <c r="L619" s="86"/>
    </row>
    <row r="620" spans="1:56" ht="14.4">
      <c r="A620" s="110"/>
      <c r="B620" s="111"/>
      <c r="C620" s="113" t="s">
        <v>1378</v>
      </c>
      <c r="D620" s="89" t="s">
        <v>1377</v>
      </c>
      <c r="E620" s="90">
        <f>Source!AR149</f>
        <v>0.03</v>
      </c>
      <c r="F620" s="90">
        <f>ROUND(1.25*1.15,7)</f>
        <v>1.4375</v>
      </c>
      <c r="G620" s="90">
        <f>ROUND(Source!V149, 7)</f>
        <v>3.2818100000000003E-2</v>
      </c>
      <c r="H620" s="91"/>
      <c r="I620" s="92"/>
      <c r="J620" s="93"/>
      <c r="K620" s="92"/>
      <c r="L620" s="94"/>
    </row>
    <row r="621" spans="1:56" ht="14.4">
      <c r="A621" s="110"/>
      <c r="B621" s="111"/>
      <c r="C621" s="111" t="s">
        <v>1379</v>
      </c>
      <c r="D621" s="81"/>
      <c r="E621" s="82"/>
      <c r="F621" s="82"/>
      <c r="G621" s="82"/>
      <c r="H621" s="83">
        <f>H615+H616+H618</f>
        <v>2043.38</v>
      </c>
      <c r="I621" s="84"/>
      <c r="J621" s="85">
        <f>J615+J616+J618</f>
        <v>1718.1699999999998</v>
      </c>
      <c r="K621" s="84"/>
      <c r="L621" s="86"/>
    </row>
    <row r="622" spans="1:56" ht="14.4">
      <c r="A622" s="110"/>
      <c r="B622" s="111"/>
      <c r="C622" s="111" t="s">
        <v>1380</v>
      </c>
      <c r="D622" s="81"/>
      <c r="E622" s="82"/>
      <c r="F622" s="82"/>
      <c r="G622" s="82"/>
      <c r="H622" s="83"/>
      <c r="I622" s="84"/>
      <c r="J622" s="85">
        <f>SUM(Q612:Q625)+SUM(V612:V625)</f>
        <v>643.21999999999991</v>
      </c>
      <c r="K622" s="84"/>
      <c r="L622" s="86">
        <f>SUM(U612:U625)+SUM(W612:W625)</f>
        <v>15578</v>
      </c>
    </row>
    <row r="623" spans="1:56" ht="14.4">
      <c r="A623" s="110"/>
      <c r="B623" s="111" t="s">
        <v>1414</v>
      </c>
      <c r="C623" s="111" t="s">
        <v>1415</v>
      </c>
      <c r="D623" s="81" t="s">
        <v>1383</v>
      </c>
      <c r="E623" s="82">
        <f>Source!BZ149</f>
        <v>100</v>
      </c>
      <c r="F623" s="82">
        <f>ROUND(0.9,7)</f>
        <v>0.9</v>
      </c>
      <c r="G623" s="82">
        <f>Source!AT149</f>
        <v>90</v>
      </c>
      <c r="H623" s="83"/>
      <c r="I623" s="84"/>
      <c r="J623" s="85">
        <f>SUM(AC612:AC625)</f>
        <v>578.9</v>
      </c>
      <c r="K623" s="84"/>
      <c r="L623" s="86">
        <f>SUM(AD612:AD625)</f>
        <v>14020</v>
      </c>
    </row>
    <row r="624" spans="1:56" ht="14.4">
      <c r="A624" s="114"/>
      <c r="B624" s="113" t="s">
        <v>1416</v>
      </c>
      <c r="C624" s="113" t="s">
        <v>1417</v>
      </c>
      <c r="D624" s="89" t="s">
        <v>1383</v>
      </c>
      <c r="E624" s="90">
        <f>Source!CA149</f>
        <v>49</v>
      </c>
      <c r="F624" s="90">
        <f>ROUND(0.85,7)</f>
        <v>0.85</v>
      </c>
      <c r="G624" s="90">
        <f>Source!AU149</f>
        <v>41.65</v>
      </c>
      <c r="H624" s="91"/>
      <c r="I624" s="92"/>
      <c r="J624" s="93">
        <f>SUM(AE612:AE625)</f>
        <v>267.89999999999998</v>
      </c>
      <c r="K624" s="92"/>
      <c r="L624" s="94">
        <f>SUM(AF612:AF625)</f>
        <v>6488</v>
      </c>
    </row>
    <row r="625" spans="1:56" ht="13.8">
      <c r="C625" s="95" t="s">
        <v>1386</v>
      </c>
      <c r="D625" s="95"/>
      <c r="E625" s="95"/>
      <c r="F625" s="95"/>
      <c r="G625" s="95"/>
      <c r="H625" s="95"/>
      <c r="I625" s="95">
        <f>J615+J616+J618+J623+J624</f>
        <v>2564.9699999999998</v>
      </c>
      <c r="J625" s="95"/>
      <c r="O625" s="69">
        <f>I625</f>
        <v>2564.9699999999998</v>
      </c>
      <c r="P625">
        <f>K625</f>
        <v>0</v>
      </c>
      <c r="Q625" s="69">
        <f>J615</f>
        <v>642.79</v>
      </c>
      <c r="R625" s="69">
        <f>J615</f>
        <v>642.79</v>
      </c>
      <c r="U625" s="70">
        <f>L615</f>
        <v>15568</v>
      </c>
      <c r="V625" s="69">
        <f>J617</f>
        <v>0.43</v>
      </c>
      <c r="W625" s="70">
        <f>L617</f>
        <v>10</v>
      </c>
      <c r="X625" s="69">
        <f>J616</f>
        <v>21.06</v>
      </c>
      <c r="Z625" s="70">
        <f>L616</f>
        <v>0</v>
      </c>
      <c r="AB625" s="69">
        <f>J618</f>
        <v>1054.32</v>
      </c>
      <c r="AN625">
        <f>IF(Source!BI149&lt;=1,J615+J616+J618+J623+J624, 0)</f>
        <v>2564.9699999999998</v>
      </c>
      <c r="AO625">
        <f>IF(Source!BI149&lt;=1,J618, 0)</f>
        <v>1054.32</v>
      </c>
      <c r="AP625">
        <f>IF(Source!BI149&lt;=1,J616, 0)</f>
        <v>21.06</v>
      </c>
      <c r="AQ625">
        <f>IF(Source!BI149&lt;=1,J615, 0)</f>
        <v>642.79</v>
      </c>
      <c r="AX625">
        <f>IF(Source!BI149=2,J615+J616+J618+J623+J624, 0)</f>
        <v>0</v>
      </c>
      <c r="AY625">
        <f>IF(Source!BI149=2,J618, 0)</f>
        <v>0</v>
      </c>
      <c r="AZ625">
        <f>IF(Source!BI149=2,J616, 0)</f>
        <v>0</v>
      </c>
      <c r="BA625">
        <f>IF(Source!BI149=2,J615, 0)</f>
        <v>0</v>
      </c>
    </row>
    <row r="626" spans="1:56" ht="13.8">
      <c r="C626" s="79" t="str">
        <f>Source!G150</f>
        <v>Потолки (санузел женский)</v>
      </c>
    </row>
    <row r="627" spans="1:56" ht="133.19999999999999">
      <c r="A627" s="110" t="str">
        <f>Source!E151</f>
        <v>80</v>
      </c>
      <c r="B627" s="111" t="str">
        <f>Source!F151</f>
        <v>15-02-036-2</v>
      </c>
      <c r="C627" s="111" t="s">
        <v>1460</v>
      </c>
      <c r="D627" s="81" t="str">
        <f>Source!H151</f>
        <v>100 м2 оштукатуриваемой поверхности</v>
      </c>
      <c r="E627" s="82">
        <f>Source!K151</f>
        <v>0.496</v>
      </c>
      <c r="F627" s="82"/>
      <c r="G627" s="82">
        <f>Source!I151</f>
        <v>0.496</v>
      </c>
      <c r="H627" s="83"/>
      <c r="I627" s="84"/>
      <c r="J627" s="85"/>
      <c r="K627" s="84"/>
      <c r="L627" s="86"/>
      <c r="AC627">
        <f>Source!X151</f>
        <v>768.3</v>
      </c>
      <c r="AD627">
        <f>Source!HK151</f>
        <v>18608</v>
      </c>
      <c r="AE627">
        <f>Source!Y151</f>
        <v>355.55</v>
      </c>
      <c r="AF627">
        <f>Source!HL151</f>
        <v>8612</v>
      </c>
      <c r="AS627">
        <f>IF(Source!BI151&lt;=1,AD627, 0)</f>
        <v>18608</v>
      </c>
      <c r="AT627">
        <f>IF(Source!BI151&lt;=1,AF627, 0)</f>
        <v>8612</v>
      </c>
      <c r="BC627">
        <f>IF(Source!BI151=2,AD627, 0)</f>
        <v>0</v>
      </c>
      <c r="BD627">
        <f>IF(Source!BI151=2,AF627, 0)</f>
        <v>0</v>
      </c>
    </row>
    <row r="629" spans="1:56">
      <c r="C629" s="67" t="str">
        <f>"Объем: "&amp;Source!K151&amp;"=12,4*"&amp;"4/"&amp;"100"</f>
        <v>Объем: 0,496=12,4*4/100</v>
      </c>
    </row>
    <row r="630" spans="1:56" ht="14.4">
      <c r="A630" s="110"/>
      <c r="B630" s="112">
        <v>1</v>
      </c>
      <c r="C630" s="111" t="s">
        <v>1373</v>
      </c>
      <c r="D630" s="81"/>
      <c r="E630" s="82"/>
      <c r="F630" s="82"/>
      <c r="G630" s="82"/>
      <c r="H630" s="83">
        <f>Source!AO151</f>
        <v>1281.51</v>
      </c>
      <c r="I630" s="84">
        <f>ROUND(1.15*1.15,7)</f>
        <v>1.3225</v>
      </c>
      <c r="J630" s="85">
        <f>ROUND(Source!AF151*Source!I151, 2)</f>
        <v>840.62</v>
      </c>
      <c r="K630" s="84">
        <f>IF(Source!BA151&lt;&gt; 0, Source!BA151, 1)</f>
        <v>24.22</v>
      </c>
      <c r="L630" s="86">
        <f>Source!HJ151</f>
        <v>20360</v>
      </c>
    </row>
    <row r="631" spans="1:56" ht="14.4">
      <c r="A631" s="110"/>
      <c r="B631" s="112">
        <v>3</v>
      </c>
      <c r="C631" s="111" t="s">
        <v>1374</v>
      </c>
      <c r="D631" s="81"/>
      <c r="E631" s="82"/>
      <c r="F631" s="82"/>
      <c r="G631" s="82"/>
      <c r="H631" s="83">
        <f>Source!AM151</f>
        <v>53.82</v>
      </c>
      <c r="I631" s="84">
        <f>ROUND(1.25*1.15,7)</f>
        <v>1.4375</v>
      </c>
      <c r="J631" s="85">
        <f>ROUND(Source!AD151*Source!I151, 2)</f>
        <v>38.369999999999997</v>
      </c>
      <c r="K631" s="84"/>
      <c r="L631" s="86"/>
    </row>
    <row r="632" spans="1:56" ht="14.4">
      <c r="A632" s="110"/>
      <c r="B632" s="112">
        <v>2</v>
      </c>
      <c r="C632" s="111" t="s">
        <v>1375</v>
      </c>
      <c r="D632" s="81"/>
      <c r="E632" s="82"/>
      <c r="F632" s="82"/>
      <c r="G632" s="82"/>
      <c r="H632" s="83">
        <f>Source!AN151</f>
        <v>18.3</v>
      </c>
      <c r="I632" s="84">
        <f>ROUND(1.25*1.15,7)</f>
        <v>1.4375</v>
      </c>
      <c r="J632" s="87">
        <f>ROUND(Source!AE151*Source!I151, 2)</f>
        <v>13.05</v>
      </c>
      <c r="K632" s="84">
        <f>IF(Source!BS151&lt;&gt; 0, Source!BS151, 1)</f>
        <v>24.22</v>
      </c>
      <c r="L632" s="88">
        <f>Source!HI151</f>
        <v>316</v>
      </c>
    </row>
    <row r="633" spans="1:56" ht="14.4">
      <c r="A633" s="110"/>
      <c r="B633" s="112">
        <v>4</v>
      </c>
      <c r="C633" s="111" t="s">
        <v>1408</v>
      </c>
      <c r="D633" s="81"/>
      <c r="E633" s="82"/>
      <c r="F633" s="82"/>
      <c r="G633" s="82"/>
      <c r="H633" s="83">
        <f>Source!AL151</f>
        <v>2622.09</v>
      </c>
      <c r="I633" s="84"/>
      <c r="J633" s="85">
        <f>ROUND(Source!AC151*Source!I151, 2)</f>
        <v>1300.56</v>
      </c>
      <c r="K633" s="84"/>
      <c r="L633" s="86"/>
    </row>
    <row r="634" spans="1:56" ht="14.4">
      <c r="A634" s="110"/>
      <c r="B634" s="111"/>
      <c r="C634" s="111" t="s">
        <v>1376</v>
      </c>
      <c r="D634" s="81" t="s">
        <v>1377</v>
      </c>
      <c r="E634" s="82">
        <f>Source!AQ151</f>
        <v>144.63999999999999</v>
      </c>
      <c r="F634" s="82">
        <f>ROUND(1.15*1.15,7)</f>
        <v>1.3225</v>
      </c>
      <c r="G634" s="82">
        <f>ROUND(Source!U151, 7)</f>
        <v>94.878054399999996</v>
      </c>
      <c r="H634" s="83"/>
      <c r="I634" s="84"/>
      <c r="J634" s="85"/>
      <c r="K634" s="84"/>
      <c r="L634" s="86"/>
    </row>
    <row r="635" spans="1:56" ht="14.4">
      <c r="A635" s="110"/>
      <c r="B635" s="111"/>
      <c r="C635" s="113" t="s">
        <v>1378</v>
      </c>
      <c r="D635" s="89" t="s">
        <v>1377</v>
      </c>
      <c r="E635" s="90">
        <f>Source!AR151</f>
        <v>1.44</v>
      </c>
      <c r="F635" s="90">
        <f>ROUND(1.25*1.15,7)</f>
        <v>1.4375</v>
      </c>
      <c r="G635" s="90">
        <f>ROUND(Source!V151, 7)</f>
        <v>1.0267200000000001</v>
      </c>
      <c r="H635" s="91"/>
      <c r="I635" s="92"/>
      <c r="J635" s="93"/>
      <c r="K635" s="92"/>
      <c r="L635" s="94"/>
    </row>
    <row r="636" spans="1:56" ht="14.4">
      <c r="A636" s="110"/>
      <c r="B636" s="111"/>
      <c r="C636" s="111" t="s">
        <v>1379</v>
      </c>
      <c r="D636" s="81"/>
      <c r="E636" s="82"/>
      <c r="F636" s="82"/>
      <c r="G636" s="82"/>
      <c r="H636" s="83">
        <f>H630+H631+H633</f>
        <v>3957.42</v>
      </c>
      <c r="I636" s="84"/>
      <c r="J636" s="85">
        <f>J630+J631+J633</f>
        <v>2179.5500000000002</v>
      </c>
      <c r="K636" s="84"/>
      <c r="L636" s="86"/>
    </row>
    <row r="637" spans="1:56" ht="14.4">
      <c r="A637" s="110"/>
      <c r="B637" s="111"/>
      <c r="C637" s="111" t="s">
        <v>1380</v>
      </c>
      <c r="D637" s="81"/>
      <c r="E637" s="82"/>
      <c r="F637" s="82"/>
      <c r="G637" s="82"/>
      <c r="H637" s="83"/>
      <c r="I637" s="84"/>
      <c r="J637" s="85">
        <f>SUM(Q627:Q640)+SUM(V627:V640)</f>
        <v>853.67</v>
      </c>
      <c r="K637" s="84"/>
      <c r="L637" s="86">
        <f>SUM(U627:U640)+SUM(W627:W640)</f>
        <v>20676</v>
      </c>
    </row>
    <row r="638" spans="1:56" ht="14.4">
      <c r="A638" s="110"/>
      <c r="B638" s="111" t="s">
        <v>1414</v>
      </c>
      <c r="C638" s="111" t="s">
        <v>1415</v>
      </c>
      <c r="D638" s="81" t="s">
        <v>1383</v>
      </c>
      <c r="E638" s="82">
        <f>Source!BZ151</f>
        <v>100</v>
      </c>
      <c r="F638" s="82">
        <f>ROUND(0.9,7)</f>
        <v>0.9</v>
      </c>
      <c r="G638" s="82">
        <f>Source!AT151</f>
        <v>90</v>
      </c>
      <c r="H638" s="83"/>
      <c r="I638" s="84"/>
      <c r="J638" s="85">
        <f>SUM(AC627:AC640)</f>
        <v>768.3</v>
      </c>
      <c r="K638" s="84"/>
      <c r="L638" s="86">
        <f>SUM(AD627:AD640)</f>
        <v>18608</v>
      </c>
    </row>
    <row r="639" spans="1:56" ht="14.4">
      <c r="A639" s="114"/>
      <c r="B639" s="113" t="s">
        <v>1416</v>
      </c>
      <c r="C639" s="113" t="s">
        <v>1417</v>
      </c>
      <c r="D639" s="89" t="s">
        <v>1383</v>
      </c>
      <c r="E639" s="90">
        <f>Source!CA151</f>
        <v>49</v>
      </c>
      <c r="F639" s="90">
        <f>ROUND(0.85,7)</f>
        <v>0.85</v>
      </c>
      <c r="G639" s="90">
        <f>Source!AU151</f>
        <v>41.65</v>
      </c>
      <c r="H639" s="91"/>
      <c r="I639" s="92"/>
      <c r="J639" s="93">
        <f>SUM(AE627:AE640)</f>
        <v>355.55</v>
      </c>
      <c r="K639" s="92"/>
      <c r="L639" s="94">
        <f>SUM(AF627:AF640)</f>
        <v>8612</v>
      </c>
    </row>
    <row r="640" spans="1:56" ht="13.8">
      <c r="C640" s="95" t="s">
        <v>1386</v>
      </c>
      <c r="D640" s="95"/>
      <c r="E640" s="95"/>
      <c r="F640" s="95"/>
      <c r="G640" s="95"/>
      <c r="H640" s="95"/>
      <c r="I640" s="95">
        <f>J630+J631+J633+J638+J639</f>
        <v>3303.4000000000005</v>
      </c>
      <c r="J640" s="95"/>
      <c r="O640" s="69">
        <f>I640</f>
        <v>3303.4000000000005</v>
      </c>
      <c r="P640">
        <f>K640</f>
        <v>0</v>
      </c>
      <c r="Q640" s="69">
        <f>J630</f>
        <v>840.62</v>
      </c>
      <c r="R640" s="69">
        <f>J630</f>
        <v>840.62</v>
      </c>
      <c r="U640" s="70">
        <f>L630</f>
        <v>20360</v>
      </c>
      <c r="V640" s="69">
        <f>J632</f>
        <v>13.05</v>
      </c>
      <c r="W640" s="70">
        <f>L632</f>
        <v>316</v>
      </c>
      <c r="X640" s="69">
        <f>J631</f>
        <v>38.369999999999997</v>
      </c>
      <c r="Z640" s="70">
        <f>L631</f>
        <v>0</v>
      </c>
      <c r="AB640" s="69">
        <f>J633</f>
        <v>1300.56</v>
      </c>
      <c r="AN640">
        <f>IF(Source!BI151&lt;=1,J630+J631+J633+J638+J639, 0)</f>
        <v>3303.4000000000005</v>
      </c>
      <c r="AO640">
        <f>IF(Source!BI151&lt;=1,J633, 0)</f>
        <v>1300.56</v>
      </c>
      <c r="AP640">
        <f>IF(Source!BI151&lt;=1,J631, 0)</f>
        <v>38.369999999999997</v>
      </c>
      <c r="AQ640">
        <f>IF(Source!BI151&lt;=1,J630, 0)</f>
        <v>840.62</v>
      </c>
      <c r="AX640">
        <f>IF(Source!BI151=2,J630+J631+J633+J638+J639, 0)</f>
        <v>0</v>
      </c>
      <c r="AY640">
        <f>IF(Source!BI151=2,J633, 0)</f>
        <v>0</v>
      </c>
      <c r="AZ640">
        <f>IF(Source!BI151=2,J631, 0)</f>
        <v>0</v>
      </c>
      <c r="BA640">
        <f>IF(Source!BI151=2,J630, 0)</f>
        <v>0</v>
      </c>
    </row>
    <row r="641" spans="1:56" ht="160.80000000000001">
      <c r="A641" s="110" t="str">
        <f>Source!E152</f>
        <v>81</v>
      </c>
      <c r="B641" s="111" t="str">
        <f>Source!F152</f>
        <v>15-04-027-6</v>
      </c>
      <c r="C641" s="111" t="s">
        <v>1461</v>
      </c>
      <c r="D641" s="81" t="str">
        <f>Source!H152</f>
        <v>100 м2 окрашиваемой поверхности</v>
      </c>
      <c r="E641" s="82">
        <f>Source!K152</f>
        <v>0.496</v>
      </c>
      <c r="F641" s="82"/>
      <c r="G641" s="82">
        <f>Source!I152</f>
        <v>0.496</v>
      </c>
      <c r="H641" s="83"/>
      <c r="I641" s="84"/>
      <c r="J641" s="85"/>
      <c r="K641" s="84"/>
      <c r="L641" s="86"/>
      <c r="AC641">
        <f>Source!X152</f>
        <v>89.51</v>
      </c>
      <c r="AD641">
        <f>Source!HK152</f>
        <v>2167</v>
      </c>
      <c r="AE641">
        <f>Source!Y152</f>
        <v>41.42</v>
      </c>
      <c r="AF641">
        <f>Source!HL152</f>
        <v>1003</v>
      </c>
      <c r="AS641">
        <f>IF(Source!BI152&lt;=1,AD641, 0)</f>
        <v>2167</v>
      </c>
      <c r="AT641">
        <f>IF(Source!BI152&lt;=1,AF641, 0)</f>
        <v>1003</v>
      </c>
      <c r="BC641">
        <f>IF(Source!BI152=2,AD641, 0)</f>
        <v>0</v>
      </c>
      <c r="BD641">
        <f>IF(Source!BI152=2,AF641, 0)</f>
        <v>0</v>
      </c>
    </row>
    <row r="643" spans="1:56">
      <c r="C643" s="67" t="str">
        <f>"Объем: "&amp;Source!K152&amp;"=12,4*"&amp;"4/"&amp;"100"</f>
        <v>Объем: 0,496=12,4*4/100</v>
      </c>
    </row>
    <row r="644" spans="1:56" ht="14.4">
      <c r="A644" s="110"/>
      <c r="B644" s="112">
        <v>1</v>
      </c>
      <c r="C644" s="111" t="s">
        <v>1373</v>
      </c>
      <c r="D644" s="81"/>
      <c r="E644" s="82"/>
      <c r="F644" s="82"/>
      <c r="G644" s="82"/>
      <c r="H644" s="83">
        <f>Source!AO152</f>
        <v>151.47</v>
      </c>
      <c r="I644" s="84">
        <f>ROUND(1.15*1.15,7)</f>
        <v>1.3225</v>
      </c>
      <c r="J644" s="85">
        <f>ROUND(Source!AF152*Source!I152, 2)</f>
        <v>99.36</v>
      </c>
      <c r="K644" s="84">
        <f>IF(Source!BA152&lt;&gt; 0, Source!BA152, 1)</f>
        <v>24.22</v>
      </c>
      <c r="L644" s="86">
        <f>Source!HJ152</f>
        <v>2406</v>
      </c>
    </row>
    <row r="645" spans="1:56" ht="14.4">
      <c r="A645" s="110"/>
      <c r="B645" s="112">
        <v>3</v>
      </c>
      <c r="C645" s="111" t="s">
        <v>1374</v>
      </c>
      <c r="D645" s="81"/>
      <c r="E645" s="82"/>
      <c r="F645" s="82"/>
      <c r="G645" s="82"/>
      <c r="H645" s="83">
        <f>Source!AM152</f>
        <v>3.97</v>
      </c>
      <c r="I645" s="84">
        <f>ROUND(1.25*1.15,7)</f>
        <v>1.4375</v>
      </c>
      <c r="J645" s="85">
        <f>ROUND(Source!AD152*Source!I152, 2)</f>
        <v>2.83</v>
      </c>
      <c r="K645" s="84"/>
      <c r="L645" s="86"/>
    </row>
    <row r="646" spans="1:56" ht="14.4">
      <c r="A646" s="110"/>
      <c r="B646" s="112">
        <v>2</v>
      </c>
      <c r="C646" s="111" t="s">
        <v>1375</v>
      </c>
      <c r="D646" s="81"/>
      <c r="E646" s="82"/>
      <c r="F646" s="82"/>
      <c r="G646" s="82"/>
      <c r="H646" s="83">
        <f>Source!AN152</f>
        <v>0.13</v>
      </c>
      <c r="I646" s="84">
        <f>ROUND(1.25*1.15,7)</f>
        <v>1.4375</v>
      </c>
      <c r="J646" s="87">
        <f>ROUND(Source!AE152*Source!I152, 2)</f>
        <v>0.09</v>
      </c>
      <c r="K646" s="84">
        <f>IF(Source!BS152&lt;&gt; 0, Source!BS152, 1)</f>
        <v>24.22</v>
      </c>
      <c r="L646" s="88">
        <f>Source!HI152</f>
        <v>2</v>
      </c>
    </row>
    <row r="647" spans="1:56" ht="14.4">
      <c r="A647" s="110"/>
      <c r="B647" s="112">
        <v>4</v>
      </c>
      <c r="C647" s="111" t="s">
        <v>1408</v>
      </c>
      <c r="D647" s="81"/>
      <c r="E647" s="82"/>
      <c r="F647" s="82"/>
      <c r="G647" s="82"/>
      <c r="H647" s="83">
        <f>Source!AL152</f>
        <v>424.07</v>
      </c>
      <c r="I647" s="84"/>
      <c r="J647" s="85">
        <f>ROUND(Source!AC152*Source!I152, 2)</f>
        <v>210.34</v>
      </c>
      <c r="K647" s="84"/>
      <c r="L647" s="86"/>
    </row>
    <row r="648" spans="1:56" ht="14.4">
      <c r="A648" s="110"/>
      <c r="B648" s="111"/>
      <c r="C648" s="111" t="s">
        <v>1376</v>
      </c>
      <c r="D648" s="81" t="s">
        <v>1377</v>
      </c>
      <c r="E648" s="82">
        <f>Source!AQ152</f>
        <v>16.5</v>
      </c>
      <c r="F648" s="82">
        <f>ROUND(1.15*1.15,7)</f>
        <v>1.3225</v>
      </c>
      <c r="G648" s="82">
        <f>ROUND(Source!U152, 7)</f>
        <v>10.82334</v>
      </c>
      <c r="H648" s="83"/>
      <c r="I648" s="84"/>
      <c r="J648" s="85"/>
      <c r="K648" s="84"/>
      <c r="L648" s="86"/>
    </row>
    <row r="649" spans="1:56" ht="14.4">
      <c r="A649" s="110"/>
      <c r="B649" s="111"/>
      <c r="C649" s="113" t="s">
        <v>1378</v>
      </c>
      <c r="D649" s="89" t="s">
        <v>1377</v>
      </c>
      <c r="E649" s="90">
        <f>Source!AR152</f>
        <v>0.01</v>
      </c>
      <c r="F649" s="90">
        <f>ROUND(1.25*1.15,7)</f>
        <v>1.4375</v>
      </c>
      <c r="G649" s="90">
        <f>ROUND(Source!V152, 7)</f>
        <v>7.1300000000000001E-3</v>
      </c>
      <c r="H649" s="91"/>
      <c r="I649" s="92"/>
      <c r="J649" s="93"/>
      <c r="K649" s="92"/>
      <c r="L649" s="94"/>
    </row>
    <row r="650" spans="1:56" ht="14.4">
      <c r="A650" s="110"/>
      <c r="B650" s="111"/>
      <c r="C650" s="111" t="s">
        <v>1379</v>
      </c>
      <c r="D650" s="81"/>
      <c r="E650" s="82"/>
      <c r="F650" s="82"/>
      <c r="G650" s="82"/>
      <c r="H650" s="83">
        <f>H644+H645+H647</f>
        <v>579.51</v>
      </c>
      <c r="I650" s="84"/>
      <c r="J650" s="85">
        <f>J644+J645+J647</f>
        <v>312.52999999999997</v>
      </c>
      <c r="K650" s="84"/>
      <c r="L650" s="86"/>
    </row>
    <row r="651" spans="1:56" ht="14.4">
      <c r="A651" s="110"/>
      <c r="B651" s="111"/>
      <c r="C651" s="111" t="s">
        <v>1380</v>
      </c>
      <c r="D651" s="81"/>
      <c r="E651" s="82"/>
      <c r="F651" s="82"/>
      <c r="G651" s="82"/>
      <c r="H651" s="83"/>
      <c r="I651" s="84"/>
      <c r="J651" s="85">
        <f>SUM(Q641:Q654)+SUM(V641:V654)</f>
        <v>99.45</v>
      </c>
      <c r="K651" s="84"/>
      <c r="L651" s="86">
        <f>SUM(U641:U654)+SUM(W641:W654)</f>
        <v>2408</v>
      </c>
    </row>
    <row r="652" spans="1:56" ht="14.4">
      <c r="A652" s="110"/>
      <c r="B652" s="111" t="s">
        <v>1414</v>
      </c>
      <c r="C652" s="111" t="s">
        <v>1415</v>
      </c>
      <c r="D652" s="81" t="s">
        <v>1383</v>
      </c>
      <c r="E652" s="82">
        <f>Source!BZ152</f>
        <v>100</v>
      </c>
      <c r="F652" s="82">
        <f>ROUND(0.9,7)</f>
        <v>0.9</v>
      </c>
      <c r="G652" s="82">
        <f>Source!AT152</f>
        <v>90</v>
      </c>
      <c r="H652" s="83"/>
      <c r="I652" s="84"/>
      <c r="J652" s="85">
        <f>SUM(AC641:AC654)</f>
        <v>89.51</v>
      </c>
      <c r="K652" s="84"/>
      <c r="L652" s="86">
        <f>SUM(AD641:AD654)</f>
        <v>2167</v>
      </c>
    </row>
    <row r="653" spans="1:56" ht="14.4">
      <c r="A653" s="114"/>
      <c r="B653" s="113" t="s">
        <v>1416</v>
      </c>
      <c r="C653" s="113" t="s">
        <v>1417</v>
      </c>
      <c r="D653" s="89" t="s">
        <v>1383</v>
      </c>
      <c r="E653" s="90">
        <f>Source!CA152</f>
        <v>49</v>
      </c>
      <c r="F653" s="90">
        <f>ROUND(0.85,7)</f>
        <v>0.85</v>
      </c>
      <c r="G653" s="90">
        <f>Source!AU152</f>
        <v>41.65</v>
      </c>
      <c r="H653" s="91"/>
      <c r="I653" s="92"/>
      <c r="J653" s="93">
        <f>SUM(AE641:AE654)</f>
        <v>41.42</v>
      </c>
      <c r="K653" s="92"/>
      <c r="L653" s="94">
        <f>SUM(AF641:AF654)</f>
        <v>1003</v>
      </c>
    </row>
    <row r="654" spans="1:56" ht="13.8">
      <c r="C654" s="95" t="s">
        <v>1386</v>
      </c>
      <c r="D654" s="95"/>
      <c r="E654" s="95"/>
      <c r="F654" s="95"/>
      <c r="G654" s="95"/>
      <c r="H654" s="95"/>
      <c r="I654" s="95">
        <f>J644+J645+J647+J652+J653</f>
        <v>443.46</v>
      </c>
      <c r="J654" s="95"/>
      <c r="O654" s="69">
        <f>I654</f>
        <v>443.46</v>
      </c>
      <c r="P654">
        <f>K654</f>
        <v>0</v>
      </c>
      <c r="Q654" s="69">
        <f>J644</f>
        <v>99.36</v>
      </c>
      <c r="R654" s="69">
        <f>J644</f>
        <v>99.36</v>
      </c>
      <c r="U654" s="70">
        <f>L644</f>
        <v>2406</v>
      </c>
      <c r="V654" s="69">
        <f>J646</f>
        <v>0.09</v>
      </c>
      <c r="W654" s="70">
        <f>L646</f>
        <v>2</v>
      </c>
      <c r="X654" s="69">
        <f>J645</f>
        <v>2.83</v>
      </c>
      <c r="Z654" s="70">
        <f>L645</f>
        <v>0</v>
      </c>
      <c r="AB654" s="69">
        <f>J647</f>
        <v>210.34</v>
      </c>
      <c r="AN654">
        <f>IF(Source!BI152&lt;=1,J644+J645+J647+J652+J653, 0)</f>
        <v>443.46</v>
      </c>
      <c r="AO654">
        <f>IF(Source!BI152&lt;=1,J647, 0)</f>
        <v>210.34</v>
      </c>
      <c r="AP654">
        <f>IF(Source!BI152&lt;=1,J645, 0)</f>
        <v>2.83</v>
      </c>
      <c r="AQ654">
        <f>IF(Source!BI152&lt;=1,J644, 0)</f>
        <v>99.36</v>
      </c>
      <c r="AX654">
        <f>IF(Source!BI152=2,J644+J645+J647+J652+J653, 0)</f>
        <v>0</v>
      </c>
      <c r="AY654">
        <f>IF(Source!BI152=2,J647, 0)</f>
        <v>0</v>
      </c>
      <c r="AZ654">
        <f>IF(Source!BI152=2,J645, 0)</f>
        <v>0</v>
      </c>
      <c r="BA654">
        <f>IF(Source!BI152=2,J644, 0)</f>
        <v>0</v>
      </c>
    </row>
    <row r="655" spans="1:56" ht="160.80000000000001">
      <c r="A655" s="110" t="str">
        <f>Source!E153</f>
        <v>82</v>
      </c>
      <c r="B655" s="111" t="str">
        <f>Source!F153</f>
        <v>15-04-005-8</v>
      </c>
      <c r="C655" s="111" t="s">
        <v>1462</v>
      </c>
      <c r="D655" s="81" t="str">
        <f>Source!H153</f>
        <v>100 м2 окрашиваемой поверхности</v>
      </c>
      <c r="E655" s="82">
        <f>Source!K153</f>
        <v>0.496</v>
      </c>
      <c r="F655" s="82"/>
      <c r="G655" s="82">
        <f>Source!I153</f>
        <v>0.496</v>
      </c>
      <c r="H655" s="83"/>
      <c r="I655" s="84"/>
      <c r="J655" s="85"/>
      <c r="K655" s="84"/>
      <c r="L655" s="86"/>
      <c r="AC655">
        <f>Source!X153</f>
        <v>490.73</v>
      </c>
      <c r="AD655">
        <f>Source!HK153</f>
        <v>11885</v>
      </c>
      <c r="AE655">
        <f>Source!Y153</f>
        <v>227.1</v>
      </c>
      <c r="AF655">
        <f>Source!HL153</f>
        <v>5500</v>
      </c>
      <c r="AS655">
        <f>IF(Source!BI153&lt;=1,AD655, 0)</f>
        <v>11885</v>
      </c>
      <c r="AT655">
        <f>IF(Source!BI153&lt;=1,AF655, 0)</f>
        <v>5500</v>
      </c>
      <c r="BC655">
        <f>IF(Source!BI153=2,AD655, 0)</f>
        <v>0</v>
      </c>
      <c r="BD655">
        <f>IF(Source!BI153=2,AF655, 0)</f>
        <v>0</v>
      </c>
    </row>
    <row r="657" spans="1:56">
      <c r="C657" s="67" t="str">
        <f>"Объем: "&amp;Source!K153&amp;"=12,4*"&amp;"4/"&amp;"100"</f>
        <v>Объем: 0,496=12,4*4/100</v>
      </c>
    </row>
    <row r="658" spans="1:56" ht="14.4">
      <c r="A658" s="110"/>
      <c r="B658" s="112">
        <v>1</v>
      </c>
      <c r="C658" s="111" t="s">
        <v>1373</v>
      </c>
      <c r="D658" s="81"/>
      <c r="E658" s="82"/>
      <c r="F658" s="82"/>
      <c r="G658" s="82"/>
      <c r="H658" s="83">
        <f>Source!AO153</f>
        <v>830.8</v>
      </c>
      <c r="I658" s="84">
        <f>ROUND(1.15*1.15,7)</f>
        <v>1.3225</v>
      </c>
      <c r="J658" s="85">
        <f>ROUND(Source!AF153*Source!I153, 2)</f>
        <v>544.97</v>
      </c>
      <c r="K658" s="84">
        <f>IF(Source!BA153&lt;&gt; 0, Source!BA153, 1)</f>
        <v>24.22</v>
      </c>
      <c r="L658" s="86">
        <f>Source!HJ153</f>
        <v>13199</v>
      </c>
    </row>
    <row r="659" spans="1:56" ht="14.4">
      <c r="A659" s="110"/>
      <c r="B659" s="112">
        <v>3</v>
      </c>
      <c r="C659" s="111" t="s">
        <v>1374</v>
      </c>
      <c r="D659" s="81"/>
      <c r="E659" s="82"/>
      <c r="F659" s="82"/>
      <c r="G659" s="82"/>
      <c r="H659" s="83">
        <f>Source!AM153</f>
        <v>21.08</v>
      </c>
      <c r="I659" s="84">
        <f>ROUND(1.25*1.15,7)</f>
        <v>1.4375</v>
      </c>
      <c r="J659" s="85">
        <f>ROUND(Source!AD153*Source!I153, 2)</f>
        <v>15.03</v>
      </c>
      <c r="K659" s="84"/>
      <c r="L659" s="86"/>
    </row>
    <row r="660" spans="1:56" ht="14.4">
      <c r="A660" s="110"/>
      <c r="B660" s="112">
        <v>2</v>
      </c>
      <c r="C660" s="111" t="s">
        <v>1375</v>
      </c>
      <c r="D660" s="81"/>
      <c r="E660" s="82"/>
      <c r="F660" s="82"/>
      <c r="G660" s="82"/>
      <c r="H660" s="83">
        <f>Source!AN153</f>
        <v>0.39</v>
      </c>
      <c r="I660" s="84">
        <f>ROUND(1.25*1.15,7)</f>
        <v>1.4375</v>
      </c>
      <c r="J660" s="87">
        <f>ROUND(Source!AE153*Source!I153, 2)</f>
        <v>0.28000000000000003</v>
      </c>
      <c r="K660" s="84">
        <f>IF(Source!BS153&lt;&gt; 0, Source!BS153, 1)</f>
        <v>24.22</v>
      </c>
      <c r="L660" s="88">
        <f>Source!HI153</f>
        <v>7</v>
      </c>
    </row>
    <row r="661" spans="1:56" ht="14.4">
      <c r="A661" s="110"/>
      <c r="B661" s="112">
        <v>4</v>
      </c>
      <c r="C661" s="111" t="s">
        <v>1408</v>
      </c>
      <c r="D661" s="81"/>
      <c r="E661" s="82"/>
      <c r="F661" s="82"/>
      <c r="G661" s="82"/>
      <c r="H661" s="83">
        <f>Source!AL153</f>
        <v>1529.3</v>
      </c>
      <c r="I661" s="84"/>
      <c r="J661" s="85">
        <f>ROUND(Source!AC153*Source!I153, 2)</f>
        <v>758.53</v>
      </c>
      <c r="K661" s="84"/>
      <c r="L661" s="86"/>
    </row>
    <row r="662" spans="1:56" ht="14.4">
      <c r="A662" s="110"/>
      <c r="B662" s="111"/>
      <c r="C662" s="111" t="s">
        <v>1376</v>
      </c>
      <c r="D662" s="81" t="s">
        <v>1377</v>
      </c>
      <c r="E662" s="82">
        <f>Source!AQ153</f>
        <v>89.43</v>
      </c>
      <c r="F662" s="82">
        <f>ROUND(1.15*1.15,7)</f>
        <v>1.3225</v>
      </c>
      <c r="G662" s="82">
        <f>ROUND(Source!U153, 7)</f>
        <v>58.662502799999999</v>
      </c>
      <c r="H662" s="83"/>
      <c r="I662" s="84"/>
      <c r="J662" s="85"/>
      <c r="K662" s="84"/>
      <c r="L662" s="86"/>
    </row>
    <row r="663" spans="1:56" ht="14.4">
      <c r="A663" s="110"/>
      <c r="B663" s="111"/>
      <c r="C663" s="113" t="s">
        <v>1378</v>
      </c>
      <c r="D663" s="89" t="s">
        <v>1377</v>
      </c>
      <c r="E663" s="90">
        <f>Source!AR153</f>
        <v>0.03</v>
      </c>
      <c r="F663" s="90">
        <f>ROUND(1.25*1.15,7)</f>
        <v>1.4375</v>
      </c>
      <c r="G663" s="90">
        <f>ROUND(Source!V153, 7)</f>
        <v>2.1389999999999999E-2</v>
      </c>
      <c r="H663" s="91"/>
      <c r="I663" s="92"/>
      <c r="J663" s="93"/>
      <c r="K663" s="92"/>
      <c r="L663" s="94"/>
    </row>
    <row r="664" spans="1:56" ht="14.4">
      <c r="A664" s="110"/>
      <c r="B664" s="111"/>
      <c r="C664" s="111" t="s">
        <v>1379</v>
      </c>
      <c r="D664" s="81"/>
      <c r="E664" s="82"/>
      <c r="F664" s="82"/>
      <c r="G664" s="82"/>
      <c r="H664" s="83">
        <f>H658+H659+H661</f>
        <v>2381.1799999999998</v>
      </c>
      <c r="I664" s="84"/>
      <c r="J664" s="85">
        <f>J658+J659+J661</f>
        <v>1318.53</v>
      </c>
      <c r="K664" s="84"/>
      <c r="L664" s="86"/>
    </row>
    <row r="665" spans="1:56" ht="14.4">
      <c r="A665" s="110"/>
      <c r="B665" s="111"/>
      <c r="C665" s="111" t="s">
        <v>1380</v>
      </c>
      <c r="D665" s="81"/>
      <c r="E665" s="82"/>
      <c r="F665" s="82"/>
      <c r="G665" s="82"/>
      <c r="H665" s="83"/>
      <c r="I665" s="84"/>
      <c r="J665" s="85">
        <f>SUM(Q655:Q668)+SUM(V655:V668)</f>
        <v>545.25</v>
      </c>
      <c r="K665" s="84"/>
      <c r="L665" s="86">
        <f>SUM(U655:U668)+SUM(W655:W668)</f>
        <v>13206</v>
      </c>
    </row>
    <row r="666" spans="1:56" ht="14.4">
      <c r="A666" s="110"/>
      <c r="B666" s="111" t="s">
        <v>1414</v>
      </c>
      <c r="C666" s="111" t="s">
        <v>1415</v>
      </c>
      <c r="D666" s="81" t="s">
        <v>1383</v>
      </c>
      <c r="E666" s="82">
        <f>Source!BZ153</f>
        <v>100</v>
      </c>
      <c r="F666" s="82">
        <f>ROUND(0.9,7)</f>
        <v>0.9</v>
      </c>
      <c r="G666" s="82">
        <f>Source!AT153</f>
        <v>90</v>
      </c>
      <c r="H666" s="83"/>
      <c r="I666" s="84"/>
      <c r="J666" s="85">
        <f>SUM(AC655:AC668)</f>
        <v>490.73</v>
      </c>
      <c r="K666" s="84"/>
      <c r="L666" s="86">
        <f>SUM(AD655:AD668)</f>
        <v>11885</v>
      </c>
    </row>
    <row r="667" spans="1:56" ht="14.4">
      <c r="A667" s="114"/>
      <c r="B667" s="113" t="s">
        <v>1416</v>
      </c>
      <c r="C667" s="113" t="s">
        <v>1417</v>
      </c>
      <c r="D667" s="89" t="s">
        <v>1383</v>
      </c>
      <c r="E667" s="90">
        <f>Source!CA153</f>
        <v>49</v>
      </c>
      <c r="F667" s="90">
        <f>ROUND(0.85,7)</f>
        <v>0.85</v>
      </c>
      <c r="G667" s="90">
        <f>Source!AU153</f>
        <v>41.65</v>
      </c>
      <c r="H667" s="91"/>
      <c r="I667" s="92"/>
      <c r="J667" s="93">
        <f>SUM(AE655:AE668)</f>
        <v>227.1</v>
      </c>
      <c r="K667" s="92"/>
      <c r="L667" s="94">
        <f>SUM(AF655:AF668)</f>
        <v>5500</v>
      </c>
    </row>
    <row r="668" spans="1:56" ht="13.8">
      <c r="C668" s="95" t="s">
        <v>1386</v>
      </c>
      <c r="D668" s="95"/>
      <c r="E668" s="95"/>
      <c r="F668" s="95"/>
      <c r="G668" s="95"/>
      <c r="H668" s="95"/>
      <c r="I668" s="95">
        <f>J658+J659+J661+J666+J667</f>
        <v>2036.36</v>
      </c>
      <c r="J668" s="95"/>
      <c r="O668" s="69">
        <f>I668</f>
        <v>2036.36</v>
      </c>
      <c r="P668">
        <f>K668</f>
        <v>0</v>
      </c>
      <c r="Q668" s="69">
        <f>J658</f>
        <v>544.97</v>
      </c>
      <c r="R668" s="69">
        <f>J658</f>
        <v>544.97</v>
      </c>
      <c r="U668" s="70">
        <f>L658</f>
        <v>13199</v>
      </c>
      <c r="V668" s="69">
        <f>J660</f>
        <v>0.28000000000000003</v>
      </c>
      <c r="W668" s="70">
        <f>L660</f>
        <v>7</v>
      </c>
      <c r="X668" s="69">
        <f>J659</f>
        <v>15.03</v>
      </c>
      <c r="Z668" s="70">
        <f>L659</f>
        <v>0</v>
      </c>
      <c r="AB668" s="69">
        <f>J661</f>
        <v>758.53</v>
      </c>
      <c r="AN668">
        <f>IF(Source!BI153&lt;=1,J658+J659+J661+J666+J667, 0)</f>
        <v>2036.36</v>
      </c>
      <c r="AO668">
        <f>IF(Source!BI153&lt;=1,J661, 0)</f>
        <v>758.53</v>
      </c>
      <c r="AP668">
        <f>IF(Source!BI153&lt;=1,J659, 0)</f>
        <v>15.03</v>
      </c>
      <c r="AQ668">
        <f>IF(Source!BI153&lt;=1,J658, 0)</f>
        <v>544.97</v>
      </c>
      <c r="AX668">
        <f>IF(Source!BI153=2,J658+J659+J661+J666+J667, 0)</f>
        <v>0</v>
      </c>
      <c r="AY668">
        <f>IF(Source!BI153=2,J661, 0)</f>
        <v>0</v>
      </c>
      <c r="AZ668">
        <f>IF(Source!BI153=2,J659, 0)</f>
        <v>0</v>
      </c>
      <c r="BA668">
        <f>IF(Source!BI153=2,J658, 0)</f>
        <v>0</v>
      </c>
    </row>
    <row r="669" spans="1:56" ht="13.8">
      <c r="C669" s="79" t="str">
        <f>Source!G154</f>
        <v>Потолки (душевая)</v>
      </c>
    </row>
    <row r="670" spans="1:56" ht="133.19999999999999">
      <c r="A670" s="110" t="str">
        <f>Source!E155</f>
        <v>83</v>
      </c>
      <c r="B670" s="111" t="str">
        <f>Source!F155</f>
        <v>15-02-036-2</v>
      </c>
      <c r="C670" s="111" t="s">
        <v>1460</v>
      </c>
      <c r="D670" s="81" t="str">
        <f>Source!H155</f>
        <v>100 м2 оштукатуриваемой поверхности</v>
      </c>
      <c r="E670" s="82">
        <f>Source!K155</f>
        <v>0.47199999999999998</v>
      </c>
      <c r="F670" s="82"/>
      <c r="G670" s="82">
        <f>Source!I155</f>
        <v>0.47199999999999998</v>
      </c>
      <c r="H670" s="83"/>
      <c r="I670" s="84"/>
      <c r="J670" s="85"/>
      <c r="K670" s="84"/>
      <c r="L670" s="86"/>
      <c r="AC670">
        <f>Source!X155</f>
        <v>731.12</v>
      </c>
      <c r="AD670">
        <f>Source!HK155</f>
        <v>17708</v>
      </c>
      <c r="AE670">
        <f>Source!Y155</f>
        <v>338.35</v>
      </c>
      <c r="AF670">
        <f>Source!HL155</f>
        <v>8195</v>
      </c>
      <c r="AS670">
        <f>IF(Source!BI155&lt;=1,AD670, 0)</f>
        <v>17708</v>
      </c>
      <c r="AT670">
        <f>IF(Source!BI155&lt;=1,AF670, 0)</f>
        <v>8195</v>
      </c>
      <c r="BC670">
        <f>IF(Source!BI155=2,AD670, 0)</f>
        <v>0</v>
      </c>
      <c r="BD670">
        <f>IF(Source!BI155=2,AF670, 0)</f>
        <v>0</v>
      </c>
    </row>
    <row r="672" spans="1:56">
      <c r="C672" s="67" t="str">
        <f>"Объем: "&amp;Source!K155&amp;"=11,8*"&amp;"4/"&amp;"100"</f>
        <v>Объем: 0,472=11,8*4/100</v>
      </c>
    </row>
    <row r="673" spans="1:56" ht="14.4">
      <c r="A673" s="110"/>
      <c r="B673" s="112">
        <v>1</v>
      </c>
      <c r="C673" s="111" t="s">
        <v>1373</v>
      </c>
      <c r="D673" s="81"/>
      <c r="E673" s="82"/>
      <c r="F673" s="82"/>
      <c r="G673" s="82"/>
      <c r="H673" s="83">
        <f>Source!AO155</f>
        <v>1281.51</v>
      </c>
      <c r="I673" s="84">
        <f>ROUND(1.15*1.15,7)</f>
        <v>1.3225</v>
      </c>
      <c r="J673" s="85">
        <f>ROUND(Source!AF155*Source!I155, 2)</f>
        <v>799.94</v>
      </c>
      <c r="K673" s="84">
        <f>IF(Source!BA155&lt;&gt; 0, Source!BA155, 1)</f>
        <v>24.22</v>
      </c>
      <c r="L673" s="86">
        <f>Source!HJ155</f>
        <v>19375</v>
      </c>
    </row>
    <row r="674" spans="1:56" ht="14.4">
      <c r="A674" s="110"/>
      <c r="B674" s="112">
        <v>3</v>
      </c>
      <c r="C674" s="111" t="s">
        <v>1374</v>
      </c>
      <c r="D674" s="81"/>
      <c r="E674" s="82"/>
      <c r="F674" s="82"/>
      <c r="G674" s="82"/>
      <c r="H674" s="83">
        <f>Source!AM155</f>
        <v>53.82</v>
      </c>
      <c r="I674" s="84">
        <f>ROUND(1.25*1.15,7)</f>
        <v>1.4375</v>
      </c>
      <c r="J674" s="85">
        <f>ROUND(Source!AD155*Source!I155, 2)</f>
        <v>36.520000000000003</v>
      </c>
      <c r="K674" s="84"/>
      <c r="L674" s="86"/>
    </row>
    <row r="675" spans="1:56" ht="14.4">
      <c r="A675" s="110"/>
      <c r="B675" s="112">
        <v>2</v>
      </c>
      <c r="C675" s="111" t="s">
        <v>1375</v>
      </c>
      <c r="D675" s="81"/>
      <c r="E675" s="82"/>
      <c r="F675" s="82"/>
      <c r="G675" s="82"/>
      <c r="H675" s="83">
        <f>Source!AN155</f>
        <v>18.3</v>
      </c>
      <c r="I675" s="84">
        <f>ROUND(1.25*1.15,7)</f>
        <v>1.4375</v>
      </c>
      <c r="J675" s="87">
        <f>ROUND(Source!AE155*Source!I155, 2)</f>
        <v>12.42</v>
      </c>
      <c r="K675" s="84">
        <f>IF(Source!BS155&lt;&gt; 0, Source!BS155, 1)</f>
        <v>24.22</v>
      </c>
      <c r="L675" s="88">
        <f>Source!HI155</f>
        <v>301</v>
      </c>
    </row>
    <row r="676" spans="1:56" ht="14.4">
      <c r="A676" s="110"/>
      <c r="B676" s="112">
        <v>4</v>
      </c>
      <c r="C676" s="111" t="s">
        <v>1408</v>
      </c>
      <c r="D676" s="81"/>
      <c r="E676" s="82"/>
      <c r="F676" s="82"/>
      <c r="G676" s="82"/>
      <c r="H676" s="83">
        <f>Source!AL155</f>
        <v>2622.09</v>
      </c>
      <c r="I676" s="84"/>
      <c r="J676" s="85">
        <f>ROUND(Source!AC155*Source!I155, 2)</f>
        <v>1237.6300000000001</v>
      </c>
      <c r="K676" s="84"/>
      <c r="L676" s="86"/>
    </row>
    <row r="677" spans="1:56" ht="14.4">
      <c r="A677" s="110"/>
      <c r="B677" s="111"/>
      <c r="C677" s="111" t="s">
        <v>1376</v>
      </c>
      <c r="D677" s="81" t="s">
        <v>1377</v>
      </c>
      <c r="E677" s="82">
        <f>Source!AQ155</f>
        <v>144.63999999999999</v>
      </c>
      <c r="F677" s="82">
        <f>ROUND(1.15*1.15,7)</f>
        <v>1.3225</v>
      </c>
      <c r="G677" s="82">
        <f>ROUND(Source!U155, 7)</f>
        <v>90.287180800000002</v>
      </c>
      <c r="H677" s="83"/>
      <c r="I677" s="84"/>
      <c r="J677" s="85"/>
      <c r="K677" s="84"/>
      <c r="L677" s="86"/>
    </row>
    <row r="678" spans="1:56" ht="14.4">
      <c r="A678" s="110"/>
      <c r="B678" s="111"/>
      <c r="C678" s="113" t="s">
        <v>1378</v>
      </c>
      <c r="D678" s="89" t="s">
        <v>1377</v>
      </c>
      <c r="E678" s="90">
        <f>Source!AR155</f>
        <v>1.44</v>
      </c>
      <c r="F678" s="90">
        <f>ROUND(1.25*1.15,7)</f>
        <v>1.4375</v>
      </c>
      <c r="G678" s="90">
        <f>ROUND(Source!V155, 7)</f>
        <v>0.97704000000000002</v>
      </c>
      <c r="H678" s="91"/>
      <c r="I678" s="92"/>
      <c r="J678" s="93"/>
      <c r="K678" s="92"/>
      <c r="L678" s="94"/>
    </row>
    <row r="679" spans="1:56" ht="14.4">
      <c r="A679" s="110"/>
      <c r="B679" s="111"/>
      <c r="C679" s="111" t="s">
        <v>1379</v>
      </c>
      <c r="D679" s="81"/>
      <c r="E679" s="82"/>
      <c r="F679" s="82"/>
      <c r="G679" s="82"/>
      <c r="H679" s="83">
        <f>H673+H674+H676</f>
        <v>3957.42</v>
      </c>
      <c r="I679" s="84"/>
      <c r="J679" s="85">
        <f>J673+J674+J676</f>
        <v>2074.09</v>
      </c>
      <c r="K679" s="84"/>
      <c r="L679" s="86"/>
    </row>
    <row r="680" spans="1:56" ht="14.4">
      <c r="A680" s="110"/>
      <c r="B680" s="111"/>
      <c r="C680" s="111" t="s">
        <v>1380</v>
      </c>
      <c r="D680" s="81"/>
      <c r="E680" s="82"/>
      <c r="F680" s="82"/>
      <c r="G680" s="82"/>
      <c r="H680" s="83"/>
      <c r="I680" s="84"/>
      <c r="J680" s="85">
        <f>SUM(Q670:Q683)+SUM(V670:V683)</f>
        <v>812.36</v>
      </c>
      <c r="K680" s="84"/>
      <c r="L680" s="86">
        <f>SUM(U670:U683)+SUM(W670:W683)</f>
        <v>19676</v>
      </c>
    </row>
    <row r="681" spans="1:56" ht="14.4">
      <c r="A681" s="110"/>
      <c r="B681" s="111" t="s">
        <v>1414</v>
      </c>
      <c r="C681" s="111" t="s">
        <v>1415</v>
      </c>
      <c r="D681" s="81" t="s">
        <v>1383</v>
      </c>
      <c r="E681" s="82">
        <f>Source!BZ155</f>
        <v>100</v>
      </c>
      <c r="F681" s="82">
        <f>ROUND(0.9,7)</f>
        <v>0.9</v>
      </c>
      <c r="G681" s="82">
        <f>Source!AT155</f>
        <v>90</v>
      </c>
      <c r="H681" s="83"/>
      <c r="I681" s="84"/>
      <c r="J681" s="85">
        <f>SUM(AC670:AC683)</f>
        <v>731.12</v>
      </c>
      <c r="K681" s="84"/>
      <c r="L681" s="86">
        <f>SUM(AD670:AD683)</f>
        <v>17708</v>
      </c>
    </row>
    <row r="682" spans="1:56" ht="14.4">
      <c r="A682" s="114"/>
      <c r="B682" s="113" t="s">
        <v>1416</v>
      </c>
      <c r="C682" s="113" t="s">
        <v>1417</v>
      </c>
      <c r="D682" s="89" t="s">
        <v>1383</v>
      </c>
      <c r="E682" s="90">
        <f>Source!CA155</f>
        <v>49</v>
      </c>
      <c r="F682" s="90">
        <f>ROUND(0.85,7)</f>
        <v>0.85</v>
      </c>
      <c r="G682" s="90">
        <f>Source!AU155</f>
        <v>41.65</v>
      </c>
      <c r="H682" s="91"/>
      <c r="I682" s="92"/>
      <c r="J682" s="93">
        <f>SUM(AE670:AE683)</f>
        <v>338.35</v>
      </c>
      <c r="K682" s="92"/>
      <c r="L682" s="94">
        <f>SUM(AF670:AF683)</f>
        <v>8195</v>
      </c>
    </row>
    <row r="683" spans="1:56" ht="13.8">
      <c r="C683" s="95" t="s">
        <v>1386</v>
      </c>
      <c r="D683" s="95"/>
      <c r="E683" s="95"/>
      <c r="F683" s="95"/>
      <c r="G683" s="95"/>
      <c r="H683" s="95"/>
      <c r="I683" s="95">
        <f>J673+J674+J676+J681+J682</f>
        <v>3143.56</v>
      </c>
      <c r="J683" s="95"/>
      <c r="O683" s="69">
        <f>I683</f>
        <v>3143.56</v>
      </c>
      <c r="P683">
        <f>K683</f>
        <v>0</v>
      </c>
      <c r="Q683" s="69">
        <f>J673</f>
        <v>799.94</v>
      </c>
      <c r="R683" s="69">
        <f>J673</f>
        <v>799.94</v>
      </c>
      <c r="U683" s="70">
        <f>L673</f>
        <v>19375</v>
      </c>
      <c r="V683" s="69">
        <f>J675</f>
        <v>12.42</v>
      </c>
      <c r="W683" s="70">
        <f>L675</f>
        <v>301</v>
      </c>
      <c r="X683" s="69">
        <f>J674</f>
        <v>36.520000000000003</v>
      </c>
      <c r="Z683" s="70">
        <f>L674</f>
        <v>0</v>
      </c>
      <c r="AB683" s="69">
        <f>J676</f>
        <v>1237.6300000000001</v>
      </c>
      <c r="AN683">
        <f>IF(Source!BI155&lt;=1,J673+J674+J676+J681+J682, 0)</f>
        <v>3143.56</v>
      </c>
      <c r="AO683">
        <f>IF(Source!BI155&lt;=1,J676, 0)</f>
        <v>1237.6300000000001</v>
      </c>
      <c r="AP683">
        <f>IF(Source!BI155&lt;=1,J674, 0)</f>
        <v>36.520000000000003</v>
      </c>
      <c r="AQ683">
        <f>IF(Source!BI155&lt;=1,J673, 0)</f>
        <v>799.94</v>
      </c>
      <c r="AX683">
        <f>IF(Source!BI155=2,J673+J674+J676+J681+J682, 0)</f>
        <v>0</v>
      </c>
      <c r="AY683">
        <f>IF(Source!BI155=2,J676, 0)</f>
        <v>0</v>
      </c>
      <c r="AZ683">
        <f>IF(Source!BI155=2,J674, 0)</f>
        <v>0</v>
      </c>
      <c r="BA683">
        <f>IF(Source!BI155=2,J673, 0)</f>
        <v>0</v>
      </c>
    </row>
    <row r="684" spans="1:56" ht="160.80000000000001">
      <c r="A684" s="110" t="str">
        <f>Source!E156</f>
        <v>84</v>
      </c>
      <c r="B684" s="111" t="str">
        <f>Source!F156</f>
        <v>15-04-027-6</v>
      </c>
      <c r="C684" s="111" t="s">
        <v>1461</v>
      </c>
      <c r="D684" s="81" t="str">
        <f>Source!H156</f>
        <v>100 м2 окрашиваемой поверхности</v>
      </c>
      <c r="E684" s="82">
        <f>Source!K156</f>
        <v>0.47199999999999998</v>
      </c>
      <c r="F684" s="82"/>
      <c r="G684" s="82">
        <f>Source!I156</f>
        <v>0.47199999999999998</v>
      </c>
      <c r="H684" s="83"/>
      <c r="I684" s="84"/>
      <c r="J684" s="85"/>
      <c r="K684" s="84"/>
      <c r="L684" s="86"/>
      <c r="AC684">
        <f>Source!X156</f>
        <v>85.18</v>
      </c>
      <c r="AD684">
        <f>Source!HK156</f>
        <v>2063</v>
      </c>
      <c r="AE684">
        <f>Source!Y156</f>
        <v>39.42</v>
      </c>
      <c r="AF684">
        <f>Source!HL156</f>
        <v>955</v>
      </c>
      <c r="AS684">
        <f>IF(Source!BI156&lt;=1,AD684, 0)</f>
        <v>2063</v>
      </c>
      <c r="AT684">
        <f>IF(Source!BI156&lt;=1,AF684, 0)</f>
        <v>955</v>
      </c>
      <c r="BC684">
        <f>IF(Source!BI156=2,AD684, 0)</f>
        <v>0</v>
      </c>
      <c r="BD684">
        <f>IF(Source!BI156=2,AF684, 0)</f>
        <v>0</v>
      </c>
    </row>
    <row r="686" spans="1:56">
      <c r="C686" s="67" t="str">
        <f>"Объем: "&amp;Source!K156&amp;"=11,8*"&amp;"4/"&amp;"100"</f>
        <v>Объем: 0,472=11,8*4/100</v>
      </c>
    </row>
    <row r="687" spans="1:56" ht="14.4">
      <c r="A687" s="110"/>
      <c r="B687" s="112">
        <v>1</v>
      </c>
      <c r="C687" s="111" t="s">
        <v>1373</v>
      </c>
      <c r="D687" s="81"/>
      <c r="E687" s="82"/>
      <c r="F687" s="82"/>
      <c r="G687" s="82"/>
      <c r="H687" s="83">
        <f>Source!AO156</f>
        <v>151.47</v>
      </c>
      <c r="I687" s="84">
        <f>ROUND(1.15*1.15,7)</f>
        <v>1.3225</v>
      </c>
      <c r="J687" s="85">
        <f>ROUND(Source!AF156*Source!I156, 2)</f>
        <v>94.55</v>
      </c>
      <c r="K687" s="84">
        <f>IF(Source!BA156&lt;&gt; 0, Source!BA156, 1)</f>
        <v>24.22</v>
      </c>
      <c r="L687" s="86">
        <f>Source!HJ156</f>
        <v>2290</v>
      </c>
    </row>
    <row r="688" spans="1:56" ht="14.4">
      <c r="A688" s="110"/>
      <c r="B688" s="112">
        <v>3</v>
      </c>
      <c r="C688" s="111" t="s">
        <v>1374</v>
      </c>
      <c r="D688" s="81"/>
      <c r="E688" s="82"/>
      <c r="F688" s="82"/>
      <c r="G688" s="82"/>
      <c r="H688" s="83">
        <f>Source!AM156</f>
        <v>3.97</v>
      </c>
      <c r="I688" s="84">
        <f>ROUND(1.25*1.15,7)</f>
        <v>1.4375</v>
      </c>
      <c r="J688" s="85">
        <f>ROUND(Source!AD156*Source!I156, 2)</f>
        <v>2.69</v>
      </c>
      <c r="K688" s="84"/>
      <c r="L688" s="86"/>
    </row>
    <row r="689" spans="1:56" ht="14.4">
      <c r="A689" s="110"/>
      <c r="B689" s="112">
        <v>2</v>
      </c>
      <c r="C689" s="111" t="s">
        <v>1375</v>
      </c>
      <c r="D689" s="81"/>
      <c r="E689" s="82"/>
      <c r="F689" s="82"/>
      <c r="G689" s="82"/>
      <c r="H689" s="83">
        <f>Source!AN156</f>
        <v>0.13</v>
      </c>
      <c r="I689" s="84">
        <f>ROUND(1.25*1.15,7)</f>
        <v>1.4375</v>
      </c>
      <c r="J689" s="87">
        <f>ROUND(Source!AE156*Source!I156, 2)</f>
        <v>0.09</v>
      </c>
      <c r="K689" s="84">
        <f>IF(Source!BS156&lt;&gt; 0, Source!BS156, 1)</f>
        <v>24.22</v>
      </c>
      <c r="L689" s="88">
        <f>Source!HI156</f>
        <v>2</v>
      </c>
    </row>
    <row r="690" spans="1:56" ht="14.4">
      <c r="A690" s="110"/>
      <c r="B690" s="112">
        <v>4</v>
      </c>
      <c r="C690" s="111" t="s">
        <v>1408</v>
      </c>
      <c r="D690" s="81"/>
      <c r="E690" s="82"/>
      <c r="F690" s="82"/>
      <c r="G690" s="82"/>
      <c r="H690" s="83">
        <f>Source!AL156</f>
        <v>424.07</v>
      </c>
      <c r="I690" s="84"/>
      <c r="J690" s="85">
        <f>ROUND(Source!AC156*Source!I156, 2)</f>
        <v>200.16</v>
      </c>
      <c r="K690" s="84"/>
      <c r="L690" s="86"/>
    </row>
    <row r="691" spans="1:56" ht="14.4">
      <c r="A691" s="110"/>
      <c r="B691" s="111"/>
      <c r="C691" s="111" t="s">
        <v>1376</v>
      </c>
      <c r="D691" s="81" t="s">
        <v>1377</v>
      </c>
      <c r="E691" s="82">
        <f>Source!AQ156</f>
        <v>16.5</v>
      </c>
      <c r="F691" s="82">
        <f>ROUND(1.15*1.15,7)</f>
        <v>1.3225</v>
      </c>
      <c r="G691" s="82">
        <f>ROUND(Source!U156, 7)</f>
        <v>10.299630000000001</v>
      </c>
      <c r="H691" s="83"/>
      <c r="I691" s="84"/>
      <c r="J691" s="85"/>
      <c r="K691" s="84"/>
      <c r="L691" s="86"/>
    </row>
    <row r="692" spans="1:56" ht="14.4">
      <c r="A692" s="110"/>
      <c r="B692" s="111"/>
      <c r="C692" s="113" t="s">
        <v>1378</v>
      </c>
      <c r="D692" s="89" t="s">
        <v>1377</v>
      </c>
      <c r="E692" s="90">
        <f>Source!AR156</f>
        <v>0.01</v>
      </c>
      <c r="F692" s="90">
        <f>ROUND(1.25*1.15,7)</f>
        <v>1.4375</v>
      </c>
      <c r="G692" s="90">
        <f>ROUND(Source!V156, 7)</f>
        <v>6.7850000000000002E-3</v>
      </c>
      <c r="H692" s="91"/>
      <c r="I692" s="92"/>
      <c r="J692" s="93"/>
      <c r="K692" s="92"/>
      <c r="L692" s="94"/>
    </row>
    <row r="693" spans="1:56" ht="14.4">
      <c r="A693" s="110"/>
      <c r="B693" s="111"/>
      <c r="C693" s="111" t="s">
        <v>1379</v>
      </c>
      <c r="D693" s="81"/>
      <c r="E693" s="82"/>
      <c r="F693" s="82"/>
      <c r="G693" s="82"/>
      <c r="H693" s="83">
        <f>H687+H688+H690</f>
        <v>579.51</v>
      </c>
      <c r="I693" s="84"/>
      <c r="J693" s="85">
        <f>J687+J688+J690</f>
        <v>297.39999999999998</v>
      </c>
      <c r="K693" s="84"/>
      <c r="L693" s="86"/>
    </row>
    <row r="694" spans="1:56" ht="14.4">
      <c r="A694" s="110"/>
      <c r="B694" s="111"/>
      <c r="C694" s="111" t="s">
        <v>1380</v>
      </c>
      <c r="D694" s="81"/>
      <c r="E694" s="82"/>
      <c r="F694" s="82"/>
      <c r="G694" s="82"/>
      <c r="H694" s="83"/>
      <c r="I694" s="84"/>
      <c r="J694" s="85">
        <f>SUM(Q684:Q697)+SUM(V684:V697)</f>
        <v>94.64</v>
      </c>
      <c r="K694" s="84"/>
      <c r="L694" s="86">
        <f>SUM(U684:U697)+SUM(W684:W697)</f>
        <v>2292</v>
      </c>
    </row>
    <row r="695" spans="1:56" ht="14.4">
      <c r="A695" s="110"/>
      <c r="B695" s="111" t="s">
        <v>1414</v>
      </c>
      <c r="C695" s="111" t="s">
        <v>1415</v>
      </c>
      <c r="D695" s="81" t="s">
        <v>1383</v>
      </c>
      <c r="E695" s="82">
        <f>Source!BZ156</f>
        <v>100</v>
      </c>
      <c r="F695" s="82">
        <f>ROUND(0.9,7)</f>
        <v>0.9</v>
      </c>
      <c r="G695" s="82">
        <f>Source!AT156</f>
        <v>90</v>
      </c>
      <c r="H695" s="83"/>
      <c r="I695" s="84"/>
      <c r="J695" s="85">
        <f>SUM(AC684:AC697)</f>
        <v>85.18</v>
      </c>
      <c r="K695" s="84"/>
      <c r="L695" s="86">
        <f>SUM(AD684:AD697)</f>
        <v>2063</v>
      </c>
    </row>
    <row r="696" spans="1:56" ht="14.4">
      <c r="A696" s="114"/>
      <c r="B696" s="113" t="s">
        <v>1416</v>
      </c>
      <c r="C696" s="113" t="s">
        <v>1417</v>
      </c>
      <c r="D696" s="89" t="s">
        <v>1383</v>
      </c>
      <c r="E696" s="90">
        <f>Source!CA156</f>
        <v>49</v>
      </c>
      <c r="F696" s="90">
        <f>ROUND(0.85,7)</f>
        <v>0.85</v>
      </c>
      <c r="G696" s="90">
        <f>Source!AU156</f>
        <v>41.65</v>
      </c>
      <c r="H696" s="91"/>
      <c r="I696" s="92"/>
      <c r="J696" s="93">
        <f>SUM(AE684:AE697)</f>
        <v>39.42</v>
      </c>
      <c r="K696" s="92"/>
      <c r="L696" s="94">
        <f>SUM(AF684:AF697)</f>
        <v>955</v>
      </c>
    </row>
    <row r="697" spans="1:56" ht="13.8">
      <c r="C697" s="95" t="s">
        <v>1386</v>
      </c>
      <c r="D697" s="95"/>
      <c r="E697" s="95"/>
      <c r="F697" s="95"/>
      <c r="G697" s="95"/>
      <c r="H697" s="95"/>
      <c r="I697" s="95">
        <f>J687+J688+J690+J695+J696</f>
        <v>422</v>
      </c>
      <c r="J697" s="95"/>
      <c r="O697" s="69">
        <f>I697</f>
        <v>422</v>
      </c>
      <c r="P697">
        <f>K697</f>
        <v>0</v>
      </c>
      <c r="Q697" s="69">
        <f>J687</f>
        <v>94.55</v>
      </c>
      <c r="R697" s="69">
        <f>J687</f>
        <v>94.55</v>
      </c>
      <c r="U697" s="70">
        <f>L687</f>
        <v>2290</v>
      </c>
      <c r="V697" s="69">
        <f>J689</f>
        <v>0.09</v>
      </c>
      <c r="W697" s="70">
        <f>L689</f>
        <v>2</v>
      </c>
      <c r="X697" s="69">
        <f>J688</f>
        <v>2.69</v>
      </c>
      <c r="Z697" s="70">
        <f>L688</f>
        <v>0</v>
      </c>
      <c r="AB697" s="69">
        <f>J690</f>
        <v>200.16</v>
      </c>
      <c r="AN697">
        <f>IF(Source!BI156&lt;=1,J687+J688+J690+J695+J696, 0)</f>
        <v>422</v>
      </c>
      <c r="AO697">
        <f>IF(Source!BI156&lt;=1,J690, 0)</f>
        <v>200.16</v>
      </c>
      <c r="AP697">
        <f>IF(Source!BI156&lt;=1,J688, 0)</f>
        <v>2.69</v>
      </c>
      <c r="AQ697">
        <f>IF(Source!BI156&lt;=1,J687, 0)</f>
        <v>94.55</v>
      </c>
      <c r="AX697">
        <f>IF(Source!BI156=2,J687+J688+J690+J695+J696, 0)</f>
        <v>0</v>
      </c>
      <c r="AY697">
        <f>IF(Source!BI156=2,J690, 0)</f>
        <v>0</v>
      </c>
      <c r="AZ697">
        <f>IF(Source!BI156=2,J688, 0)</f>
        <v>0</v>
      </c>
      <c r="BA697">
        <f>IF(Source!BI156=2,J687, 0)</f>
        <v>0</v>
      </c>
    </row>
    <row r="698" spans="1:56" ht="160.80000000000001">
      <c r="A698" s="110" t="str">
        <f>Source!E157</f>
        <v>85</v>
      </c>
      <c r="B698" s="111" t="str">
        <f>Source!F157</f>
        <v>15-04-005-8</v>
      </c>
      <c r="C698" s="111" t="s">
        <v>1462</v>
      </c>
      <c r="D698" s="81" t="str">
        <f>Source!H157</f>
        <v>100 м2 окрашиваемой поверхности</v>
      </c>
      <c r="E698" s="82">
        <f>Source!K157</f>
        <v>0.47199999999999998</v>
      </c>
      <c r="F698" s="82"/>
      <c r="G698" s="82">
        <f>Source!I157</f>
        <v>0.47199999999999998</v>
      </c>
      <c r="H698" s="83"/>
      <c r="I698" s="84"/>
      <c r="J698" s="85"/>
      <c r="K698" s="84"/>
      <c r="L698" s="86"/>
      <c r="AC698">
        <f>Source!X157</f>
        <v>466.97</v>
      </c>
      <c r="AD698">
        <f>Source!HK157</f>
        <v>11309</v>
      </c>
      <c r="AE698">
        <f>Source!Y157</f>
        <v>216.11</v>
      </c>
      <c r="AF698">
        <f>Source!HL157</f>
        <v>5234</v>
      </c>
      <c r="AS698">
        <f>IF(Source!BI157&lt;=1,AD698, 0)</f>
        <v>11309</v>
      </c>
      <c r="AT698">
        <f>IF(Source!BI157&lt;=1,AF698, 0)</f>
        <v>5234</v>
      </c>
      <c r="BC698">
        <f>IF(Source!BI157=2,AD698, 0)</f>
        <v>0</v>
      </c>
      <c r="BD698">
        <f>IF(Source!BI157=2,AF698, 0)</f>
        <v>0</v>
      </c>
    </row>
    <row r="700" spans="1:56">
      <c r="C700" s="67" t="str">
        <f>"Объем: "&amp;Source!K157&amp;"=11,8*"&amp;"4/"&amp;"100"</f>
        <v>Объем: 0,472=11,8*4/100</v>
      </c>
    </row>
    <row r="701" spans="1:56" ht="14.4">
      <c r="A701" s="110"/>
      <c r="B701" s="112">
        <v>1</v>
      </c>
      <c r="C701" s="111" t="s">
        <v>1373</v>
      </c>
      <c r="D701" s="81"/>
      <c r="E701" s="82"/>
      <c r="F701" s="82"/>
      <c r="G701" s="82"/>
      <c r="H701" s="83">
        <f>Source!AO157</f>
        <v>830.8</v>
      </c>
      <c r="I701" s="84">
        <f>ROUND(1.15*1.15,7)</f>
        <v>1.3225</v>
      </c>
      <c r="J701" s="85">
        <f>ROUND(Source!AF157*Source!I157, 2)</f>
        <v>518.6</v>
      </c>
      <c r="K701" s="84">
        <f>IF(Source!BA157&lt;&gt; 0, Source!BA157, 1)</f>
        <v>24.22</v>
      </c>
      <c r="L701" s="86">
        <f>Source!HJ157</f>
        <v>12560</v>
      </c>
    </row>
    <row r="702" spans="1:56" ht="14.4">
      <c r="A702" s="110"/>
      <c r="B702" s="112">
        <v>3</v>
      </c>
      <c r="C702" s="111" t="s">
        <v>1374</v>
      </c>
      <c r="D702" s="81"/>
      <c r="E702" s="82"/>
      <c r="F702" s="82"/>
      <c r="G702" s="82"/>
      <c r="H702" s="83">
        <f>Source!AM157</f>
        <v>21.08</v>
      </c>
      <c r="I702" s="84">
        <f>ROUND(1.25*1.15,7)</f>
        <v>1.4375</v>
      </c>
      <c r="J702" s="85">
        <f>ROUND(Source!AD157*Source!I157, 2)</f>
        <v>14.3</v>
      </c>
      <c r="K702" s="84"/>
      <c r="L702" s="86"/>
    </row>
    <row r="703" spans="1:56" ht="14.4">
      <c r="A703" s="110"/>
      <c r="B703" s="112">
        <v>2</v>
      </c>
      <c r="C703" s="111" t="s">
        <v>1375</v>
      </c>
      <c r="D703" s="81"/>
      <c r="E703" s="82"/>
      <c r="F703" s="82"/>
      <c r="G703" s="82"/>
      <c r="H703" s="83">
        <f>Source!AN157</f>
        <v>0.39</v>
      </c>
      <c r="I703" s="84">
        <f>ROUND(1.25*1.15,7)</f>
        <v>1.4375</v>
      </c>
      <c r="J703" s="87">
        <f>ROUND(Source!AE157*Source!I157, 2)</f>
        <v>0.26</v>
      </c>
      <c r="K703" s="84">
        <f>IF(Source!BS157&lt;&gt; 0, Source!BS157, 1)</f>
        <v>24.22</v>
      </c>
      <c r="L703" s="88">
        <f>Source!HI157</f>
        <v>6</v>
      </c>
    </row>
    <row r="704" spans="1:56" ht="14.4">
      <c r="A704" s="110"/>
      <c r="B704" s="112">
        <v>4</v>
      </c>
      <c r="C704" s="111" t="s">
        <v>1408</v>
      </c>
      <c r="D704" s="81"/>
      <c r="E704" s="82"/>
      <c r="F704" s="82"/>
      <c r="G704" s="82"/>
      <c r="H704" s="83">
        <f>Source!AL157</f>
        <v>1529.3</v>
      </c>
      <c r="I704" s="84"/>
      <c r="J704" s="85">
        <f>ROUND(Source!AC157*Source!I157, 2)</f>
        <v>721.83</v>
      </c>
      <c r="K704" s="84"/>
      <c r="L704" s="86"/>
    </row>
    <row r="705" spans="1:56" ht="14.4">
      <c r="A705" s="110"/>
      <c r="B705" s="111"/>
      <c r="C705" s="111" t="s">
        <v>1376</v>
      </c>
      <c r="D705" s="81" t="s">
        <v>1377</v>
      </c>
      <c r="E705" s="82">
        <f>Source!AQ157</f>
        <v>89.43</v>
      </c>
      <c r="F705" s="82">
        <f>ROUND(1.15*1.15,7)</f>
        <v>1.3225</v>
      </c>
      <c r="G705" s="82">
        <f>ROUND(Source!U157, 7)</f>
        <v>55.823994599999999</v>
      </c>
      <c r="H705" s="83"/>
      <c r="I705" s="84"/>
      <c r="J705" s="85"/>
      <c r="K705" s="84"/>
      <c r="L705" s="86"/>
    </row>
    <row r="706" spans="1:56" ht="14.4">
      <c r="A706" s="110"/>
      <c r="B706" s="111"/>
      <c r="C706" s="113" t="s">
        <v>1378</v>
      </c>
      <c r="D706" s="89" t="s">
        <v>1377</v>
      </c>
      <c r="E706" s="90">
        <f>Source!AR157</f>
        <v>0.03</v>
      </c>
      <c r="F706" s="90">
        <f>ROUND(1.25*1.15,7)</f>
        <v>1.4375</v>
      </c>
      <c r="G706" s="90">
        <f>ROUND(Source!V157, 7)</f>
        <v>2.0355000000000002E-2</v>
      </c>
      <c r="H706" s="91"/>
      <c r="I706" s="92"/>
      <c r="J706" s="93"/>
      <c r="K706" s="92"/>
      <c r="L706" s="94"/>
    </row>
    <row r="707" spans="1:56" ht="14.4">
      <c r="A707" s="110"/>
      <c r="B707" s="111"/>
      <c r="C707" s="111" t="s">
        <v>1379</v>
      </c>
      <c r="D707" s="81"/>
      <c r="E707" s="82"/>
      <c r="F707" s="82"/>
      <c r="G707" s="82"/>
      <c r="H707" s="83">
        <f>H701+H702+H704</f>
        <v>2381.1799999999998</v>
      </c>
      <c r="I707" s="84"/>
      <c r="J707" s="85">
        <f>J701+J702+J704</f>
        <v>1254.73</v>
      </c>
      <c r="K707" s="84"/>
      <c r="L707" s="86"/>
    </row>
    <row r="708" spans="1:56" ht="14.4">
      <c r="A708" s="110"/>
      <c r="B708" s="111"/>
      <c r="C708" s="111" t="s">
        <v>1380</v>
      </c>
      <c r="D708" s="81"/>
      <c r="E708" s="82"/>
      <c r="F708" s="82"/>
      <c r="G708" s="82"/>
      <c r="H708" s="83"/>
      <c r="I708" s="84"/>
      <c r="J708" s="85">
        <f>SUM(Q698:Q711)+SUM(V698:V711)</f>
        <v>518.86</v>
      </c>
      <c r="K708" s="84"/>
      <c r="L708" s="86">
        <f>SUM(U698:U711)+SUM(W698:W711)</f>
        <v>12566</v>
      </c>
    </row>
    <row r="709" spans="1:56" ht="14.4">
      <c r="A709" s="110"/>
      <c r="B709" s="111" t="s">
        <v>1414</v>
      </c>
      <c r="C709" s="111" t="s">
        <v>1415</v>
      </c>
      <c r="D709" s="81" t="s">
        <v>1383</v>
      </c>
      <c r="E709" s="82">
        <f>Source!BZ157</f>
        <v>100</v>
      </c>
      <c r="F709" s="82">
        <f>ROUND(0.9,7)</f>
        <v>0.9</v>
      </c>
      <c r="G709" s="82">
        <f>Source!AT157</f>
        <v>90</v>
      </c>
      <c r="H709" s="83"/>
      <c r="I709" s="84"/>
      <c r="J709" s="85">
        <f>SUM(AC698:AC711)</f>
        <v>466.97</v>
      </c>
      <c r="K709" s="84"/>
      <c r="L709" s="86">
        <f>SUM(AD698:AD711)</f>
        <v>11309</v>
      </c>
    </row>
    <row r="710" spans="1:56" ht="14.4">
      <c r="A710" s="114"/>
      <c r="B710" s="113" t="s">
        <v>1416</v>
      </c>
      <c r="C710" s="113" t="s">
        <v>1417</v>
      </c>
      <c r="D710" s="89" t="s">
        <v>1383</v>
      </c>
      <c r="E710" s="90">
        <f>Source!CA157</f>
        <v>49</v>
      </c>
      <c r="F710" s="90">
        <f>ROUND(0.85,7)</f>
        <v>0.85</v>
      </c>
      <c r="G710" s="90">
        <f>Source!AU157</f>
        <v>41.65</v>
      </c>
      <c r="H710" s="91"/>
      <c r="I710" s="92"/>
      <c r="J710" s="93">
        <f>SUM(AE698:AE711)</f>
        <v>216.11</v>
      </c>
      <c r="K710" s="92"/>
      <c r="L710" s="94">
        <f>SUM(AF698:AF711)</f>
        <v>5234</v>
      </c>
    </row>
    <row r="711" spans="1:56" ht="13.8">
      <c r="C711" s="95" t="s">
        <v>1386</v>
      </c>
      <c r="D711" s="95"/>
      <c r="E711" s="95"/>
      <c r="F711" s="95"/>
      <c r="G711" s="95"/>
      <c r="H711" s="95"/>
      <c r="I711" s="95">
        <f>J701+J702+J704+J709+J710</f>
        <v>1937.81</v>
      </c>
      <c r="J711" s="95"/>
      <c r="O711" s="69">
        <f>I711</f>
        <v>1937.81</v>
      </c>
      <c r="P711">
        <f>K711</f>
        <v>0</v>
      </c>
      <c r="Q711" s="69">
        <f>J701</f>
        <v>518.6</v>
      </c>
      <c r="R711" s="69">
        <f>J701</f>
        <v>518.6</v>
      </c>
      <c r="U711" s="70">
        <f>L701</f>
        <v>12560</v>
      </c>
      <c r="V711" s="69">
        <f>J703</f>
        <v>0.26</v>
      </c>
      <c r="W711" s="70">
        <f>L703</f>
        <v>6</v>
      </c>
      <c r="X711" s="69">
        <f>J702</f>
        <v>14.3</v>
      </c>
      <c r="Z711" s="70">
        <f>L702</f>
        <v>0</v>
      </c>
      <c r="AB711" s="69">
        <f>J704</f>
        <v>721.83</v>
      </c>
      <c r="AN711">
        <f>IF(Source!BI157&lt;=1,J701+J702+J704+J709+J710, 0)</f>
        <v>1937.81</v>
      </c>
      <c r="AO711">
        <f>IF(Source!BI157&lt;=1,J704, 0)</f>
        <v>721.83</v>
      </c>
      <c r="AP711">
        <f>IF(Source!BI157&lt;=1,J702, 0)</f>
        <v>14.3</v>
      </c>
      <c r="AQ711">
        <f>IF(Source!BI157&lt;=1,J701, 0)</f>
        <v>518.6</v>
      </c>
      <c r="AX711">
        <f>IF(Source!BI157=2,J701+J702+J704+J709+J710, 0)</f>
        <v>0</v>
      </c>
      <c r="AY711">
        <f>IF(Source!BI157=2,J704, 0)</f>
        <v>0</v>
      </c>
      <c r="AZ711">
        <f>IF(Source!BI157=2,J702, 0)</f>
        <v>0</v>
      </c>
      <c r="BA711">
        <f>IF(Source!BI157=2,J701, 0)</f>
        <v>0</v>
      </c>
    </row>
    <row r="712" spans="1:56" ht="13.8">
      <c r="C712" s="79" t="str">
        <f>Source!G158</f>
        <v>Потолки (санузел мужской)</v>
      </c>
    </row>
    <row r="713" spans="1:56" ht="133.19999999999999">
      <c r="A713" s="110" t="str">
        <f>Source!E159</f>
        <v>86</v>
      </c>
      <c r="B713" s="111" t="str">
        <f>Source!F159</f>
        <v>15-02-036-2</v>
      </c>
      <c r="C713" s="111" t="s">
        <v>1460</v>
      </c>
      <c r="D713" s="81" t="str">
        <f>Source!H159</f>
        <v>100 м2 оштукатуриваемой поверхности</v>
      </c>
      <c r="E713" s="82">
        <f>Source!K159</f>
        <v>0.47399999999999998</v>
      </c>
      <c r="F713" s="82"/>
      <c r="G713" s="82">
        <f>Source!I159</f>
        <v>0.47399999999999998</v>
      </c>
      <c r="H713" s="83"/>
      <c r="I713" s="84"/>
      <c r="J713" s="85"/>
      <c r="K713" s="84"/>
      <c r="L713" s="86"/>
      <c r="AC713">
        <f>Source!X159</f>
        <v>734.22</v>
      </c>
      <c r="AD713">
        <f>Source!HK159</f>
        <v>17783</v>
      </c>
      <c r="AE713">
        <f>Source!Y159</f>
        <v>339.78</v>
      </c>
      <c r="AF713">
        <f>Source!HL159</f>
        <v>8230</v>
      </c>
      <c r="AS713">
        <f>IF(Source!BI159&lt;=1,AD713, 0)</f>
        <v>17783</v>
      </c>
      <c r="AT713">
        <f>IF(Source!BI159&lt;=1,AF713, 0)</f>
        <v>8230</v>
      </c>
      <c r="BC713">
        <f>IF(Source!BI159=2,AD713, 0)</f>
        <v>0</v>
      </c>
      <c r="BD713">
        <f>IF(Source!BI159=2,AF713, 0)</f>
        <v>0</v>
      </c>
    </row>
    <row r="715" spans="1:56">
      <c r="C715" s="67" t="str">
        <f>"Объем: "&amp;Source!K159&amp;"=11,85*"&amp;"4/"&amp;"100"</f>
        <v>Объем: 0,474=11,85*4/100</v>
      </c>
    </row>
    <row r="716" spans="1:56" ht="14.4">
      <c r="A716" s="110"/>
      <c r="B716" s="112">
        <v>1</v>
      </c>
      <c r="C716" s="111" t="s">
        <v>1373</v>
      </c>
      <c r="D716" s="81"/>
      <c r="E716" s="82"/>
      <c r="F716" s="82"/>
      <c r="G716" s="82"/>
      <c r="H716" s="83">
        <f>Source!AO159</f>
        <v>1281.51</v>
      </c>
      <c r="I716" s="84">
        <f>ROUND(1.15*1.15,7)</f>
        <v>1.3225</v>
      </c>
      <c r="J716" s="85">
        <f>ROUND(Source!AF159*Source!I159, 2)</f>
        <v>803.33</v>
      </c>
      <c r="K716" s="84">
        <f>IF(Source!BA159&lt;&gt; 0, Source!BA159, 1)</f>
        <v>24.22</v>
      </c>
      <c r="L716" s="86">
        <f>Source!HJ159</f>
        <v>19457</v>
      </c>
    </row>
    <row r="717" spans="1:56" ht="14.4">
      <c r="A717" s="110"/>
      <c r="B717" s="112">
        <v>3</v>
      </c>
      <c r="C717" s="111" t="s">
        <v>1374</v>
      </c>
      <c r="D717" s="81"/>
      <c r="E717" s="82"/>
      <c r="F717" s="82"/>
      <c r="G717" s="82"/>
      <c r="H717" s="83">
        <f>Source!AM159</f>
        <v>53.82</v>
      </c>
      <c r="I717" s="84">
        <f>ROUND(1.25*1.15,7)</f>
        <v>1.4375</v>
      </c>
      <c r="J717" s="85">
        <f>ROUND(Source!AD159*Source!I159, 2)</f>
        <v>36.67</v>
      </c>
      <c r="K717" s="84"/>
      <c r="L717" s="86"/>
    </row>
    <row r="718" spans="1:56" ht="14.4">
      <c r="A718" s="110"/>
      <c r="B718" s="112">
        <v>2</v>
      </c>
      <c r="C718" s="111" t="s">
        <v>1375</v>
      </c>
      <c r="D718" s="81"/>
      <c r="E718" s="82"/>
      <c r="F718" s="82"/>
      <c r="G718" s="82"/>
      <c r="H718" s="83">
        <f>Source!AN159</f>
        <v>18.3</v>
      </c>
      <c r="I718" s="84">
        <f>ROUND(1.25*1.15,7)</f>
        <v>1.4375</v>
      </c>
      <c r="J718" s="87">
        <f>ROUND(Source!AE159*Source!I159, 2)</f>
        <v>12.47</v>
      </c>
      <c r="K718" s="84">
        <f>IF(Source!BS159&lt;&gt; 0, Source!BS159, 1)</f>
        <v>24.22</v>
      </c>
      <c r="L718" s="88">
        <f>Source!HI159</f>
        <v>302</v>
      </c>
    </row>
    <row r="719" spans="1:56" ht="14.4">
      <c r="A719" s="110"/>
      <c r="B719" s="112">
        <v>4</v>
      </c>
      <c r="C719" s="111" t="s">
        <v>1408</v>
      </c>
      <c r="D719" s="81"/>
      <c r="E719" s="82"/>
      <c r="F719" s="82"/>
      <c r="G719" s="82"/>
      <c r="H719" s="83">
        <f>Source!AL159</f>
        <v>2622.09</v>
      </c>
      <c r="I719" s="84"/>
      <c r="J719" s="85">
        <f>ROUND(Source!AC159*Source!I159, 2)</f>
        <v>1242.8699999999999</v>
      </c>
      <c r="K719" s="84"/>
      <c r="L719" s="86"/>
    </row>
    <row r="720" spans="1:56" ht="14.4">
      <c r="A720" s="110"/>
      <c r="B720" s="111"/>
      <c r="C720" s="111" t="s">
        <v>1376</v>
      </c>
      <c r="D720" s="81" t="s">
        <v>1377</v>
      </c>
      <c r="E720" s="82">
        <f>Source!AQ159</f>
        <v>144.63999999999999</v>
      </c>
      <c r="F720" s="82">
        <f>ROUND(1.15*1.15,7)</f>
        <v>1.3225</v>
      </c>
      <c r="G720" s="82">
        <f>ROUND(Source!U159, 7)</f>
        <v>90.669753600000007</v>
      </c>
      <c r="H720" s="83"/>
      <c r="I720" s="84"/>
      <c r="J720" s="85"/>
      <c r="K720" s="84"/>
      <c r="L720" s="86"/>
    </row>
    <row r="721" spans="1:56" ht="14.4">
      <c r="A721" s="110"/>
      <c r="B721" s="111"/>
      <c r="C721" s="113" t="s">
        <v>1378</v>
      </c>
      <c r="D721" s="89" t="s">
        <v>1377</v>
      </c>
      <c r="E721" s="90">
        <f>Source!AR159</f>
        <v>1.44</v>
      </c>
      <c r="F721" s="90">
        <f>ROUND(1.25*1.15,7)</f>
        <v>1.4375</v>
      </c>
      <c r="G721" s="90">
        <f>ROUND(Source!V159, 7)</f>
        <v>0.98118000000000005</v>
      </c>
      <c r="H721" s="91"/>
      <c r="I721" s="92"/>
      <c r="J721" s="93"/>
      <c r="K721" s="92"/>
      <c r="L721" s="94"/>
    </row>
    <row r="722" spans="1:56" ht="14.4">
      <c r="A722" s="110"/>
      <c r="B722" s="111"/>
      <c r="C722" s="111" t="s">
        <v>1379</v>
      </c>
      <c r="D722" s="81"/>
      <c r="E722" s="82"/>
      <c r="F722" s="82"/>
      <c r="G722" s="82"/>
      <c r="H722" s="83">
        <f>H716+H717+H719</f>
        <v>3957.42</v>
      </c>
      <c r="I722" s="84"/>
      <c r="J722" s="85">
        <f>J716+J717+J719</f>
        <v>2082.87</v>
      </c>
      <c r="K722" s="84"/>
      <c r="L722" s="86"/>
    </row>
    <row r="723" spans="1:56" ht="14.4">
      <c r="A723" s="110"/>
      <c r="B723" s="111"/>
      <c r="C723" s="111" t="s">
        <v>1380</v>
      </c>
      <c r="D723" s="81"/>
      <c r="E723" s="82"/>
      <c r="F723" s="82"/>
      <c r="G723" s="82"/>
      <c r="H723" s="83"/>
      <c r="I723" s="84"/>
      <c r="J723" s="85">
        <f>SUM(Q713:Q726)+SUM(V713:V726)</f>
        <v>815.80000000000007</v>
      </c>
      <c r="K723" s="84"/>
      <c r="L723" s="86">
        <f>SUM(U713:U726)+SUM(W713:W726)</f>
        <v>19759</v>
      </c>
    </row>
    <row r="724" spans="1:56" ht="14.4">
      <c r="A724" s="110"/>
      <c r="B724" s="111" t="s">
        <v>1414</v>
      </c>
      <c r="C724" s="111" t="s">
        <v>1415</v>
      </c>
      <c r="D724" s="81" t="s">
        <v>1383</v>
      </c>
      <c r="E724" s="82">
        <f>Source!BZ159</f>
        <v>100</v>
      </c>
      <c r="F724" s="82">
        <f>ROUND(0.9,7)</f>
        <v>0.9</v>
      </c>
      <c r="G724" s="82">
        <f>Source!AT159</f>
        <v>90</v>
      </c>
      <c r="H724" s="83"/>
      <c r="I724" s="84"/>
      <c r="J724" s="85">
        <f>SUM(AC713:AC726)</f>
        <v>734.22</v>
      </c>
      <c r="K724" s="84"/>
      <c r="L724" s="86">
        <f>SUM(AD713:AD726)</f>
        <v>17783</v>
      </c>
    </row>
    <row r="725" spans="1:56" ht="14.4">
      <c r="A725" s="114"/>
      <c r="B725" s="113" t="s">
        <v>1416</v>
      </c>
      <c r="C725" s="113" t="s">
        <v>1417</v>
      </c>
      <c r="D725" s="89" t="s">
        <v>1383</v>
      </c>
      <c r="E725" s="90">
        <f>Source!CA159</f>
        <v>49</v>
      </c>
      <c r="F725" s="90">
        <f>ROUND(0.85,7)</f>
        <v>0.85</v>
      </c>
      <c r="G725" s="90">
        <f>Source!AU159</f>
        <v>41.65</v>
      </c>
      <c r="H725" s="91"/>
      <c r="I725" s="92"/>
      <c r="J725" s="93">
        <f>SUM(AE713:AE726)</f>
        <v>339.78</v>
      </c>
      <c r="K725" s="92"/>
      <c r="L725" s="94">
        <f>SUM(AF713:AF726)</f>
        <v>8230</v>
      </c>
    </row>
    <row r="726" spans="1:56" ht="13.8">
      <c r="C726" s="95" t="s">
        <v>1386</v>
      </c>
      <c r="D726" s="95"/>
      <c r="E726" s="95"/>
      <c r="F726" s="95"/>
      <c r="G726" s="95"/>
      <c r="H726" s="95"/>
      <c r="I726" s="95">
        <f>J716+J717+J719+J724+J725</f>
        <v>3156.87</v>
      </c>
      <c r="J726" s="95"/>
      <c r="O726" s="69">
        <f>I726</f>
        <v>3156.87</v>
      </c>
      <c r="P726">
        <f>K726</f>
        <v>0</v>
      </c>
      <c r="Q726" s="69">
        <f>J716</f>
        <v>803.33</v>
      </c>
      <c r="R726" s="69">
        <f>J716</f>
        <v>803.33</v>
      </c>
      <c r="U726" s="70">
        <f>L716</f>
        <v>19457</v>
      </c>
      <c r="V726" s="69">
        <f>J718</f>
        <v>12.47</v>
      </c>
      <c r="W726" s="70">
        <f>L718</f>
        <v>302</v>
      </c>
      <c r="X726" s="69">
        <f>J717</f>
        <v>36.67</v>
      </c>
      <c r="Z726" s="70">
        <f>L717</f>
        <v>0</v>
      </c>
      <c r="AB726" s="69">
        <f>J719</f>
        <v>1242.8699999999999</v>
      </c>
      <c r="AN726">
        <f>IF(Source!BI159&lt;=1,J716+J717+J719+J724+J725, 0)</f>
        <v>3156.87</v>
      </c>
      <c r="AO726">
        <f>IF(Source!BI159&lt;=1,J719, 0)</f>
        <v>1242.8699999999999</v>
      </c>
      <c r="AP726">
        <f>IF(Source!BI159&lt;=1,J717, 0)</f>
        <v>36.67</v>
      </c>
      <c r="AQ726">
        <f>IF(Source!BI159&lt;=1,J716, 0)</f>
        <v>803.33</v>
      </c>
      <c r="AX726">
        <f>IF(Source!BI159=2,J716+J717+J719+J724+J725, 0)</f>
        <v>0</v>
      </c>
      <c r="AY726">
        <f>IF(Source!BI159=2,J719, 0)</f>
        <v>0</v>
      </c>
      <c r="AZ726">
        <f>IF(Source!BI159=2,J717, 0)</f>
        <v>0</v>
      </c>
      <c r="BA726">
        <f>IF(Source!BI159=2,J716, 0)</f>
        <v>0</v>
      </c>
    </row>
    <row r="727" spans="1:56" ht="160.80000000000001">
      <c r="A727" s="110" t="str">
        <f>Source!E160</f>
        <v>87</v>
      </c>
      <c r="B727" s="111" t="str">
        <f>Source!F160</f>
        <v>15-04-027-6</v>
      </c>
      <c r="C727" s="111" t="s">
        <v>1461</v>
      </c>
      <c r="D727" s="81" t="str">
        <f>Source!H160</f>
        <v>100 м2 окрашиваемой поверхности</v>
      </c>
      <c r="E727" s="82">
        <f>Source!K160</f>
        <v>0.47399999999999998</v>
      </c>
      <c r="F727" s="82"/>
      <c r="G727" s="82">
        <f>Source!I160</f>
        <v>0.47399999999999998</v>
      </c>
      <c r="H727" s="83"/>
      <c r="I727" s="84"/>
      <c r="J727" s="85"/>
      <c r="K727" s="84"/>
      <c r="L727" s="86"/>
      <c r="AC727">
        <f>Source!X160</f>
        <v>85.54</v>
      </c>
      <c r="AD727">
        <f>Source!HK160</f>
        <v>2072</v>
      </c>
      <c r="AE727">
        <f>Source!Y160</f>
        <v>39.58</v>
      </c>
      <c r="AF727">
        <f>Source!HL160</f>
        <v>959</v>
      </c>
      <c r="AS727">
        <f>IF(Source!BI160&lt;=1,AD727, 0)</f>
        <v>2072</v>
      </c>
      <c r="AT727">
        <f>IF(Source!BI160&lt;=1,AF727, 0)</f>
        <v>959</v>
      </c>
      <c r="BC727">
        <f>IF(Source!BI160=2,AD727, 0)</f>
        <v>0</v>
      </c>
      <c r="BD727">
        <f>IF(Source!BI160=2,AF727, 0)</f>
        <v>0</v>
      </c>
    </row>
    <row r="729" spans="1:56">
      <c r="C729" s="67" t="str">
        <f>"Объем: "&amp;Source!K160&amp;"=11,85*"&amp;"4/"&amp;"100"</f>
        <v>Объем: 0,474=11,85*4/100</v>
      </c>
    </row>
    <row r="730" spans="1:56" ht="14.4">
      <c r="A730" s="110"/>
      <c r="B730" s="112">
        <v>1</v>
      </c>
      <c r="C730" s="111" t="s">
        <v>1373</v>
      </c>
      <c r="D730" s="81"/>
      <c r="E730" s="82"/>
      <c r="F730" s="82"/>
      <c r="G730" s="82"/>
      <c r="H730" s="83">
        <f>Source!AO160</f>
        <v>151.47</v>
      </c>
      <c r="I730" s="84">
        <f>ROUND(1.15*1.15,7)</f>
        <v>1.3225</v>
      </c>
      <c r="J730" s="85">
        <f>ROUND(Source!AF160*Source!I160, 2)</f>
        <v>94.95</v>
      </c>
      <c r="K730" s="84">
        <f>IF(Source!BA160&lt;&gt; 0, Source!BA160, 1)</f>
        <v>24.22</v>
      </c>
      <c r="L730" s="86">
        <f>Source!HJ160</f>
        <v>2300</v>
      </c>
    </row>
    <row r="731" spans="1:56" ht="14.4">
      <c r="A731" s="110"/>
      <c r="B731" s="112">
        <v>3</v>
      </c>
      <c r="C731" s="111" t="s">
        <v>1374</v>
      </c>
      <c r="D731" s="81"/>
      <c r="E731" s="82"/>
      <c r="F731" s="82"/>
      <c r="G731" s="82"/>
      <c r="H731" s="83">
        <f>Source!AM160</f>
        <v>3.97</v>
      </c>
      <c r="I731" s="84">
        <f>ROUND(1.25*1.15,7)</f>
        <v>1.4375</v>
      </c>
      <c r="J731" s="85">
        <f>ROUND(Source!AD160*Source!I160, 2)</f>
        <v>2.71</v>
      </c>
      <c r="K731" s="84"/>
      <c r="L731" s="86"/>
    </row>
    <row r="732" spans="1:56" ht="14.4">
      <c r="A732" s="110"/>
      <c r="B732" s="112">
        <v>2</v>
      </c>
      <c r="C732" s="111" t="s">
        <v>1375</v>
      </c>
      <c r="D732" s="81"/>
      <c r="E732" s="82"/>
      <c r="F732" s="82"/>
      <c r="G732" s="82"/>
      <c r="H732" s="83">
        <f>Source!AN160</f>
        <v>0.13</v>
      </c>
      <c r="I732" s="84">
        <f>ROUND(1.25*1.15,7)</f>
        <v>1.4375</v>
      </c>
      <c r="J732" s="87">
        <f>ROUND(Source!AE160*Source!I160, 2)</f>
        <v>0.09</v>
      </c>
      <c r="K732" s="84">
        <f>IF(Source!BS160&lt;&gt; 0, Source!BS160, 1)</f>
        <v>24.22</v>
      </c>
      <c r="L732" s="88">
        <f>Source!HI160</f>
        <v>2</v>
      </c>
    </row>
    <row r="733" spans="1:56" ht="14.4">
      <c r="A733" s="110"/>
      <c r="B733" s="112">
        <v>4</v>
      </c>
      <c r="C733" s="111" t="s">
        <v>1408</v>
      </c>
      <c r="D733" s="81"/>
      <c r="E733" s="82"/>
      <c r="F733" s="82"/>
      <c r="G733" s="82"/>
      <c r="H733" s="83">
        <f>Source!AL160</f>
        <v>424.07</v>
      </c>
      <c r="I733" s="84"/>
      <c r="J733" s="85">
        <f>ROUND(Source!AC160*Source!I160, 2)</f>
        <v>201.01</v>
      </c>
      <c r="K733" s="84"/>
      <c r="L733" s="86"/>
    </row>
    <row r="734" spans="1:56" ht="14.4">
      <c r="A734" s="110"/>
      <c r="B734" s="111"/>
      <c r="C734" s="111" t="s">
        <v>1376</v>
      </c>
      <c r="D734" s="81" t="s">
        <v>1377</v>
      </c>
      <c r="E734" s="82">
        <f>Source!AQ160</f>
        <v>16.5</v>
      </c>
      <c r="F734" s="82">
        <f>ROUND(1.15*1.15,7)</f>
        <v>1.3225</v>
      </c>
      <c r="G734" s="82">
        <f>ROUND(Source!U160, 7)</f>
        <v>10.343272499999999</v>
      </c>
      <c r="H734" s="83"/>
      <c r="I734" s="84"/>
      <c r="J734" s="85"/>
      <c r="K734" s="84"/>
      <c r="L734" s="86"/>
    </row>
    <row r="735" spans="1:56" ht="14.4">
      <c r="A735" s="110"/>
      <c r="B735" s="111"/>
      <c r="C735" s="113" t="s">
        <v>1378</v>
      </c>
      <c r="D735" s="89" t="s">
        <v>1377</v>
      </c>
      <c r="E735" s="90">
        <f>Source!AR160</f>
        <v>0.01</v>
      </c>
      <c r="F735" s="90">
        <f>ROUND(1.25*1.15,7)</f>
        <v>1.4375</v>
      </c>
      <c r="G735" s="90">
        <f>ROUND(Source!V160, 7)</f>
        <v>6.8138000000000001E-3</v>
      </c>
      <c r="H735" s="91"/>
      <c r="I735" s="92"/>
      <c r="J735" s="93"/>
      <c r="K735" s="92"/>
      <c r="L735" s="94"/>
    </row>
    <row r="736" spans="1:56" ht="14.4">
      <c r="A736" s="110"/>
      <c r="B736" s="111"/>
      <c r="C736" s="111" t="s">
        <v>1379</v>
      </c>
      <c r="D736" s="81"/>
      <c r="E736" s="82"/>
      <c r="F736" s="82"/>
      <c r="G736" s="82"/>
      <c r="H736" s="83">
        <f>H730+H731+H733</f>
        <v>579.51</v>
      </c>
      <c r="I736" s="84"/>
      <c r="J736" s="85">
        <f>J730+J731+J733</f>
        <v>298.66999999999996</v>
      </c>
      <c r="K736" s="84"/>
      <c r="L736" s="86"/>
    </row>
    <row r="737" spans="1:56" ht="14.4">
      <c r="A737" s="110"/>
      <c r="B737" s="111"/>
      <c r="C737" s="111" t="s">
        <v>1380</v>
      </c>
      <c r="D737" s="81"/>
      <c r="E737" s="82"/>
      <c r="F737" s="82"/>
      <c r="G737" s="82"/>
      <c r="H737" s="83"/>
      <c r="I737" s="84"/>
      <c r="J737" s="85">
        <f>SUM(Q727:Q740)+SUM(V727:V740)</f>
        <v>95.04</v>
      </c>
      <c r="K737" s="84"/>
      <c r="L737" s="86">
        <f>SUM(U727:U740)+SUM(W727:W740)</f>
        <v>2302</v>
      </c>
    </row>
    <row r="738" spans="1:56" ht="14.4">
      <c r="A738" s="110"/>
      <c r="B738" s="111" t="s">
        <v>1414</v>
      </c>
      <c r="C738" s="111" t="s">
        <v>1415</v>
      </c>
      <c r="D738" s="81" t="s">
        <v>1383</v>
      </c>
      <c r="E738" s="82">
        <f>Source!BZ160</f>
        <v>100</v>
      </c>
      <c r="F738" s="82">
        <f>ROUND(0.9,7)</f>
        <v>0.9</v>
      </c>
      <c r="G738" s="82">
        <f>Source!AT160</f>
        <v>90</v>
      </c>
      <c r="H738" s="83"/>
      <c r="I738" s="84"/>
      <c r="J738" s="85">
        <f>SUM(AC727:AC740)</f>
        <v>85.54</v>
      </c>
      <c r="K738" s="84"/>
      <c r="L738" s="86">
        <f>SUM(AD727:AD740)</f>
        <v>2072</v>
      </c>
    </row>
    <row r="739" spans="1:56" ht="14.4">
      <c r="A739" s="114"/>
      <c r="B739" s="113" t="s">
        <v>1416</v>
      </c>
      <c r="C739" s="113" t="s">
        <v>1417</v>
      </c>
      <c r="D739" s="89" t="s">
        <v>1383</v>
      </c>
      <c r="E739" s="90">
        <f>Source!CA160</f>
        <v>49</v>
      </c>
      <c r="F739" s="90">
        <f>ROUND(0.85,7)</f>
        <v>0.85</v>
      </c>
      <c r="G739" s="90">
        <f>Source!AU160</f>
        <v>41.65</v>
      </c>
      <c r="H739" s="91"/>
      <c r="I739" s="92"/>
      <c r="J739" s="93">
        <f>SUM(AE727:AE740)</f>
        <v>39.58</v>
      </c>
      <c r="K739" s="92"/>
      <c r="L739" s="94">
        <f>SUM(AF727:AF740)</f>
        <v>959</v>
      </c>
    </row>
    <row r="740" spans="1:56" ht="13.8">
      <c r="C740" s="95" t="s">
        <v>1386</v>
      </c>
      <c r="D740" s="95"/>
      <c r="E740" s="95"/>
      <c r="F740" s="95"/>
      <c r="G740" s="95"/>
      <c r="H740" s="95"/>
      <c r="I740" s="95">
        <f>J730+J731+J733+J738+J739</f>
        <v>423.78999999999996</v>
      </c>
      <c r="J740" s="95"/>
      <c r="O740" s="69">
        <f>I740</f>
        <v>423.78999999999996</v>
      </c>
      <c r="P740">
        <f>K740</f>
        <v>0</v>
      </c>
      <c r="Q740" s="69">
        <f>J730</f>
        <v>94.95</v>
      </c>
      <c r="R740" s="69">
        <f>J730</f>
        <v>94.95</v>
      </c>
      <c r="U740" s="70">
        <f>L730</f>
        <v>2300</v>
      </c>
      <c r="V740" s="69">
        <f>J732</f>
        <v>0.09</v>
      </c>
      <c r="W740" s="70">
        <f>L732</f>
        <v>2</v>
      </c>
      <c r="X740" s="69">
        <f>J731</f>
        <v>2.71</v>
      </c>
      <c r="Z740" s="70">
        <f>L731</f>
        <v>0</v>
      </c>
      <c r="AB740" s="69">
        <f>J733</f>
        <v>201.01</v>
      </c>
      <c r="AN740">
        <f>IF(Source!BI160&lt;=1,J730+J731+J733+J738+J739, 0)</f>
        <v>423.78999999999996</v>
      </c>
      <c r="AO740">
        <f>IF(Source!BI160&lt;=1,J733, 0)</f>
        <v>201.01</v>
      </c>
      <c r="AP740">
        <f>IF(Source!BI160&lt;=1,J731, 0)</f>
        <v>2.71</v>
      </c>
      <c r="AQ740">
        <f>IF(Source!BI160&lt;=1,J730, 0)</f>
        <v>94.95</v>
      </c>
      <c r="AX740">
        <f>IF(Source!BI160=2,J730+J731+J733+J738+J739, 0)</f>
        <v>0</v>
      </c>
      <c r="AY740">
        <f>IF(Source!BI160=2,J733, 0)</f>
        <v>0</v>
      </c>
      <c r="AZ740">
        <f>IF(Source!BI160=2,J731, 0)</f>
        <v>0</v>
      </c>
      <c r="BA740">
        <f>IF(Source!BI160=2,J730, 0)</f>
        <v>0</v>
      </c>
    </row>
    <row r="741" spans="1:56" ht="160.80000000000001">
      <c r="A741" s="110" t="str">
        <f>Source!E161</f>
        <v>88</v>
      </c>
      <c r="B741" s="111" t="str">
        <f>Source!F161</f>
        <v>15-04-005-8</v>
      </c>
      <c r="C741" s="111" t="s">
        <v>1462</v>
      </c>
      <c r="D741" s="81" t="str">
        <f>Source!H161</f>
        <v>100 м2 окрашиваемой поверхности</v>
      </c>
      <c r="E741" s="82">
        <f>Source!K161</f>
        <v>0.47399999999999998</v>
      </c>
      <c r="F741" s="82"/>
      <c r="G741" s="82">
        <f>Source!I161</f>
        <v>0.47399999999999998</v>
      </c>
      <c r="H741" s="83"/>
      <c r="I741" s="84"/>
      <c r="J741" s="85"/>
      <c r="K741" s="84"/>
      <c r="L741" s="86"/>
      <c r="AC741">
        <f>Source!X161</f>
        <v>468.96</v>
      </c>
      <c r="AD741">
        <f>Source!HK161</f>
        <v>11359</v>
      </c>
      <c r="AE741">
        <f>Source!Y161</f>
        <v>217.03</v>
      </c>
      <c r="AF741">
        <f>Source!HL161</f>
        <v>5257</v>
      </c>
      <c r="AS741">
        <f>IF(Source!BI161&lt;=1,AD741, 0)</f>
        <v>11359</v>
      </c>
      <c r="AT741">
        <f>IF(Source!BI161&lt;=1,AF741, 0)</f>
        <v>5257</v>
      </c>
      <c r="BC741">
        <f>IF(Source!BI161=2,AD741, 0)</f>
        <v>0</v>
      </c>
      <c r="BD741">
        <f>IF(Source!BI161=2,AF741, 0)</f>
        <v>0</v>
      </c>
    </row>
    <row r="743" spans="1:56">
      <c r="C743" s="67" t="str">
        <f>"Объем: "&amp;Source!K161&amp;"=11,85*"&amp;"4/"&amp;"100"</f>
        <v>Объем: 0,474=11,85*4/100</v>
      </c>
    </row>
    <row r="744" spans="1:56" ht="14.4">
      <c r="A744" s="110"/>
      <c r="B744" s="112">
        <v>1</v>
      </c>
      <c r="C744" s="111" t="s">
        <v>1373</v>
      </c>
      <c r="D744" s="81"/>
      <c r="E744" s="82"/>
      <c r="F744" s="82"/>
      <c r="G744" s="82"/>
      <c r="H744" s="83">
        <f>Source!AO161</f>
        <v>830.8</v>
      </c>
      <c r="I744" s="84">
        <f>ROUND(1.15*1.15,7)</f>
        <v>1.3225</v>
      </c>
      <c r="J744" s="85">
        <f>ROUND(Source!AF161*Source!I161, 2)</f>
        <v>520.79999999999995</v>
      </c>
      <c r="K744" s="84">
        <f>IF(Source!BA161&lt;&gt; 0, Source!BA161, 1)</f>
        <v>24.22</v>
      </c>
      <c r="L744" s="86">
        <f>Source!HJ161</f>
        <v>12614</v>
      </c>
    </row>
    <row r="745" spans="1:56" ht="14.4">
      <c r="A745" s="110"/>
      <c r="B745" s="112">
        <v>3</v>
      </c>
      <c r="C745" s="111" t="s">
        <v>1374</v>
      </c>
      <c r="D745" s="81"/>
      <c r="E745" s="82"/>
      <c r="F745" s="82"/>
      <c r="G745" s="82"/>
      <c r="H745" s="83">
        <f>Source!AM161</f>
        <v>21.08</v>
      </c>
      <c r="I745" s="84">
        <f>ROUND(1.25*1.15,7)</f>
        <v>1.4375</v>
      </c>
      <c r="J745" s="85">
        <f>ROUND(Source!AD161*Source!I161, 2)</f>
        <v>14.36</v>
      </c>
      <c r="K745" s="84"/>
      <c r="L745" s="86"/>
    </row>
    <row r="746" spans="1:56" ht="14.4">
      <c r="A746" s="110"/>
      <c r="B746" s="112">
        <v>2</v>
      </c>
      <c r="C746" s="111" t="s">
        <v>1375</v>
      </c>
      <c r="D746" s="81"/>
      <c r="E746" s="82"/>
      <c r="F746" s="82"/>
      <c r="G746" s="82"/>
      <c r="H746" s="83">
        <f>Source!AN161</f>
        <v>0.39</v>
      </c>
      <c r="I746" s="84">
        <f>ROUND(1.25*1.15,7)</f>
        <v>1.4375</v>
      </c>
      <c r="J746" s="87">
        <f>ROUND(Source!AE161*Source!I161, 2)</f>
        <v>0.27</v>
      </c>
      <c r="K746" s="84">
        <f>IF(Source!BS161&lt;&gt; 0, Source!BS161, 1)</f>
        <v>24.22</v>
      </c>
      <c r="L746" s="88">
        <f>Source!HI161</f>
        <v>7</v>
      </c>
    </row>
    <row r="747" spans="1:56" ht="14.4">
      <c r="A747" s="110"/>
      <c r="B747" s="112">
        <v>4</v>
      </c>
      <c r="C747" s="111" t="s">
        <v>1408</v>
      </c>
      <c r="D747" s="81"/>
      <c r="E747" s="82"/>
      <c r="F747" s="82"/>
      <c r="G747" s="82"/>
      <c r="H747" s="83">
        <f>Source!AL161</f>
        <v>1529.3</v>
      </c>
      <c r="I747" s="84"/>
      <c r="J747" s="85">
        <f>ROUND(Source!AC161*Source!I161, 2)</f>
        <v>724.89</v>
      </c>
      <c r="K747" s="84"/>
      <c r="L747" s="86"/>
    </row>
    <row r="748" spans="1:56" ht="14.4">
      <c r="A748" s="110"/>
      <c r="B748" s="111"/>
      <c r="C748" s="111" t="s">
        <v>1376</v>
      </c>
      <c r="D748" s="81" t="s">
        <v>1377</v>
      </c>
      <c r="E748" s="82">
        <f>Source!AQ161</f>
        <v>89.43</v>
      </c>
      <c r="F748" s="82">
        <f>ROUND(1.15*1.15,7)</f>
        <v>1.3225</v>
      </c>
      <c r="G748" s="82">
        <f>ROUND(Source!U161, 7)</f>
        <v>56.060536999999997</v>
      </c>
      <c r="H748" s="83"/>
      <c r="I748" s="84"/>
      <c r="J748" s="85"/>
      <c r="K748" s="84"/>
      <c r="L748" s="86"/>
    </row>
    <row r="749" spans="1:56" ht="14.4">
      <c r="A749" s="110"/>
      <c r="B749" s="111"/>
      <c r="C749" s="113" t="s">
        <v>1378</v>
      </c>
      <c r="D749" s="89" t="s">
        <v>1377</v>
      </c>
      <c r="E749" s="90">
        <f>Source!AR161</f>
        <v>0.03</v>
      </c>
      <c r="F749" s="90">
        <f>ROUND(1.25*1.15,7)</f>
        <v>1.4375</v>
      </c>
      <c r="G749" s="90">
        <f>ROUND(Source!V161, 7)</f>
        <v>2.0441299999999999E-2</v>
      </c>
      <c r="H749" s="91"/>
      <c r="I749" s="92"/>
      <c r="J749" s="93"/>
      <c r="K749" s="92"/>
      <c r="L749" s="94"/>
    </row>
    <row r="750" spans="1:56" ht="14.4">
      <c r="A750" s="110"/>
      <c r="B750" s="111"/>
      <c r="C750" s="111" t="s">
        <v>1379</v>
      </c>
      <c r="D750" s="81"/>
      <c r="E750" s="82"/>
      <c r="F750" s="82"/>
      <c r="G750" s="82"/>
      <c r="H750" s="83">
        <f>H744+H745+H747</f>
        <v>2381.1799999999998</v>
      </c>
      <c r="I750" s="84"/>
      <c r="J750" s="85">
        <f>J744+J745+J747</f>
        <v>1260.05</v>
      </c>
      <c r="K750" s="84"/>
      <c r="L750" s="86"/>
    </row>
    <row r="751" spans="1:56" ht="14.4">
      <c r="A751" s="110"/>
      <c r="B751" s="111"/>
      <c r="C751" s="111" t="s">
        <v>1380</v>
      </c>
      <c r="D751" s="81"/>
      <c r="E751" s="82"/>
      <c r="F751" s="82"/>
      <c r="G751" s="82"/>
      <c r="H751" s="83"/>
      <c r="I751" s="84"/>
      <c r="J751" s="85">
        <f>SUM(Q741:Q754)+SUM(V741:V754)</f>
        <v>521.06999999999994</v>
      </c>
      <c r="K751" s="84"/>
      <c r="L751" s="86">
        <f>SUM(U741:U754)+SUM(W741:W754)</f>
        <v>12621</v>
      </c>
    </row>
    <row r="752" spans="1:56" ht="14.4">
      <c r="A752" s="110"/>
      <c r="B752" s="111" t="s">
        <v>1414</v>
      </c>
      <c r="C752" s="111" t="s">
        <v>1415</v>
      </c>
      <c r="D752" s="81" t="s">
        <v>1383</v>
      </c>
      <c r="E752" s="82">
        <f>Source!BZ161</f>
        <v>100</v>
      </c>
      <c r="F752" s="82">
        <f>ROUND(0.9,7)</f>
        <v>0.9</v>
      </c>
      <c r="G752" s="82">
        <f>Source!AT161</f>
        <v>90</v>
      </c>
      <c r="H752" s="83"/>
      <c r="I752" s="84"/>
      <c r="J752" s="85">
        <f>SUM(AC741:AC754)</f>
        <v>468.96</v>
      </c>
      <c r="K752" s="84"/>
      <c r="L752" s="86">
        <f>SUM(AD741:AD754)</f>
        <v>11359</v>
      </c>
    </row>
    <row r="753" spans="1:56" ht="14.4">
      <c r="A753" s="114"/>
      <c r="B753" s="113" t="s">
        <v>1416</v>
      </c>
      <c r="C753" s="113" t="s">
        <v>1417</v>
      </c>
      <c r="D753" s="89" t="s">
        <v>1383</v>
      </c>
      <c r="E753" s="90">
        <f>Source!CA161</f>
        <v>49</v>
      </c>
      <c r="F753" s="90">
        <f>ROUND(0.85,7)</f>
        <v>0.85</v>
      </c>
      <c r="G753" s="90">
        <f>Source!AU161</f>
        <v>41.65</v>
      </c>
      <c r="H753" s="91"/>
      <c r="I753" s="92"/>
      <c r="J753" s="93">
        <f>SUM(AE741:AE754)</f>
        <v>217.03</v>
      </c>
      <c r="K753" s="92"/>
      <c r="L753" s="94">
        <f>SUM(AF741:AF754)</f>
        <v>5257</v>
      </c>
    </row>
    <row r="754" spans="1:56" ht="13.8">
      <c r="C754" s="95" t="s">
        <v>1386</v>
      </c>
      <c r="D754" s="95"/>
      <c r="E754" s="95"/>
      <c r="F754" s="95"/>
      <c r="G754" s="95"/>
      <c r="H754" s="95"/>
      <c r="I754" s="95">
        <f>J744+J745+J747+J752+J753</f>
        <v>1946.04</v>
      </c>
      <c r="J754" s="95"/>
      <c r="O754" s="69">
        <f>I754</f>
        <v>1946.04</v>
      </c>
      <c r="P754">
        <f>K754</f>
        <v>0</v>
      </c>
      <c r="Q754" s="69">
        <f>J744</f>
        <v>520.79999999999995</v>
      </c>
      <c r="R754" s="69">
        <f>J744</f>
        <v>520.79999999999995</v>
      </c>
      <c r="U754" s="70">
        <f>L744</f>
        <v>12614</v>
      </c>
      <c r="V754" s="69">
        <f>J746</f>
        <v>0.27</v>
      </c>
      <c r="W754" s="70">
        <f>L746</f>
        <v>7</v>
      </c>
      <c r="X754" s="69">
        <f>J745</f>
        <v>14.36</v>
      </c>
      <c r="Z754" s="70">
        <f>L745</f>
        <v>0</v>
      </c>
      <c r="AB754" s="69">
        <f>J747</f>
        <v>724.89</v>
      </c>
      <c r="AN754">
        <f>IF(Source!BI161&lt;=1,J744+J745+J747+J752+J753, 0)</f>
        <v>1946.04</v>
      </c>
      <c r="AO754">
        <f>IF(Source!BI161&lt;=1,J747, 0)</f>
        <v>724.89</v>
      </c>
      <c r="AP754">
        <f>IF(Source!BI161&lt;=1,J745, 0)</f>
        <v>14.36</v>
      </c>
      <c r="AQ754">
        <f>IF(Source!BI161&lt;=1,J744, 0)</f>
        <v>520.79999999999995</v>
      </c>
      <c r="AX754">
        <f>IF(Source!BI161=2,J744+J745+J747+J752+J753, 0)</f>
        <v>0</v>
      </c>
      <c r="AY754">
        <f>IF(Source!BI161=2,J747, 0)</f>
        <v>0</v>
      </c>
      <c r="AZ754">
        <f>IF(Source!BI161=2,J745, 0)</f>
        <v>0</v>
      </c>
      <c r="BA754">
        <f>IF(Source!BI161=2,J744, 0)</f>
        <v>0</v>
      </c>
    </row>
    <row r="755" spans="1:56" ht="13.8">
      <c r="C755" s="79" t="str">
        <f>Source!G162</f>
        <v>Стены (санузел женский)</v>
      </c>
    </row>
    <row r="756" spans="1:56" ht="133.19999999999999">
      <c r="A756" s="110" t="str">
        <f>Source!E163</f>
        <v>89</v>
      </c>
      <c r="B756" s="111" t="str">
        <f>Source!F163</f>
        <v>15-02-036-1</v>
      </c>
      <c r="C756" s="111" t="s">
        <v>1457</v>
      </c>
      <c r="D756" s="81" t="str">
        <f>Source!H163</f>
        <v>100 м2 оштукатуриваемой поверхности</v>
      </c>
      <c r="E756" s="82">
        <f>Source!K163</f>
        <v>1.4119999999999999</v>
      </c>
      <c r="F756" s="82"/>
      <c r="G756" s="82">
        <f>Source!I163</f>
        <v>1.4119999999999999</v>
      </c>
      <c r="H756" s="83"/>
      <c r="I756" s="84"/>
      <c r="J756" s="85"/>
      <c r="K756" s="84"/>
      <c r="L756" s="86"/>
      <c r="AC756">
        <f>Source!X163</f>
        <v>1968.44</v>
      </c>
      <c r="AD756">
        <f>Source!HK163</f>
        <v>47676</v>
      </c>
      <c r="AE756">
        <f>Source!Y163</f>
        <v>910.95</v>
      </c>
      <c r="AF756">
        <f>Source!HL163</f>
        <v>22063</v>
      </c>
      <c r="AS756">
        <f>IF(Source!BI163&lt;=1,AD756, 0)</f>
        <v>47676</v>
      </c>
      <c r="AT756">
        <f>IF(Source!BI163&lt;=1,AF756, 0)</f>
        <v>22063</v>
      </c>
      <c r="BC756">
        <f>IF(Source!BI163=2,AD756, 0)</f>
        <v>0</v>
      </c>
      <c r="BD756">
        <f>IF(Source!BI163=2,AF756, 0)</f>
        <v>0</v>
      </c>
    </row>
    <row r="758" spans="1:56">
      <c r="C758" s="67" t="str">
        <f>"Объем: "&amp;Source!K163&amp;"=35,3*"&amp;"4/"&amp;"100"</f>
        <v>Объем: 1,412=35,3*4/100</v>
      </c>
    </row>
    <row r="759" spans="1:56" ht="14.4">
      <c r="A759" s="110"/>
      <c r="B759" s="112">
        <v>1</v>
      </c>
      <c r="C759" s="111" t="s">
        <v>1373</v>
      </c>
      <c r="D759" s="81"/>
      <c r="E759" s="82"/>
      <c r="F759" s="82"/>
      <c r="G759" s="82"/>
      <c r="H759" s="83">
        <f>Source!AO163</f>
        <v>1151.3599999999999</v>
      </c>
      <c r="I759" s="84">
        <f>ROUND(1.15*1.15,7)</f>
        <v>1.3225</v>
      </c>
      <c r="J759" s="85">
        <f>ROUND(Source!AF163*Source!I163, 2)</f>
        <v>2150.02</v>
      </c>
      <c r="K759" s="84">
        <f>IF(Source!BA163&lt;&gt; 0, Source!BA163, 1)</f>
        <v>24.22</v>
      </c>
      <c r="L759" s="86">
        <f>Source!HJ163</f>
        <v>52073</v>
      </c>
    </row>
    <row r="760" spans="1:56" ht="14.4">
      <c r="A760" s="110"/>
      <c r="B760" s="112">
        <v>3</v>
      </c>
      <c r="C760" s="111" t="s">
        <v>1374</v>
      </c>
      <c r="D760" s="81"/>
      <c r="E760" s="82"/>
      <c r="F760" s="82"/>
      <c r="G760" s="82"/>
      <c r="H760" s="83">
        <f>Source!AM163</f>
        <v>53.82</v>
      </c>
      <c r="I760" s="84">
        <f>ROUND(1.25*1.15,7)</f>
        <v>1.4375</v>
      </c>
      <c r="J760" s="85">
        <f>ROUND(Source!AD163*Source!I163, 2)</f>
        <v>109.24</v>
      </c>
      <c r="K760" s="84"/>
      <c r="L760" s="86"/>
    </row>
    <row r="761" spans="1:56" ht="14.4">
      <c r="A761" s="110"/>
      <c r="B761" s="112">
        <v>2</v>
      </c>
      <c r="C761" s="111" t="s">
        <v>1375</v>
      </c>
      <c r="D761" s="81"/>
      <c r="E761" s="82"/>
      <c r="F761" s="82"/>
      <c r="G761" s="82"/>
      <c r="H761" s="83">
        <f>Source!AN163</f>
        <v>18.3</v>
      </c>
      <c r="I761" s="84">
        <f>ROUND(1.25*1.15,7)</f>
        <v>1.4375</v>
      </c>
      <c r="J761" s="87">
        <f>ROUND(Source!AE163*Source!I163, 2)</f>
        <v>37.14</v>
      </c>
      <c r="K761" s="84">
        <f>IF(Source!BS163&lt;&gt; 0, Source!BS163, 1)</f>
        <v>24.22</v>
      </c>
      <c r="L761" s="88">
        <f>Source!HI163</f>
        <v>900</v>
      </c>
    </row>
    <row r="762" spans="1:56" ht="14.4">
      <c r="A762" s="110"/>
      <c r="B762" s="112">
        <v>4</v>
      </c>
      <c r="C762" s="111" t="s">
        <v>1408</v>
      </c>
      <c r="D762" s="81"/>
      <c r="E762" s="82"/>
      <c r="F762" s="82"/>
      <c r="G762" s="82"/>
      <c r="H762" s="83">
        <f>Source!AL163</f>
        <v>2580.87</v>
      </c>
      <c r="I762" s="84"/>
      <c r="J762" s="85">
        <f>ROUND(Source!AC163*Source!I163, 2)</f>
        <v>3644.19</v>
      </c>
      <c r="K762" s="84"/>
      <c r="L762" s="86"/>
    </row>
    <row r="763" spans="1:56" ht="14.4">
      <c r="A763" s="110"/>
      <c r="B763" s="111"/>
      <c r="C763" s="111" t="s">
        <v>1376</v>
      </c>
      <c r="D763" s="81" t="s">
        <v>1377</v>
      </c>
      <c r="E763" s="82">
        <f>Source!AQ163</f>
        <v>129.94999999999999</v>
      </c>
      <c r="F763" s="82">
        <f>ROUND(1.15*1.15,7)</f>
        <v>1.3225</v>
      </c>
      <c r="G763" s="82">
        <f>ROUND(Source!U163, 7)</f>
        <v>242.66473149999999</v>
      </c>
      <c r="H763" s="83"/>
      <c r="I763" s="84"/>
      <c r="J763" s="85"/>
      <c r="K763" s="84"/>
      <c r="L763" s="86"/>
    </row>
    <row r="764" spans="1:56" ht="14.4">
      <c r="A764" s="110"/>
      <c r="B764" s="111"/>
      <c r="C764" s="113" t="s">
        <v>1378</v>
      </c>
      <c r="D764" s="89" t="s">
        <v>1377</v>
      </c>
      <c r="E764" s="90">
        <f>Source!AR163</f>
        <v>1.44</v>
      </c>
      <c r="F764" s="90">
        <f>ROUND(1.25*1.15,7)</f>
        <v>1.4375</v>
      </c>
      <c r="G764" s="90">
        <f>ROUND(Source!V163, 7)</f>
        <v>2.9228399999999999</v>
      </c>
      <c r="H764" s="91"/>
      <c r="I764" s="92"/>
      <c r="J764" s="93"/>
      <c r="K764" s="92"/>
      <c r="L764" s="94"/>
    </row>
    <row r="765" spans="1:56" ht="14.4">
      <c r="A765" s="110"/>
      <c r="B765" s="111"/>
      <c r="C765" s="111" t="s">
        <v>1379</v>
      </c>
      <c r="D765" s="81"/>
      <c r="E765" s="82"/>
      <c r="F765" s="82"/>
      <c r="G765" s="82"/>
      <c r="H765" s="83">
        <f>H759+H760+H762</f>
        <v>3786.0499999999997</v>
      </c>
      <c r="I765" s="84"/>
      <c r="J765" s="85">
        <f>J759+J760+J762</f>
        <v>5903.45</v>
      </c>
      <c r="K765" s="84"/>
      <c r="L765" s="86"/>
    </row>
    <row r="766" spans="1:56" ht="14.4">
      <c r="A766" s="110"/>
      <c r="B766" s="111"/>
      <c r="C766" s="111" t="s">
        <v>1380</v>
      </c>
      <c r="D766" s="81"/>
      <c r="E766" s="82"/>
      <c r="F766" s="82"/>
      <c r="G766" s="82"/>
      <c r="H766" s="83"/>
      <c r="I766" s="84"/>
      <c r="J766" s="85">
        <f>SUM(Q756:Q769)+SUM(V756:V769)</f>
        <v>2187.16</v>
      </c>
      <c r="K766" s="84"/>
      <c r="L766" s="86">
        <f>SUM(U756:U769)+SUM(W756:W769)</f>
        <v>52973</v>
      </c>
    </row>
    <row r="767" spans="1:56" ht="14.4">
      <c r="A767" s="110"/>
      <c r="B767" s="111" t="s">
        <v>1414</v>
      </c>
      <c r="C767" s="111" t="s">
        <v>1415</v>
      </c>
      <c r="D767" s="81" t="s">
        <v>1383</v>
      </c>
      <c r="E767" s="82">
        <f>Source!BZ163</f>
        <v>100</v>
      </c>
      <c r="F767" s="82">
        <f>ROUND(0.9,7)</f>
        <v>0.9</v>
      </c>
      <c r="G767" s="82">
        <f>Source!AT163</f>
        <v>90</v>
      </c>
      <c r="H767" s="83"/>
      <c r="I767" s="84"/>
      <c r="J767" s="85">
        <f>SUM(AC756:AC769)</f>
        <v>1968.44</v>
      </c>
      <c r="K767" s="84"/>
      <c r="L767" s="86">
        <f>SUM(AD756:AD769)</f>
        <v>47676</v>
      </c>
    </row>
    <row r="768" spans="1:56" ht="14.4">
      <c r="A768" s="114"/>
      <c r="B768" s="113" t="s">
        <v>1416</v>
      </c>
      <c r="C768" s="113" t="s">
        <v>1417</v>
      </c>
      <c r="D768" s="89" t="s">
        <v>1383</v>
      </c>
      <c r="E768" s="90">
        <f>Source!CA163</f>
        <v>49</v>
      </c>
      <c r="F768" s="90">
        <f>ROUND(0.85,7)</f>
        <v>0.85</v>
      </c>
      <c r="G768" s="90">
        <f>Source!AU163</f>
        <v>41.65</v>
      </c>
      <c r="H768" s="91"/>
      <c r="I768" s="92"/>
      <c r="J768" s="93">
        <f>SUM(AE756:AE769)</f>
        <v>910.95</v>
      </c>
      <c r="K768" s="92"/>
      <c r="L768" s="94">
        <f>SUM(AF756:AF769)</f>
        <v>22063</v>
      </c>
    </row>
    <row r="769" spans="1:56" ht="13.8">
      <c r="C769" s="95" t="s">
        <v>1386</v>
      </c>
      <c r="D769" s="95"/>
      <c r="E769" s="95"/>
      <c r="F769" s="95"/>
      <c r="G769" s="95"/>
      <c r="H769" s="95"/>
      <c r="I769" s="95">
        <f>J759+J760+J762+J767+J768</f>
        <v>8782.84</v>
      </c>
      <c r="J769" s="95"/>
      <c r="O769" s="69">
        <f>I769</f>
        <v>8782.84</v>
      </c>
      <c r="P769">
        <f>K769</f>
        <v>0</v>
      </c>
      <c r="Q769" s="69">
        <f>J759</f>
        <v>2150.02</v>
      </c>
      <c r="R769" s="69">
        <f>J759</f>
        <v>2150.02</v>
      </c>
      <c r="U769" s="70">
        <f>L759</f>
        <v>52073</v>
      </c>
      <c r="V769" s="69">
        <f>J761</f>
        <v>37.14</v>
      </c>
      <c r="W769" s="70">
        <f>L761</f>
        <v>900</v>
      </c>
      <c r="X769" s="69">
        <f>J760</f>
        <v>109.24</v>
      </c>
      <c r="Z769" s="70">
        <f>L760</f>
        <v>0</v>
      </c>
      <c r="AB769" s="69">
        <f>J762</f>
        <v>3644.19</v>
      </c>
      <c r="AN769">
        <f>IF(Source!BI163&lt;=1,J759+J760+J762+J767+J768, 0)</f>
        <v>8782.84</v>
      </c>
      <c r="AO769">
        <f>IF(Source!BI163&lt;=1,J762, 0)</f>
        <v>3644.19</v>
      </c>
      <c r="AP769">
        <f>IF(Source!BI163&lt;=1,J760, 0)</f>
        <v>109.24</v>
      </c>
      <c r="AQ769">
        <f>IF(Source!BI163&lt;=1,J759, 0)</f>
        <v>2150.02</v>
      </c>
      <c r="AX769">
        <f>IF(Source!BI163=2,J759+J760+J762+J767+J768, 0)</f>
        <v>0</v>
      </c>
      <c r="AY769">
        <f>IF(Source!BI163=2,J762, 0)</f>
        <v>0</v>
      </c>
      <c r="AZ769">
        <f>IF(Source!BI163=2,J760, 0)</f>
        <v>0</v>
      </c>
      <c r="BA769">
        <f>IF(Source!BI163=2,J759, 0)</f>
        <v>0</v>
      </c>
    </row>
    <row r="770" spans="1:56" ht="160.80000000000001">
      <c r="A770" s="110" t="str">
        <f>Source!E164</f>
        <v>90</v>
      </c>
      <c r="B770" s="111" t="str">
        <f>Source!F164</f>
        <v>15-04-027-5</v>
      </c>
      <c r="C770" s="111" t="s">
        <v>1458</v>
      </c>
      <c r="D770" s="81" t="str">
        <f>Source!H164</f>
        <v>100 м2 окрашиваемой поверхности</v>
      </c>
      <c r="E770" s="82">
        <f>Source!K164</f>
        <v>0.47199999999999998</v>
      </c>
      <c r="F770" s="82"/>
      <c r="G770" s="82">
        <f>Source!I164</f>
        <v>0.47199999999999998</v>
      </c>
      <c r="H770" s="83"/>
      <c r="I770" s="84"/>
      <c r="J770" s="85"/>
      <c r="K770" s="84"/>
      <c r="L770" s="86"/>
      <c r="AC770">
        <f>Source!X164</f>
        <v>61.92</v>
      </c>
      <c r="AD770">
        <f>Source!HK164</f>
        <v>1499</v>
      </c>
      <c r="AE770">
        <f>Source!Y164</f>
        <v>28.66</v>
      </c>
      <c r="AF770">
        <f>Source!HL164</f>
        <v>694</v>
      </c>
      <c r="AS770">
        <f>IF(Source!BI164&lt;=1,AD770, 0)</f>
        <v>1499</v>
      </c>
      <c r="AT770">
        <f>IF(Source!BI164&lt;=1,AF770, 0)</f>
        <v>694</v>
      </c>
      <c r="BC770">
        <f>IF(Source!BI164=2,AD770, 0)</f>
        <v>0</v>
      </c>
      <c r="BD770">
        <f>IF(Source!BI164=2,AF770, 0)</f>
        <v>0</v>
      </c>
    </row>
    <row r="772" spans="1:56">
      <c r="C772" s="67" t="str">
        <f>"Объем: "&amp;Source!K164&amp;"=11,8*"&amp;"4/"&amp;"100"</f>
        <v>Объем: 0,472=11,8*4/100</v>
      </c>
    </row>
    <row r="773" spans="1:56" ht="14.4">
      <c r="A773" s="110"/>
      <c r="B773" s="112">
        <v>1</v>
      </c>
      <c r="C773" s="111" t="s">
        <v>1373</v>
      </c>
      <c r="D773" s="81"/>
      <c r="E773" s="82"/>
      <c r="F773" s="82"/>
      <c r="G773" s="82"/>
      <c r="H773" s="83">
        <f>Source!AO164</f>
        <v>110.07</v>
      </c>
      <c r="I773" s="84">
        <f>ROUND(1.15*1.15,7)</f>
        <v>1.3225</v>
      </c>
      <c r="J773" s="85">
        <f>ROUND(Source!AF164*Source!I164, 2)</f>
        <v>68.709999999999994</v>
      </c>
      <c r="K773" s="84">
        <f>IF(Source!BA164&lt;&gt; 0, Source!BA164, 1)</f>
        <v>24.22</v>
      </c>
      <c r="L773" s="86">
        <f>Source!HJ164</f>
        <v>1664</v>
      </c>
    </row>
    <row r="774" spans="1:56" ht="14.4">
      <c r="A774" s="110"/>
      <c r="B774" s="112">
        <v>3</v>
      </c>
      <c r="C774" s="111" t="s">
        <v>1374</v>
      </c>
      <c r="D774" s="81"/>
      <c r="E774" s="82"/>
      <c r="F774" s="82"/>
      <c r="G774" s="82"/>
      <c r="H774" s="83">
        <f>Source!AM164</f>
        <v>3.06</v>
      </c>
      <c r="I774" s="84">
        <f>ROUND(1.25*1.15,7)</f>
        <v>1.4375</v>
      </c>
      <c r="J774" s="85">
        <f>ROUND(Source!AD164*Source!I164, 2)</f>
        <v>2.08</v>
      </c>
      <c r="K774" s="84"/>
      <c r="L774" s="86"/>
    </row>
    <row r="775" spans="1:56" ht="14.4">
      <c r="A775" s="110"/>
      <c r="B775" s="112">
        <v>2</v>
      </c>
      <c r="C775" s="111" t="s">
        <v>1375</v>
      </c>
      <c r="D775" s="81"/>
      <c r="E775" s="82"/>
      <c r="F775" s="82"/>
      <c r="G775" s="82"/>
      <c r="H775" s="83">
        <f>Source!AN164</f>
        <v>0.13</v>
      </c>
      <c r="I775" s="84">
        <f>ROUND(1.25*1.15,7)</f>
        <v>1.4375</v>
      </c>
      <c r="J775" s="87">
        <f>ROUND(Source!AE164*Source!I164, 2)</f>
        <v>0.09</v>
      </c>
      <c r="K775" s="84">
        <f>IF(Source!BS164&lt;&gt; 0, Source!BS164, 1)</f>
        <v>24.22</v>
      </c>
      <c r="L775" s="88">
        <f>Source!HI164</f>
        <v>2</v>
      </c>
    </row>
    <row r="776" spans="1:56" ht="14.4">
      <c r="A776" s="110"/>
      <c r="B776" s="112">
        <v>4</v>
      </c>
      <c r="C776" s="111" t="s">
        <v>1408</v>
      </c>
      <c r="D776" s="81"/>
      <c r="E776" s="82"/>
      <c r="F776" s="82"/>
      <c r="G776" s="82"/>
      <c r="H776" s="83">
        <f>Source!AL164</f>
        <v>414.61</v>
      </c>
      <c r="I776" s="84"/>
      <c r="J776" s="85">
        <f>ROUND(Source!AC164*Source!I164, 2)</f>
        <v>195.7</v>
      </c>
      <c r="K776" s="84"/>
      <c r="L776" s="86"/>
    </row>
    <row r="777" spans="1:56" ht="14.4">
      <c r="A777" s="110"/>
      <c r="B777" s="111"/>
      <c r="C777" s="111" t="s">
        <v>1376</v>
      </c>
      <c r="D777" s="81" t="s">
        <v>1377</v>
      </c>
      <c r="E777" s="82">
        <f>Source!AQ164</f>
        <v>11.99</v>
      </c>
      <c r="F777" s="82">
        <f>ROUND(1.15*1.15,7)</f>
        <v>1.3225</v>
      </c>
      <c r="G777" s="82">
        <f>ROUND(Source!U164, 7)</f>
        <v>7.4843978</v>
      </c>
      <c r="H777" s="83"/>
      <c r="I777" s="84"/>
      <c r="J777" s="85"/>
      <c r="K777" s="84"/>
      <c r="L777" s="86"/>
    </row>
    <row r="778" spans="1:56" ht="14.4">
      <c r="A778" s="110"/>
      <c r="B778" s="111"/>
      <c r="C778" s="113" t="s">
        <v>1378</v>
      </c>
      <c r="D778" s="89" t="s">
        <v>1377</v>
      </c>
      <c r="E778" s="90">
        <f>Source!AR164</f>
        <v>0.01</v>
      </c>
      <c r="F778" s="90">
        <f>ROUND(1.25*1.15,7)</f>
        <v>1.4375</v>
      </c>
      <c r="G778" s="90">
        <f>ROUND(Source!V164, 7)</f>
        <v>6.7850000000000002E-3</v>
      </c>
      <c r="H778" s="91"/>
      <c r="I778" s="92"/>
      <c r="J778" s="93"/>
      <c r="K778" s="92"/>
      <c r="L778" s="94"/>
    </row>
    <row r="779" spans="1:56" ht="14.4">
      <c r="A779" s="110"/>
      <c r="B779" s="111"/>
      <c r="C779" s="111" t="s">
        <v>1379</v>
      </c>
      <c r="D779" s="81"/>
      <c r="E779" s="82"/>
      <c r="F779" s="82"/>
      <c r="G779" s="82"/>
      <c r="H779" s="83">
        <f>H773+H774+H776</f>
        <v>527.74</v>
      </c>
      <c r="I779" s="84"/>
      <c r="J779" s="85">
        <f>J773+J774+J776</f>
        <v>266.49</v>
      </c>
      <c r="K779" s="84"/>
      <c r="L779" s="86"/>
    </row>
    <row r="780" spans="1:56" ht="14.4">
      <c r="A780" s="110"/>
      <c r="B780" s="111"/>
      <c r="C780" s="111" t="s">
        <v>1380</v>
      </c>
      <c r="D780" s="81"/>
      <c r="E780" s="82"/>
      <c r="F780" s="82"/>
      <c r="G780" s="82"/>
      <c r="H780" s="83"/>
      <c r="I780" s="84"/>
      <c r="J780" s="85">
        <f>SUM(Q770:Q783)+SUM(V770:V783)</f>
        <v>68.8</v>
      </c>
      <c r="K780" s="84"/>
      <c r="L780" s="86">
        <f>SUM(U770:U783)+SUM(W770:W783)</f>
        <v>1666</v>
      </c>
    </row>
    <row r="781" spans="1:56" ht="14.4">
      <c r="A781" s="110"/>
      <c r="B781" s="111" t="s">
        <v>1414</v>
      </c>
      <c r="C781" s="111" t="s">
        <v>1415</v>
      </c>
      <c r="D781" s="81" t="s">
        <v>1383</v>
      </c>
      <c r="E781" s="82">
        <f>Source!BZ164</f>
        <v>100</v>
      </c>
      <c r="F781" s="82">
        <f>ROUND(0.9,7)</f>
        <v>0.9</v>
      </c>
      <c r="G781" s="82">
        <f>Source!AT164</f>
        <v>90</v>
      </c>
      <c r="H781" s="83"/>
      <c r="I781" s="84"/>
      <c r="J781" s="85">
        <f>SUM(AC770:AC783)</f>
        <v>61.92</v>
      </c>
      <c r="K781" s="84"/>
      <c r="L781" s="86">
        <f>SUM(AD770:AD783)</f>
        <v>1499</v>
      </c>
    </row>
    <row r="782" spans="1:56" ht="14.4">
      <c r="A782" s="114"/>
      <c r="B782" s="113" t="s">
        <v>1416</v>
      </c>
      <c r="C782" s="113" t="s">
        <v>1417</v>
      </c>
      <c r="D782" s="89" t="s">
        <v>1383</v>
      </c>
      <c r="E782" s="90">
        <f>Source!CA164</f>
        <v>49</v>
      </c>
      <c r="F782" s="90">
        <f>ROUND(0.85,7)</f>
        <v>0.85</v>
      </c>
      <c r="G782" s="90">
        <f>Source!AU164</f>
        <v>41.65</v>
      </c>
      <c r="H782" s="91"/>
      <c r="I782" s="92"/>
      <c r="J782" s="93">
        <f>SUM(AE770:AE783)</f>
        <v>28.66</v>
      </c>
      <c r="K782" s="92"/>
      <c r="L782" s="94">
        <f>SUM(AF770:AF783)</f>
        <v>694</v>
      </c>
    </row>
    <row r="783" spans="1:56" ht="13.8">
      <c r="C783" s="95" t="s">
        <v>1386</v>
      </c>
      <c r="D783" s="95"/>
      <c r="E783" s="95"/>
      <c r="F783" s="95"/>
      <c r="G783" s="95"/>
      <c r="H783" s="95"/>
      <c r="I783" s="95">
        <f>J773+J774+J776+J781+J782</f>
        <v>357.07000000000005</v>
      </c>
      <c r="J783" s="95"/>
      <c r="O783" s="69">
        <f>I783</f>
        <v>357.07000000000005</v>
      </c>
      <c r="P783">
        <f>K783</f>
        <v>0</v>
      </c>
      <c r="Q783" s="69">
        <f>J773</f>
        <v>68.709999999999994</v>
      </c>
      <c r="R783" s="69">
        <f>J773</f>
        <v>68.709999999999994</v>
      </c>
      <c r="U783" s="70">
        <f>L773</f>
        <v>1664</v>
      </c>
      <c r="V783" s="69">
        <f>J775</f>
        <v>0.09</v>
      </c>
      <c r="W783" s="70">
        <f>L775</f>
        <v>2</v>
      </c>
      <c r="X783" s="69">
        <f>J774</f>
        <v>2.08</v>
      </c>
      <c r="Z783" s="70">
        <f>L774</f>
        <v>0</v>
      </c>
      <c r="AB783" s="69">
        <f>J776</f>
        <v>195.7</v>
      </c>
      <c r="AN783">
        <f>IF(Source!BI164&lt;=1,J773+J774+J776+J781+J782, 0)</f>
        <v>357.07000000000005</v>
      </c>
      <c r="AO783">
        <f>IF(Source!BI164&lt;=1,J776, 0)</f>
        <v>195.7</v>
      </c>
      <c r="AP783">
        <f>IF(Source!BI164&lt;=1,J774, 0)</f>
        <v>2.08</v>
      </c>
      <c r="AQ783">
        <f>IF(Source!BI164&lt;=1,J773, 0)</f>
        <v>68.709999999999994</v>
      </c>
      <c r="AX783">
        <f>IF(Source!BI164=2,J773+J774+J776+J781+J782, 0)</f>
        <v>0</v>
      </c>
      <c r="AY783">
        <f>IF(Source!BI164=2,J776, 0)</f>
        <v>0</v>
      </c>
      <c r="AZ783">
        <f>IF(Source!BI164=2,J774, 0)</f>
        <v>0</v>
      </c>
      <c r="BA783">
        <f>IF(Source!BI164=2,J773, 0)</f>
        <v>0</v>
      </c>
    </row>
    <row r="784" spans="1:56" ht="188.4">
      <c r="A784" s="110" t="str">
        <f>Source!E165</f>
        <v>91</v>
      </c>
      <c r="B784" s="111" t="str">
        <f>Source!F165</f>
        <v>15-01-019-5</v>
      </c>
      <c r="C784" s="111" t="s">
        <v>1463</v>
      </c>
      <c r="D784" s="81" t="str">
        <f>Source!H165</f>
        <v>100 м2 поверхности облицовки</v>
      </c>
      <c r="E784" s="82">
        <f>Source!K165</f>
        <v>0.94</v>
      </c>
      <c r="F784" s="82"/>
      <c r="G784" s="82">
        <f>Source!I165</f>
        <v>0.94</v>
      </c>
      <c r="H784" s="83"/>
      <c r="I784" s="84"/>
      <c r="J784" s="85"/>
      <c r="K784" s="84"/>
      <c r="L784" s="86"/>
      <c r="AC784">
        <f>Source!X165</f>
        <v>1603.36</v>
      </c>
      <c r="AD784">
        <f>Source!HK165</f>
        <v>38833</v>
      </c>
      <c r="AE784">
        <f>Source!Y165</f>
        <v>742</v>
      </c>
      <c r="AF784">
        <f>Source!HL165</f>
        <v>17971</v>
      </c>
      <c r="AS784">
        <f>IF(Source!BI165&lt;=1,AD784, 0)</f>
        <v>38833</v>
      </c>
      <c r="AT784">
        <f>IF(Source!BI165&lt;=1,AF784, 0)</f>
        <v>17971</v>
      </c>
      <c r="BC784">
        <f>IF(Source!BI165=2,AD784, 0)</f>
        <v>0</v>
      </c>
      <c r="BD784">
        <f>IF(Source!BI165=2,AF784, 0)</f>
        <v>0</v>
      </c>
    </row>
    <row r="786" spans="1:56">
      <c r="C786" s="67" t="str">
        <f>"Объем: "&amp;Source!K165&amp;"=23,5*"&amp;"4/"&amp;"100"</f>
        <v>Объем: 0,94=23,5*4/100</v>
      </c>
    </row>
    <row r="787" spans="1:56" ht="14.4">
      <c r="A787" s="110"/>
      <c r="B787" s="112">
        <v>1</v>
      </c>
      <c r="C787" s="111" t="s">
        <v>1373</v>
      </c>
      <c r="D787" s="81"/>
      <c r="E787" s="82"/>
      <c r="F787" s="82"/>
      <c r="G787" s="82"/>
      <c r="H787" s="83">
        <f>Source!AO165</f>
        <v>1414.68</v>
      </c>
      <c r="I787" s="84">
        <f>ROUND(1.15*1.15,7)</f>
        <v>1.3225</v>
      </c>
      <c r="J787" s="85">
        <f>ROUND(Source!AF165*Source!I165, 2)</f>
        <v>1758.66</v>
      </c>
      <c r="K787" s="84">
        <f>IF(Source!BA165&lt;&gt; 0, Source!BA165, 1)</f>
        <v>24.22</v>
      </c>
      <c r="L787" s="86">
        <f>Source!HJ165</f>
        <v>42595</v>
      </c>
    </row>
    <row r="788" spans="1:56" ht="14.4">
      <c r="A788" s="110"/>
      <c r="B788" s="112">
        <v>3</v>
      </c>
      <c r="C788" s="111" t="s">
        <v>1374</v>
      </c>
      <c r="D788" s="81"/>
      <c r="E788" s="82"/>
      <c r="F788" s="82"/>
      <c r="G788" s="82"/>
      <c r="H788" s="83">
        <f>Source!AM165</f>
        <v>31.82</v>
      </c>
      <c r="I788" s="84">
        <f>ROUND(1.25*1.15,7)</f>
        <v>1.4375</v>
      </c>
      <c r="J788" s="85">
        <f>ROUND(Source!AD165*Source!I165, 2)</f>
        <v>43</v>
      </c>
      <c r="K788" s="84"/>
      <c r="L788" s="86"/>
    </row>
    <row r="789" spans="1:56" ht="14.4">
      <c r="A789" s="110"/>
      <c r="B789" s="112">
        <v>2</v>
      </c>
      <c r="C789" s="111" t="s">
        <v>1375</v>
      </c>
      <c r="D789" s="81"/>
      <c r="E789" s="82"/>
      <c r="F789" s="82"/>
      <c r="G789" s="82"/>
      <c r="H789" s="83">
        <f>Source!AN165</f>
        <v>16.91</v>
      </c>
      <c r="I789" s="84">
        <f>ROUND(1.25*1.15,7)</f>
        <v>1.4375</v>
      </c>
      <c r="J789" s="87">
        <f>ROUND(Source!AE165*Source!I165, 2)</f>
        <v>22.85</v>
      </c>
      <c r="K789" s="84">
        <f>IF(Source!BS165&lt;&gt; 0, Source!BS165, 1)</f>
        <v>24.22</v>
      </c>
      <c r="L789" s="88">
        <f>Source!HI165</f>
        <v>553</v>
      </c>
    </row>
    <row r="790" spans="1:56" ht="14.4">
      <c r="A790" s="110"/>
      <c r="B790" s="112">
        <v>4</v>
      </c>
      <c r="C790" s="111" t="s">
        <v>1408</v>
      </c>
      <c r="D790" s="81"/>
      <c r="E790" s="82"/>
      <c r="F790" s="82"/>
      <c r="G790" s="82"/>
      <c r="H790" s="83">
        <f>Source!AL165</f>
        <v>9505.65</v>
      </c>
      <c r="I790" s="84"/>
      <c r="J790" s="85">
        <f>ROUND(Source!AC165*Source!I165, 2)</f>
        <v>8935.31</v>
      </c>
      <c r="K790" s="84"/>
      <c r="L790" s="86"/>
    </row>
    <row r="791" spans="1:56" ht="14.4">
      <c r="A791" s="110"/>
      <c r="B791" s="111"/>
      <c r="C791" s="111" t="s">
        <v>1376</v>
      </c>
      <c r="D791" s="81" t="s">
        <v>1377</v>
      </c>
      <c r="E791" s="82">
        <f>Source!AQ165</f>
        <v>159.66999999999999</v>
      </c>
      <c r="F791" s="82">
        <f>ROUND(1.15*1.15,7)</f>
        <v>1.3225</v>
      </c>
      <c r="G791" s="82">
        <f>ROUND(Source!U165, 7)</f>
        <v>198.49376050000001</v>
      </c>
      <c r="H791" s="83"/>
      <c r="I791" s="84"/>
      <c r="J791" s="85"/>
      <c r="K791" s="84"/>
      <c r="L791" s="86"/>
    </row>
    <row r="792" spans="1:56" ht="14.4">
      <c r="A792" s="110"/>
      <c r="B792" s="111"/>
      <c r="C792" s="113" t="s">
        <v>1378</v>
      </c>
      <c r="D792" s="89" t="s">
        <v>1377</v>
      </c>
      <c r="E792" s="90">
        <f>Source!AR165</f>
        <v>1.65</v>
      </c>
      <c r="F792" s="90">
        <f>ROUND(1.25*1.15,7)</f>
        <v>1.4375</v>
      </c>
      <c r="G792" s="90">
        <f>ROUND(Source!V165, 7)</f>
        <v>2.2295625000000001</v>
      </c>
      <c r="H792" s="91"/>
      <c r="I792" s="92"/>
      <c r="J792" s="93"/>
      <c r="K792" s="92"/>
      <c r="L792" s="94"/>
    </row>
    <row r="793" spans="1:56" ht="14.4">
      <c r="A793" s="110"/>
      <c r="B793" s="111"/>
      <c r="C793" s="111" t="s">
        <v>1379</v>
      </c>
      <c r="D793" s="81"/>
      <c r="E793" s="82"/>
      <c r="F793" s="82"/>
      <c r="G793" s="82"/>
      <c r="H793" s="83">
        <f>H787+H788+H790</f>
        <v>10952.15</v>
      </c>
      <c r="I793" s="84"/>
      <c r="J793" s="85">
        <f>J787+J788+J790</f>
        <v>10736.97</v>
      </c>
      <c r="K793" s="84"/>
      <c r="L793" s="86"/>
    </row>
    <row r="794" spans="1:56" ht="14.4">
      <c r="A794" s="110"/>
      <c r="B794" s="111"/>
      <c r="C794" s="111" t="s">
        <v>1380</v>
      </c>
      <c r="D794" s="81"/>
      <c r="E794" s="82"/>
      <c r="F794" s="82"/>
      <c r="G794" s="82"/>
      <c r="H794" s="83"/>
      <c r="I794" s="84"/>
      <c r="J794" s="85">
        <f>SUM(Q784:Q797)+SUM(V784:V797)</f>
        <v>1781.51</v>
      </c>
      <c r="K794" s="84"/>
      <c r="L794" s="86">
        <f>SUM(U784:U797)+SUM(W784:W797)</f>
        <v>43148</v>
      </c>
    </row>
    <row r="795" spans="1:56" ht="14.4">
      <c r="A795" s="110"/>
      <c r="B795" s="111" t="s">
        <v>1414</v>
      </c>
      <c r="C795" s="111" t="s">
        <v>1415</v>
      </c>
      <c r="D795" s="81" t="s">
        <v>1383</v>
      </c>
      <c r="E795" s="82">
        <f>Source!BZ165</f>
        <v>100</v>
      </c>
      <c r="F795" s="82">
        <f>ROUND(0.9,7)</f>
        <v>0.9</v>
      </c>
      <c r="G795" s="82">
        <f>Source!AT165</f>
        <v>90</v>
      </c>
      <c r="H795" s="83"/>
      <c r="I795" s="84"/>
      <c r="J795" s="85">
        <f>SUM(AC784:AC797)</f>
        <v>1603.36</v>
      </c>
      <c r="K795" s="84"/>
      <c r="L795" s="86">
        <f>SUM(AD784:AD797)</f>
        <v>38833</v>
      </c>
    </row>
    <row r="796" spans="1:56" ht="14.4">
      <c r="A796" s="114"/>
      <c r="B796" s="113" t="s">
        <v>1416</v>
      </c>
      <c r="C796" s="113" t="s">
        <v>1417</v>
      </c>
      <c r="D796" s="89" t="s">
        <v>1383</v>
      </c>
      <c r="E796" s="90">
        <f>Source!CA165</f>
        <v>49</v>
      </c>
      <c r="F796" s="90">
        <f>ROUND(0.85,7)</f>
        <v>0.85</v>
      </c>
      <c r="G796" s="90">
        <f>Source!AU165</f>
        <v>41.65</v>
      </c>
      <c r="H796" s="91"/>
      <c r="I796" s="92"/>
      <c r="J796" s="93">
        <f>SUM(AE784:AE797)</f>
        <v>742</v>
      </c>
      <c r="K796" s="92"/>
      <c r="L796" s="94">
        <f>SUM(AF784:AF797)</f>
        <v>17971</v>
      </c>
    </row>
    <row r="797" spans="1:56" ht="13.8">
      <c r="C797" s="95" t="s">
        <v>1386</v>
      </c>
      <c r="D797" s="95"/>
      <c r="E797" s="95"/>
      <c r="F797" s="95"/>
      <c r="G797" s="95"/>
      <c r="H797" s="95"/>
      <c r="I797" s="95">
        <f>J787+J788+J790+J795+J796</f>
        <v>13082.33</v>
      </c>
      <c r="J797" s="95"/>
      <c r="O797" s="69">
        <f>I797</f>
        <v>13082.33</v>
      </c>
      <c r="P797">
        <f>K797</f>
        <v>0</v>
      </c>
      <c r="Q797" s="69">
        <f>J787</f>
        <v>1758.66</v>
      </c>
      <c r="R797" s="69">
        <f>J787</f>
        <v>1758.66</v>
      </c>
      <c r="U797" s="70">
        <f>L787</f>
        <v>42595</v>
      </c>
      <c r="V797" s="69">
        <f>J789</f>
        <v>22.85</v>
      </c>
      <c r="W797" s="70">
        <f>L789</f>
        <v>553</v>
      </c>
      <c r="X797" s="69">
        <f>J788</f>
        <v>43</v>
      </c>
      <c r="Z797" s="70">
        <f>L788</f>
        <v>0</v>
      </c>
      <c r="AB797" s="69">
        <f>J790</f>
        <v>8935.31</v>
      </c>
      <c r="AN797">
        <f>IF(Source!BI165&lt;=1,J787+J788+J790+J795+J796, 0)</f>
        <v>13082.33</v>
      </c>
      <c r="AO797">
        <f>IF(Source!BI165&lt;=1,J790, 0)</f>
        <v>8935.31</v>
      </c>
      <c r="AP797">
        <f>IF(Source!BI165&lt;=1,J788, 0)</f>
        <v>43</v>
      </c>
      <c r="AQ797">
        <f>IF(Source!BI165&lt;=1,J787, 0)</f>
        <v>1758.66</v>
      </c>
      <c r="AX797">
        <f>IF(Source!BI165=2,J787+J788+J790+J795+J796, 0)</f>
        <v>0</v>
      </c>
      <c r="AY797">
        <f>IF(Source!BI165=2,J790, 0)</f>
        <v>0</v>
      </c>
      <c r="AZ797">
        <f>IF(Source!BI165=2,J788, 0)</f>
        <v>0</v>
      </c>
      <c r="BA797">
        <f>IF(Source!BI165=2,J787, 0)</f>
        <v>0</v>
      </c>
    </row>
    <row r="798" spans="1:56" ht="147">
      <c r="A798" s="110" t="str">
        <f>Source!E166</f>
        <v>92</v>
      </c>
      <c r="B798" s="111" t="str">
        <f>Source!F166</f>
        <v>15-04-005-7</v>
      </c>
      <c r="C798" s="111" t="s">
        <v>1459</v>
      </c>
      <c r="D798" s="81" t="str">
        <f>Source!H166</f>
        <v>100 м2 окрашиваемой поверхности</v>
      </c>
      <c r="E798" s="82">
        <f>Source!K166</f>
        <v>0.47199999999999998</v>
      </c>
      <c r="F798" s="82"/>
      <c r="G798" s="82">
        <f>Source!I166</f>
        <v>0.47199999999999998</v>
      </c>
      <c r="H798" s="83"/>
      <c r="I798" s="84"/>
      <c r="J798" s="85"/>
      <c r="K798" s="84"/>
      <c r="L798" s="86"/>
      <c r="AC798">
        <f>Source!X166</f>
        <v>359.05</v>
      </c>
      <c r="AD798">
        <f>Source!HK166</f>
        <v>8696</v>
      </c>
      <c r="AE798">
        <f>Source!Y166</f>
        <v>166.16</v>
      </c>
      <c r="AF798">
        <f>Source!HL166</f>
        <v>4024</v>
      </c>
      <c r="AS798">
        <f>IF(Source!BI166&lt;=1,AD798, 0)</f>
        <v>8696</v>
      </c>
      <c r="AT798">
        <f>IF(Source!BI166&lt;=1,AF798, 0)</f>
        <v>4024</v>
      </c>
      <c r="BC798">
        <f>IF(Source!BI166=2,AD798, 0)</f>
        <v>0</v>
      </c>
      <c r="BD798">
        <f>IF(Source!BI166=2,AF798, 0)</f>
        <v>0</v>
      </c>
    </row>
    <row r="800" spans="1:56">
      <c r="C800" s="67" t="str">
        <f>"Объем: "&amp;Source!K166&amp;"=47,2/"&amp;"100"</f>
        <v>Объем: 0,472=47,2/100</v>
      </c>
    </row>
    <row r="801" spans="1:56" ht="14.4">
      <c r="A801" s="110"/>
      <c r="B801" s="112">
        <v>1</v>
      </c>
      <c r="C801" s="111" t="s">
        <v>1373</v>
      </c>
      <c r="D801" s="81"/>
      <c r="E801" s="82"/>
      <c r="F801" s="82"/>
      <c r="G801" s="82"/>
      <c r="H801" s="83">
        <f>Source!AO166</f>
        <v>638.69000000000005</v>
      </c>
      <c r="I801" s="84">
        <f>ROUND(1.15*1.15,7)</f>
        <v>1.3225</v>
      </c>
      <c r="J801" s="85">
        <f>ROUND(Source!AF166*Source!I166, 2)</f>
        <v>398.68</v>
      </c>
      <c r="K801" s="84">
        <f>IF(Source!BA166&lt;&gt; 0, Source!BA166, 1)</f>
        <v>24.22</v>
      </c>
      <c r="L801" s="86">
        <f>Source!HJ166</f>
        <v>9656</v>
      </c>
    </row>
    <row r="802" spans="1:56" ht="14.4">
      <c r="A802" s="110"/>
      <c r="B802" s="112">
        <v>3</v>
      </c>
      <c r="C802" s="111" t="s">
        <v>1374</v>
      </c>
      <c r="D802" s="81"/>
      <c r="E802" s="82"/>
      <c r="F802" s="82"/>
      <c r="G802" s="82"/>
      <c r="H802" s="83">
        <f>Source!AM166</f>
        <v>19.25</v>
      </c>
      <c r="I802" s="84">
        <f>ROUND(1.25*1.15,7)</f>
        <v>1.4375</v>
      </c>
      <c r="J802" s="85">
        <f>ROUND(Source!AD166*Source!I166, 2)</f>
        <v>13.06</v>
      </c>
      <c r="K802" s="84"/>
      <c r="L802" s="86"/>
    </row>
    <row r="803" spans="1:56" ht="14.4">
      <c r="A803" s="110"/>
      <c r="B803" s="112">
        <v>2</v>
      </c>
      <c r="C803" s="111" t="s">
        <v>1375</v>
      </c>
      <c r="D803" s="81"/>
      <c r="E803" s="82"/>
      <c r="F803" s="82"/>
      <c r="G803" s="82"/>
      <c r="H803" s="83">
        <f>Source!AN166</f>
        <v>0.39</v>
      </c>
      <c r="I803" s="84">
        <f>ROUND(1.25*1.15,7)</f>
        <v>1.4375</v>
      </c>
      <c r="J803" s="87">
        <f>ROUND(Source!AE166*Source!I166, 2)</f>
        <v>0.26</v>
      </c>
      <c r="K803" s="84">
        <f>IF(Source!BS166&lt;&gt; 0, Source!BS166, 1)</f>
        <v>24.22</v>
      </c>
      <c r="L803" s="88">
        <f>Source!HI166</f>
        <v>6</v>
      </c>
    </row>
    <row r="804" spans="1:56" ht="14.4">
      <c r="A804" s="110"/>
      <c r="B804" s="112">
        <v>4</v>
      </c>
      <c r="C804" s="111" t="s">
        <v>1408</v>
      </c>
      <c r="D804" s="81"/>
      <c r="E804" s="82"/>
      <c r="F804" s="82"/>
      <c r="G804" s="82"/>
      <c r="H804" s="83">
        <f>Source!AL166</f>
        <v>1385.44</v>
      </c>
      <c r="I804" s="84"/>
      <c r="J804" s="85">
        <f>ROUND(Source!AC166*Source!I166, 2)</f>
        <v>653.92999999999995</v>
      </c>
      <c r="K804" s="84"/>
      <c r="L804" s="86"/>
    </row>
    <row r="805" spans="1:56" ht="14.4">
      <c r="A805" s="110"/>
      <c r="B805" s="111"/>
      <c r="C805" s="111" t="s">
        <v>1376</v>
      </c>
      <c r="D805" s="81" t="s">
        <v>1377</v>
      </c>
      <c r="E805" s="82">
        <f>Source!AQ166</f>
        <v>68.75</v>
      </c>
      <c r="F805" s="82">
        <f>ROUND(1.15*1.15,7)</f>
        <v>1.3225</v>
      </c>
      <c r="G805" s="82">
        <f>ROUND(Source!U166, 7)</f>
        <v>42.915125000000003</v>
      </c>
      <c r="H805" s="83"/>
      <c r="I805" s="84"/>
      <c r="J805" s="85"/>
      <c r="K805" s="84"/>
      <c r="L805" s="86"/>
    </row>
    <row r="806" spans="1:56" ht="14.4">
      <c r="A806" s="110"/>
      <c r="B806" s="111"/>
      <c r="C806" s="113" t="s">
        <v>1378</v>
      </c>
      <c r="D806" s="89" t="s">
        <v>1377</v>
      </c>
      <c r="E806" s="90">
        <f>Source!AR166</f>
        <v>0.03</v>
      </c>
      <c r="F806" s="90">
        <f>ROUND(1.25*1.15,7)</f>
        <v>1.4375</v>
      </c>
      <c r="G806" s="90">
        <f>ROUND(Source!V166, 7)</f>
        <v>2.0355000000000002E-2</v>
      </c>
      <c r="H806" s="91"/>
      <c r="I806" s="92"/>
      <c r="J806" s="93"/>
      <c r="K806" s="92"/>
      <c r="L806" s="94"/>
    </row>
    <row r="807" spans="1:56" ht="14.4">
      <c r="A807" s="110"/>
      <c r="B807" s="111"/>
      <c r="C807" s="111" t="s">
        <v>1379</v>
      </c>
      <c r="D807" s="81"/>
      <c r="E807" s="82"/>
      <c r="F807" s="82"/>
      <c r="G807" s="82"/>
      <c r="H807" s="83">
        <f>H801+H802+H804</f>
        <v>2043.38</v>
      </c>
      <c r="I807" s="84"/>
      <c r="J807" s="85">
        <f>J801+J802+J804</f>
        <v>1065.67</v>
      </c>
      <c r="K807" s="84"/>
      <c r="L807" s="86"/>
    </row>
    <row r="808" spans="1:56" ht="14.4">
      <c r="A808" s="110"/>
      <c r="B808" s="111"/>
      <c r="C808" s="111" t="s">
        <v>1380</v>
      </c>
      <c r="D808" s="81"/>
      <c r="E808" s="82"/>
      <c r="F808" s="82"/>
      <c r="G808" s="82"/>
      <c r="H808" s="83"/>
      <c r="I808" s="84"/>
      <c r="J808" s="85">
        <f>SUM(Q798:Q811)+SUM(V798:V811)</f>
        <v>398.94</v>
      </c>
      <c r="K808" s="84"/>
      <c r="L808" s="86">
        <f>SUM(U798:U811)+SUM(W798:W811)</f>
        <v>9662</v>
      </c>
    </row>
    <row r="809" spans="1:56" ht="14.4">
      <c r="A809" s="110"/>
      <c r="B809" s="111" t="s">
        <v>1414</v>
      </c>
      <c r="C809" s="111" t="s">
        <v>1415</v>
      </c>
      <c r="D809" s="81" t="s">
        <v>1383</v>
      </c>
      <c r="E809" s="82">
        <f>Source!BZ166</f>
        <v>100</v>
      </c>
      <c r="F809" s="82">
        <f>ROUND(0.9,7)</f>
        <v>0.9</v>
      </c>
      <c r="G809" s="82">
        <f>Source!AT166</f>
        <v>90</v>
      </c>
      <c r="H809" s="83"/>
      <c r="I809" s="84"/>
      <c r="J809" s="85">
        <f>SUM(AC798:AC811)</f>
        <v>359.05</v>
      </c>
      <c r="K809" s="84"/>
      <c r="L809" s="86">
        <f>SUM(AD798:AD811)</f>
        <v>8696</v>
      </c>
    </row>
    <row r="810" spans="1:56" ht="14.4">
      <c r="A810" s="114"/>
      <c r="B810" s="113" t="s">
        <v>1416</v>
      </c>
      <c r="C810" s="113" t="s">
        <v>1417</v>
      </c>
      <c r="D810" s="89" t="s">
        <v>1383</v>
      </c>
      <c r="E810" s="90">
        <f>Source!CA166</f>
        <v>49</v>
      </c>
      <c r="F810" s="90">
        <f>ROUND(0.85,7)</f>
        <v>0.85</v>
      </c>
      <c r="G810" s="90">
        <f>Source!AU166</f>
        <v>41.65</v>
      </c>
      <c r="H810" s="91"/>
      <c r="I810" s="92"/>
      <c r="J810" s="93">
        <f>SUM(AE798:AE811)</f>
        <v>166.16</v>
      </c>
      <c r="K810" s="92"/>
      <c r="L810" s="94">
        <f>SUM(AF798:AF811)</f>
        <v>4024</v>
      </c>
    </row>
    <row r="811" spans="1:56" ht="13.8">
      <c r="C811" s="95" t="s">
        <v>1386</v>
      </c>
      <c r="D811" s="95"/>
      <c r="E811" s="95"/>
      <c r="F811" s="95"/>
      <c r="G811" s="95"/>
      <c r="H811" s="95"/>
      <c r="I811" s="95">
        <f>J801+J802+J804+J809+J810</f>
        <v>1590.88</v>
      </c>
      <c r="J811" s="95"/>
      <c r="O811" s="69">
        <f>I811</f>
        <v>1590.88</v>
      </c>
      <c r="P811">
        <f>K811</f>
        <v>0</v>
      </c>
      <c r="Q811" s="69">
        <f>J801</f>
        <v>398.68</v>
      </c>
      <c r="R811" s="69">
        <f>J801</f>
        <v>398.68</v>
      </c>
      <c r="U811" s="70">
        <f>L801</f>
        <v>9656</v>
      </c>
      <c r="V811" s="69">
        <f>J803</f>
        <v>0.26</v>
      </c>
      <c r="W811" s="70">
        <f>L803</f>
        <v>6</v>
      </c>
      <c r="X811" s="69">
        <f>J802</f>
        <v>13.06</v>
      </c>
      <c r="Z811" s="70">
        <f>L802</f>
        <v>0</v>
      </c>
      <c r="AB811" s="69">
        <f>J804</f>
        <v>653.92999999999995</v>
      </c>
      <c r="AN811">
        <f>IF(Source!BI166&lt;=1,J801+J802+J804+J809+J810, 0)</f>
        <v>1590.88</v>
      </c>
      <c r="AO811">
        <f>IF(Source!BI166&lt;=1,J804, 0)</f>
        <v>653.92999999999995</v>
      </c>
      <c r="AP811">
        <f>IF(Source!BI166&lt;=1,J802, 0)</f>
        <v>13.06</v>
      </c>
      <c r="AQ811">
        <f>IF(Source!BI166&lt;=1,J801, 0)</f>
        <v>398.68</v>
      </c>
      <c r="AX811">
        <f>IF(Source!BI166=2,J801+J802+J804+J809+J810, 0)</f>
        <v>0</v>
      </c>
      <c r="AY811">
        <f>IF(Source!BI166=2,J804, 0)</f>
        <v>0</v>
      </c>
      <c r="AZ811">
        <f>IF(Source!BI166=2,J802, 0)</f>
        <v>0</v>
      </c>
      <c r="BA811">
        <f>IF(Source!BI166=2,J801, 0)</f>
        <v>0</v>
      </c>
    </row>
    <row r="812" spans="1:56" ht="13.8">
      <c r="C812" s="79" t="str">
        <f>Source!G167</f>
        <v>Стены (душевая)</v>
      </c>
    </row>
    <row r="813" spans="1:56" ht="133.19999999999999">
      <c r="A813" s="110" t="str">
        <f>Source!E168</f>
        <v>93</v>
      </c>
      <c r="B813" s="111" t="str">
        <f>Source!F168</f>
        <v>15-02-036-1</v>
      </c>
      <c r="C813" s="111" t="s">
        <v>1457</v>
      </c>
      <c r="D813" s="81" t="str">
        <f>Source!H168</f>
        <v>100 м2 оштукатуриваемой поверхности</v>
      </c>
      <c r="E813" s="82">
        <f>Source!K168</f>
        <v>1.3360000000000001</v>
      </c>
      <c r="F813" s="82"/>
      <c r="G813" s="82">
        <f>Source!I168</f>
        <v>1.3360000000000001</v>
      </c>
      <c r="H813" s="83"/>
      <c r="I813" s="84"/>
      <c r="J813" s="85"/>
      <c r="K813" s="84"/>
      <c r="L813" s="86"/>
      <c r="AC813">
        <f>Source!X168</f>
        <v>1862.5</v>
      </c>
      <c r="AD813">
        <f>Source!HK168</f>
        <v>45110</v>
      </c>
      <c r="AE813">
        <f>Source!Y168</f>
        <v>861.92</v>
      </c>
      <c r="AF813">
        <f>Source!HL168</f>
        <v>20876</v>
      </c>
      <c r="AS813">
        <f>IF(Source!BI168&lt;=1,AD813, 0)</f>
        <v>45110</v>
      </c>
      <c r="AT813">
        <f>IF(Source!BI168&lt;=1,AF813, 0)</f>
        <v>20876</v>
      </c>
      <c r="BC813">
        <f>IF(Source!BI168=2,AD813, 0)</f>
        <v>0</v>
      </c>
      <c r="BD813">
        <f>IF(Source!BI168=2,AF813, 0)</f>
        <v>0</v>
      </c>
    </row>
    <row r="815" spans="1:56">
      <c r="C815" s="67" t="str">
        <f>"Объем: "&amp;Source!K168&amp;"=33,4*"&amp;"4/"&amp;"100"</f>
        <v>Объем: 1,336=33,4*4/100</v>
      </c>
    </row>
    <row r="816" spans="1:56" ht="14.4">
      <c r="A816" s="110"/>
      <c r="B816" s="112">
        <v>1</v>
      </c>
      <c r="C816" s="111" t="s">
        <v>1373</v>
      </c>
      <c r="D816" s="81"/>
      <c r="E816" s="82"/>
      <c r="F816" s="82"/>
      <c r="G816" s="82"/>
      <c r="H816" s="83">
        <f>Source!AO168</f>
        <v>1151.3599999999999</v>
      </c>
      <c r="I816" s="84">
        <f>ROUND(1.15*1.15,7)</f>
        <v>1.3225</v>
      </c>
      <c r="J816" s="85">
        <f>ROUND(Source!AF168*Source!I168, 2)</f>
        <v>2034.29</v>
      </c>
      <c r="K816" s="84">
        <f>IF(Source!BA168&lt;&gt; 0, Source!BA168, 1)</f>
        <v>24.22</v>
      </c>
      <c r="L816" s="86">
        <f>Source!HJ168</f>
        <v>49271</v>
      </c>
    </row>
    <row r="817" spans="1:56" ht="14.4">
      <c r="A817" s="110"/>
      <c r="B817" s="112">
        <v>3</v>
      </c>
      <c r="C817" s="111" t="s">
        <v>1374</v>
      </c>
      <c r="D817" s="81"/>
      <c r="E817" s="82"/>
      <c r="F817" s="82"/>
      <c r="G817" s="82"/>
      <c r="H817" s="83">
        <f>Source!AM168</f>
        <v>53.82</v>
      </c>
      <c r="I817" s="84">
        <f>ROUND(1.25*1.15,7)</f>
        <v>1.4375</v>
      </c>
      <c r="J817" s="85">
        <f>ROUND(Source!AD168*Source!I168, 2)</f>
        <v>103.36</v>
      </c>
      <c r="K817" s="84"/>
      <c r="L817" s="86"/>
    </row>
    <row r="818" spans="1:56" ht="14.4">
      <c r="A818" s="110"/>
      <c r="B818" s="112">
        <v>2</v>
      </c>
      <c r="C818" s="111" t="s">
        <v>1375</v>
      </c>
      <c r="D818" s="81"/>
      <c r="E818" s="82"/>
      <c r="F818" s="82"/>
      <c r="G818" s="82"/>
      <c r="H818" s="83">
        <f>Source!AN168</f>
        <v>18.3</v>
      </c>
      <c r="I818" s="84">
        <f>ROUND(1.25*1.15,7)</f>
        <v>1.4375</v>
      </c>
      <c r="J818" s="87">
        <f>ROUND(Source!AE168*Source!I168, 2)</f>
        <v>35.15</v>
      </c>
      <c r="K818" s="84">
        <f>IF(Source!BS168&lt;&gt; 0, Source!BS168, 1)</f>
        <v>24.22</v>
      </c>
      <c r="L818" s="88">
        <f>Source!HI168</f>
        <v>851</v>
      </c>
    </row>
    <row r="819" spans="1:56" ht="14.4">
      <c r="A819" s="110"/>
      <c r="B819" s="112">
        <v>4</v>
      </c>
      <c r="C819" s="111" t="s">
        <v>1408</v>
      </c>
      <c r="D819" s="81"/>
      <c r="E819" s="82"/>
      <c r="F819" s="82"/>
      <c r="G819" s="82"/>
      <c r="H819" s="83">
        <f>Source!AL168</f>
        <v>2580.87</v>
      </c>
      <c r="I819" s="84"/>
      <c r="J819" s="85">
        <f>ROUND(Source!AC168*Source!I168, 2)</f>
        <v>3448.04</v>
      </c>
      <c r="K819" s="84"/>
      <c r="L819" s="86"/>
    </row>
    <row r="820" spans="1:56" ht="14.4">
      <c r="A820" s="110"/>
      <c r="B820" s="111"/>
      <c r="C820" s="111" t="s">
        <v>1376</v>
      </c>
      <c r="D820" s="81" t="s">
        <v>1377</v>
      </c>
      <c r="E820" s="82">
        <f>Source!AQ168</f>
        <v>129.94999999999999</v>
      </c>
      <c r="F820" s="82">
        <f>ROUND(1.15*1.15,7)</f>
        <v>1.3225</v>
      </c>
      <c r="G820" s="82">
        <f>ROUND(Source!U168, 7)</f>
        <v>229.60345699999999</v>
      </c>
      <c r="H820" s="83"/>
      <c r="I820" s="84"/>
      <c r="J820" s="85"/>
      <c r="K820" s="84"/>
      <c r="L820" s="86"/>
    </row>
    <row r="821" spans="1:56" ht="14.4">
      <c r="A821" s="110"/>
      <c r="B821" s="111"/>
      <c r="C821" s="113" t="s">
        <v>1378</v>
      </c>
      <c r="D821" s="89" t="s">
        <v>1377</v>
      </c>
      <c r="E821" s="90">
        <f>Source!AR168</f>
        <v>1.44</v>
      </c>
      <c r="F821" s="90">
        <f>ROUND(1.25*1.15,7)</f>
        <v>1.4375</v>
      </c>
      <c r="G821" s="90">
        <f>ROUND(Source!V168, 7)</f>
        <v>2.76552</v>
      </c>
      <c r="H821" s="91"/>
      <c r="I821" s="92"/>
      <c r="J821" s="93"/>
      <c r="K821" s="92"/>
      <c r="L821" s="94"/>
    </row>
    <row r="822" spans="1:56" ht="14.4">
      <c r="A822" s="110"/>
      <c r="B822" s="111"/>
      <c r="C822" s="111" t="s">
        <v>1379</v>
      </c>
      <c r="D822" s="81"/>
      <c r="E822" s="82"/>
      <c r="F822" s="82"/>
      <c r="G822" s="82"/>
      <c r="H822" s="83">
        <f>H816+H817+H819</f>
        <v>3786.0499999999997</v>
      </c>
      <c r="I822" s="84"/>
      <c r="J822" s="85">
        <f>J816+J817+J819</f>
        <v>5585.6900000000005</v>
      </c>
      <c r="K822" s="84"/>
      <c r="L822" s="86"/>
    </row>
    <row r="823" spans="1:56" ht="14.4">
      <c r="A823" s="110"/>
      <c r="B823" s="111"/>
      <c r="C823" s="111" t="s">
        <v>1380</v>
      </c>
      <c r="D823" s="81"/>
      <c r="E823" s="82"/>
      <c r="F823" s="82"/>
      <c r="G823" s="82"/>
      <c r="H823" s="83"/>
      <c r="I823" s="84"/>
      <c r="J823" s="85">
        <f>SUM(Q813:Q826)+SUM(V813:V826)</f>
        <v>2069.44</v>
      </c>
      <c r="K823" s="84"/>
      <c r="L823" s="86">
        <f>SUM(U813:U826)+SUM(W813:W826)</f>
        <v>50122</v>
      </c>
    </row>
    <row r="824" spans="1:56" ht="14.4">
      <c r="A824" s="110"/>
      <c r="B824" s="111" t="s">
        <v>1414</v>
      </c>
      <c r="C824" s="111" t="s">
        <v>1415</v>
      </c>
      <c r="D824" s="81" t="s">
        <v>1383</v>
      </c>
      <c r="E824" s="82">
        <f>Source!BZ168</f>
        <v>100</v>
      </c>
      <c r="F824" s="82">
        <f>ROUND(0.9,7)</f>
        <v>0.9</v>
      </c>
      <c r="G824" s="82">
        <f>Source!AT168</f>
        <v>90</v>
      </c>
      <c r="H824" s="83"/>
      <c r="I824" s="84"/>
      <c r="J824" s="85">
        <f>SUM(AC813:AC826)</f>
        <v>1862.5</v>
      </c>
      <c r="K824" s="84"/>
      <c r="L824" s="86">
        <f>SUM(AD813:AD826)</f>
        <v>45110</v>
      </c>
    </row>
    <row r="825" spans="1:56" ht="14.4">
      <c r="A825" s="114"/>
      <c r="B825" s="113" t="s">
        <v>1416</v>
      </c>
      <c r="C825" s="113" t="s">
        <v>1417</v>
      </c>
      <c r="D825" s="89" t="s">
        <v>1383</v>
      </c>
      <c r="E825" s="90">
        <f>Source!CA168</f>
        <v>49</v>
      </c>
      <c r="F825" s="90">
        <f>ROUND(0.85,7)</f>
        <v>0.85</v>
      </c>
      <c r="G825" s="90">
        <f>Source!AU168</f>
        <v>41.65</v>
      </c>
      <c r="H825" s="91"/>
      <c r="I825" s="92"/>
      <c r="J825" s="93">
        <f>SUM(AE813:AE826)</f>
        <v>861.92</v>
      </c>
      <c r="K825" s="92"/>
      <c r="L825" s="94">
        <f>SUM(AF813:AF826)</f>
        <v>20876</v>
      </c>
    </row>
    <row r="826" spans="1:56" ht="13.8">
      <c r="C826" s="95" t="s">
        <v>1386</v>
      </c>
      <c r="D826" s="95"/>
      <c r="E826" s="95"/>
      <c r="F826" s="95"/>
      <c r="G826" s="95"/>
      <c r="H826" s="95"/>
      <c r="I826" s="95">
        <f>J816+J817+J819+J824+J825</f>
        <v>8310.11</v>
      </c>
      <c r="J826" s="95"/>
      <c r="O826" s="69">
        <f>I826</f>
        <v>8310.11</v>
      </c>
      <c r="P826">
        <f>K826</f>
        <v>0</v>
      </c>
      <c r="Q826" s="69">
        <f>J816</f>
        <v>2034.29</v>
      </c>
      <c r="R826" s="69">
        <f>J816</f>
        <v>2034.29</v>
      </c>
      <c r="U826" s="70">
        <f>L816</f>
        <v>49271</v>
      </c>
      <c r="V826" s="69">
        <f>J818</f>
        <v>35.15</v>
      </c>
      <c r="W826" s="70">
        <f>L818</f>
        <v>851</v>
      </c>
      <c r="X826" s="69">
        <f>J817</f>
        <v>103.36</v>
      </c>
      <c r="Z826" s="70">
        <f>L817</f>
        <v>0</v>
      </c>
      <c r="AB826" s="69">
        <f>J819</f>
        <v>3448.04</v>
      </c>
      <c r="AN826">
        <f>IF(Source!BI168&lt;=1,J816+J817+J819+J824+J825, 0)</f>
        <v>8310.11</v>
      </c>
      <c r="AO826">
        <f>IF(Source!BI168&lt;=1,J819, 0)</f>
        <v>3448.04</v>
      </c>
      <c r="AP826">
        <f>IF(Source!BI168&lt;=1,J817, 0)</f>
        <v>103.36</v>
      </c>
      <c r="AQ826">
        <f>IF(Source!BI168&lt;=1,J816, 0)</f>
        <v>2034.29</v>
      </c>
      <c r="AX826">
        <f>IF(Source!BI168=2,J816+J817+J819+J824+J825, 0)</f>
        <v>0</v>
      </c>
      <c r="AY826">
        <f>IF(Source!BI168=2,J819, 0)</f>
        <v>0</v>
      </c>
      <c r="AZ826">
        <f>IF(Source!BI168=2,J817, 0)</f>
        <v>0</v>
      </c>
      <c r="BA826">
        <f>IF(Source!BI168=2,J816, 0)</f>
        <v>0</v>
      </c>
    </row>
    <row r="827" spans="1:56" ht="160.80000000000001">
      <c r="A827" s="110" t="str">
        <f>Source!E169</f>
        <v>94</v>
      </c>
      <c r="B827" s="111" t="str">
        <f>Source!F169</f>
        <v>15-04-027-5</v>
      </c>
      <c r="C827" s="111" t="s">
        <v>1458</v>
      </c>
      <c r="D827" s="81" t="str">
        <f>Source!H169</f>
        <v>100 м2 окрашиваемой поверхности</v>
      </c>
      <c r="E827" s="82">
        <f>Source!K169</f>
        <v>0.44800000000000001</v>
      </c>
      <c r="F827" s="82"/>
      <c r="G827" s="82">
        <f>Source!I169</f>
        <v>0.44800000000000001</v>
      </c>
      <c r="H827" s="83"/>
      <c r="I827" s="84"/>
      <c r="J827" s="85"/>
      <c r="K827" s="84"/>
      <c r="L827" s="86"/>
      <c r="AC827">
        <f>Source!X169</f>
        <v>58.76</v>
      </c>
      <c r="AD827">
        <f>Source!HK169</f>
        <v>1423</v>
      </c>
      <c r="AE827">
        <f>Source!Y169</f>
        <v>27.19</v>
      </c>
      <c r="AF827">
        <f>Source!HL169</f>
        <v>658</v>
      </c>
      <c r="AS827">
        <f>IF(Source!BI169&lt;=1,AD827, 0)</f>
        <v>1423</v>
      </c>
      <c r="AT827">
        <f>IF(Source!BI169&lt;=1,AF827, 0)</f>
        <v>658</v>
      </c>
      <c r="BC827">
        <f>IF(Source!BI169=2,AD827, 0)</f>
        <v>0</v>
      </c>
      <c r="BD827">
        <f>IF(Source!BI169=2,AF827, 0)</f>
        <v>0</v>
      </c>
    </row>
    <row r="829" spans="1:56">
      <c r="C829" s="67" t="str">
        <f>"Объем: "&amp;Source!K169&amp;"=11,2*"&amp;"4/"&amp;"100"</f>
        <v>Объем: 0,448=11,2*4/100</v>
      </c>
    </row>
    <row r="830" spans="1:56" ht="14.4">
      <c r="A830" s="110"/>
      <c r="B830" s="112">
        <v>1</v>
      </c>
      <c r="C830" s="111" t="s">
        <v>1373</v>
      </c>
      <c r="D830" s="81"/>
      <c r="E830" s="82"/>
      <c r="F830" s="82"/>
      <c r="G830" s="82"/>
      <c r="H830" s="83">
        <f>Source!AO169</f>
        <v>110.07</v>
      </c>
      <c r="I830" s="84">
        <f>ROUND(1.15*1.15,7)</f>
        <v>1.3225</v>
      </c>
      <c r="J830" s="85">
        <f>ROUND(Source!AF169*Source!I169, 2)</f>
        <v>65.209999999999994</v>
      </c>
      <c r="K830" s="84">
        <f>IF(Source!BA169&lt;&gt; 0, Source!BA169, 1)</f>
        <v>24.22</v>
      </c>
      <c r="L830" s="86">
        <f>Source!HJ169</f>
        <v>1579</v>
      </c>
    </row>
    <row r="831" spans="1:56" ht="14.4">
      <c r="A831" s="110"/>
      <c r="B831" s="112">
        <v>3</v>
      </c>
      <c r="C831" s="111" t="s">
        <v>1374</v>
      </c>
      <c r="D831" s="81"/>
      <c r="E831" s="82"/>
      <c r="F831" s="82"/>
      <c r="G831" s="82"/>
      <c r="H831" s="83">
        <f>Source!AM169</f>
        <v>3.06</v>
      </c>
      <c r="I831" s="84">
        <f>ROUND(1.25*1.15,7)</f>
        <v>1.4375</v>
      </c>
      <c r="J831" s="85">
        <f>ROUND(Source!AD169*Source!I169, 2)</f>
        <v>1.97</v>
      </c>
      <c r="K831" s="84"/>
      <c r="L831" s="86"/>
    </row>
    <row r="832" spans="1:56" ht="14.4">
      <c r="A832" s="110"/>
      <c r="B832" s="112">
        <v>2</v>
      </c>
      <c r="C832" s="111" t="s">
        <v>1375</v>
      </c>
      <c r="D832" s="81"/>
      <c r="E832" s="82"/>
      <c r="F832" s="82"/>
      <c r="G832" s="82"/>
      <c r="H832" s="83">
        <f>Source!AN169</f>
        <v>0.13</v>
      </c>
      <c r="I832" s="84">
        <f>ROUND(1.25*1.15,7)</f>
        <v>1.4375</v>
      </c>
      <c r="J832" s="87">
        <f>ROUND(Source!AE169*Source!I169, 2)</f>
        <v>0.08</v>
      </c>
      <c r="K832" s="84">
        <f>IF(Source!BS169&lt;&gt; 0, Source!BS169, 1)</f>
        <v>24.22</v>
      </c>
      <c r="L832" s="88">
        <f>Source!HI169</f>
        <v>2</v>
      </c>
    </row>
    <row r="833" spans="1:56" ht="14.4">
      <c r="A833" s="110"/>
      <c r="B833" s="112">
        <v>4</v>
      </c>
      <c r="C833" s="111" t="s">
        <v>1408</v>
      </c>
      <c r="D833" s="81"/>
      <c r="E833" s="82"/>
      <c r="F833" s="82"/>
      <c r="G833" s="82"/>
      <c r="H833" s="83">
        <f>Source!AL169</f>
        <v>414.61</v>
      </c>
      <c r="I833" s="84"/>
      <c r="J833" s="85">
        <f>ROUND(Source!AC169*Source!I169, 2)</f>
        <v>185.75</v>
      </c>
      <c r="K833" s="84"/>
      <c r="L833" s="86"/>
    </row>
    <row r="834" spans="1:56" ht="14.4">
      <c r="A834" s="110"/>
      <c r="B834" s="111"/>
      <c r="C834" s="111" t="s">
        <v>1376</v>
      </c>
      <c r="D834" s="81" t="s">
        <v>1377</v>
      </c>
      <c r="E834" s="82">
        <f>Source!AQ169</f>
        <v>11.99</v>
      </c>
      <c r="F834" s="82">
        <f>ROUND(1.15*1.15,7)</f>
        <v>1.3225</v>
      </c>
      <c r="G834" s="82">
        <f>ROUND(Source!U169, 7)</f>
        <v>7.1038351999999998</v>
      </c>
      <c r="H834" s="83"/>
      <c r="I834" s="84"/>
      <c r="J834" s="85"/>
      <c r="K834" s="84"/>
      <c r="L834" s="86"/>
    </row>
    <row r="835" spans="1:56" ht="14.4">
      <c r="A835" s="110"/>
      <c r="B835" s="111"/>
      <c r="C835" s="113" t="s">
        <v>1378</v>
      </c>
      <c r="D835" s="89" t="s">
        <v>1377</v>
      </c>
      <c r="E835" s="90">
        <f>Source!AR169</f>
        <v>0.01</v>
      </c>
      <c r="F835" s="90">
        <f>ROUND(1.25*1.15,7)</f>
        <v>1.4375</v>
      </c>
      <c r="G835" s="90">
        <f>ROUND(Source!V169, 7)</f>
        <v>6.4400000000000004E-3</v>
      </c>
      <c r="H835" s="91"/>
      <c r="I835" s="92"/>
      <c r="J835" s="93"/>
      <c r="K835" s="92"/>
      <c r="L835" s="94"/>
    </row>
    <row r="836" spans="1:56" ht="14.4">
      <c r="A836" s="110"/>
      <c r="B836" s="111"/>
      <c r="C836" s="111" t="s">
        <v>1379</v>
      </c>
      <c r="D836" s="81"/>
      <c r="E836" s="82"/>
      <c r="F836" s="82"/>
      <c r="G836" s="82"/>
      <c r="H836" s="83">
        <f>H830+H831+H833</f>
        <v>527.74</v>
      </c>
      <c r="I836" s="84"/>
      <c r="J836" s="85">
        <f>J830+J831+J833</f>
        <v>252.93</v>
      </c>
      <c r="K836" s="84"/>
      <c r="L836" s="86"/>
    </row>
    <row r="837" spans="1:56" ht="14.4">
      <c r="A837" s="110"/>
      <c r="B837" s="111"/>
      <c r="C837" s="111" t="s">
        <v>1380</v>
      </c>
      <c r="D837" s="81"/>
      <c r="E837" s="82"/>
      <c r="F837" s="82"/>
      <c r="G837" s="82"/>
      <c r="H837" s="83"/>
      <c r="I837" s="84"/>
      <c r="J837" s="85">
        <f>SUM(Q827:Q840)+SUM(V827:V840)</f>
        <v>65.289999999999992</v>
      </c>
      <c r="K837" s="84"/>
      <c r="L837" s="86">
        <f>SUM(U827:U840)+SUM(W827:W840)</f>
        <v>1581</v>
      </c>
    </row>
    <row r="838" spans="1:56" ht="14.4">
      <c r="A838" s="110"/>
      <c r="B838" s="111" t="s">
        <v>1414</v>
      </c>
      <c r="C838" s="111" t="s">
        <v>1415</v>
      </c>
      <c r="D838" s="81" t="s">
        <v>1383</v>
      </c>
      <c r="E838" s="82">
        <f>Source!BZ169</f>
        <v>100</v>
      </c>
      <c r="F838" s="82">
        <f>ROUND(0.9,7)</f>
        <v>0.9</v>
      </c>
      <c r="G838" s="82">
        <f>Source!AT169</f>
        <v>90</v>
      </c>
      <c r="H838" s="83"/>
      <c r="I838" s="84"/>
      <c r="J838" s="85">
        <f>SUM(AC827:AC840)</f>
        <v>58.76</v>
      </c>
      <c r="K838" s="84"/>
      <c r="L838" s="86">
        <f>SUM(AD827:AD840)</f>
        <v>1423</v>
      </c>
    </row>
    <row r="839" spans="1:56" ht="14.4">
      <c r="A839" s="114"/>
      <c r="B839" s="113" t="s">
        <v>1416</v>
      </c>
      <c r="C839" s="113" t="s">
        <v>1417</v>
      </c>
      <c r="D839" s="89" t="s">
        <v>1383</v>
      </c>
      <c r="E839" s="90">
        <f>Source!CA169</f>
        <v>49</v>
      </c>
      <c r="F839" s="90">
        <f>ROUND(0.85,7)</f>
        <v>0.85</v>
      </c>
      <c r="G839" s="90">
        <f>Source!AU169</f>
        <v>41.65</v>
      </c>
      <c r="H839" s="91"/>
      <c r="I839" s="92"/>
      <c r="J839" s="93">
        <f>SUM(AE827:AE840)</f>
        <v>27.19</v>
      </c>
      <c r="K839" s="92"/>
      <c r="L839" s="94">
        <f>SUM(AF827:AF840)</f>
        <v>658</v>
      </c>
    </row>
    <row r="840" spans="1:56" ht="13.8">
      <c r="C840" s="95" t="s">
        <v>1386</v>
      </c>
      <c r="D840" s="95"/>
      <c r="E840" s="95"/>
      <c r="F840" s="95"/>
      <c r="G840" s="95"/>
      <c r="H840" s="95"/>
      <c r="I840" s="95">
        <f>J830+J831+J833+J838+J839</f>
        <v>338.88</v>
      </c>
      <c r="J840" s="95"/>
      <c r="O840" s="69">
        <f>I840</f>
        <v>338.88</v>
      </c>
      <c r="P840">
        <f>K840</f>
        <v>0</v>
      </c>
      <c r="Q840" s="69">
        <f>J830</f>
        <v>65.209999999999994</v>
      </c>
      <c r="R840" s="69">
        <f>J830</f>
        <v>65.209999999999994</v>
      </c>
      <c r="U840" s="70">
        <f>L830</f>
        <v>1579</v>
      </c>
      <c r="V840" s="69">
        <f>J832</f>
        <v>0.08</v>
      </c>
      <c r="W840" s="70">
        <f>L832</f>
        <v>2</v>
      </c>
      <c r="X840" s="69">
        <f>J831</f>
        <v>1.97</v>
      </c>
      <c r="Z840" s="70">
        <f>L831</f>
        <v>0</v>
      </c>
      <c r="AB840" s="69">
        <f>J833</f>
        <v>185.75</v>
      </c>
      <c r="AN840">
        <f>IF(Source!BI169&lt;=1,J830+J831+J833+J838+J839, 0)</f>
        <v>338.88</v>
      </c>
      <c r="AO840">
        <f>IF(Source!BI169&lt;=1,J833, 0)</f>
        <v>185.75</v>
      </c>
      <c r="AP840">
        <f>IF(Source!BI169&lt;=1,J831, 0)</f>
        <v>1.97</v>
      </c>
      <c r="AQ840">
        <f>IF(Source!BI169&lt;=1,J830, 0)</f>
        <v>65.209999999999994</v>
      </c>
      <c r="AX840">
        <f>IF(Source!BI169=2,J830+J831+J833+J838+J839, 0)</f>
        <v>0</v>
      </c>
      <c r="AY840">
        <f>IF(Source!BI169=2,J833, 0)</f>
        <v>0</v>
      </c>
      <c r="AZ840">
        <f>IF(Source!BI169=2,J831, 0)</f>
        <v>0</v>
      </c>
      <c r="BA840">
        <f>IF(Source!BI169=2,J830, 0)</f>
        <v>0</v>
      </c>
    </row>
    <row r="841" spans="1:56" ht="188.4">
      <c r="A841" s="110" t="str">
        <f>Source!E170</f>
        <v>95</v>
      </c>
      <c r="B841" s="111" t="str">
        <f>Source!F170</f>
        <v>15-01-019-5</v>
      </c>
      <c r="C841" s="111" t="s">
        <v>1463</v>
      </c>
      <c r="D841" s="81" t="str">
        <f>Source!H170</f>
        <v>100 м2 поверхности облицовки</v>
      </c>
      <c r="E841" s="82">
        <f>Source!K170</f>
        <v>0.88800000000000001</v>
      </c>
      <c r="F841" s="82"/>
      <c r="G841" s="82">
        <f>Source!I170</f>
        <v>0.88800000000000001</v>
      </c>
      <c r="H841" s="83"/>
      <c r="I841" s="84"/>
      <c r="J841" s="85"/>
      <c r="K841" s="84"/>
      <c r="L841" s="86"/>
      <c r="AC841">
        <f>Source!X170</f>
        <v>1514.66</v>
      </c>
      <c r="AD841">
        <f>Source!HK170</f>
        <v>36685</v>
      </c>
      <c r="AE841">
        <f>Source!Y170</f>
        <v>700.95</v>
      </c>
      <c r="AF841">
        <f>Source!HL170</f>
        <v>16977</v>
      </c>
      <c r="AS841">
        <f>IF(Source!BI170&lt;=1,AD841, 0)</f>
        <v>36685</v>
      </c>
      <c r="AT841">
        <f>IF(Source!BI170&lt;=1,AF841, 0)</f>
        <v>16977</v>
      </c>
      <c r="BC841">
        <f>IF(Source!BI170=2,AD841, 0)</f>
        <v>0</v>
      </c>
      <c r="BD841">
        <f>IF(Source!BI170=2,AF841, 0)</f>
        <v>0</v>
      </c>
    </row>
    <row r="843" spans="1:56">
      <c r="C843" s="67" t="str">
        <f>"Объем: "&amp;Source!K170&amp;"=22,2*"&amp;"4/"&amp;"100"</f>
        <v>Объем: 0,888=22,2*4/100</v>
      </c>
    </row>
    <row r="844" spans="1:56" ht="14.4">
      <c r="A844" s="110"/>
      <c r="B844" s="112">
        <v>1</v>
      </c>
      <c r="C844" s="111" t="s">
        <v>1373</v>
      </c>
      <c r="D844" s="81"/>
      <c r="E844" s="82"/>
      <c r="F844" s="82"/>
      <c r="G844" s="82"/>
      <c r="H844" s="83">
        <f>Source!AO170</f>
        <v>1414.68</v>
      </c>
      <c r="I844" s="84">
        <f>ROUND(1.15*1.15,7)</f>
        <v>1.3225</v>
      </c>
      <c r="J844" s="85">
        <f>ROUND(Source!AF170*Source!I170, 2)</f>
        <v>1661.37</v>
      </c>
      <c r="K844" s="84">
        <f>IF(Source!BA170&lt;&gt; 0, Source!BA170, 1)</f>
        <v>24.22</v>
      </c>
      <c r="L844" s="86">
        <f>Source!HJ170</f>
        <v>40238</v>
      </c>
    </row>
    <row r="845" spans="1:56" ht="14.4">
      <c r="A845" s="110"/>
      <c r="B845" s="112">
        <v>3</v>
      </c>
      <c r="C845" s="111" t="s">
        <v>1374</v>
      </c>
      <c r="D845" s="81"/>
      <c r="E845" s="82"/>
      <c r="F845" s="82"/>
      <c r="G845" s="82"/>
      <c r="H845" s="83">
        <f>Source!AM170</f>
        <v>31.82</v>
      </c>
      <c r="I845" s="84">
        <f>ROUND(1.25*1.15,7)</f>
        <v>1.4375</v>
      </c>
      <c r="J845" s="85">
        <f>ROUND(Source!AD170*Source!I170, 2)</f>
        <v>40.619999999999997</v>
      </c>
      <c r="K845" s="84"/>
      <c r="L845" s="86"/>
    </row>
    <row r="846" spans="1:56" ht="14.4">
      <c r="A846" s="110"/>
      <c r="B846" s="112">
        <v>2</v>
      </c>
      <c r="C846" s="111" t="s">
        <v>1375</v>
      </c>
      <c r="D846" s="81"/>
      <c r="E846" s="82"/>
      <c r="F846" s="82"/>
      <c r="G846" s="82"/>
      <c r="H846" s="83">
        <f>Source!AN170</f>
        <v>16.91</v>
      </c>
      <c r="I846" s="84">
        <f>ROUND(1.25*1.15,7)</f>
        <v>1.4375</v>
      </c>
      <c r="J846" s="87">
        <f>ROUND(Source!AE170*Source!I170, 2)</f>
        <v>21.59</v>
      </c>
      <c r="K846" s="84">
        <f>IF(Source!BS170&lt;&gt; 0, Source!BS170, 1)</f>
        <v>24.22</v>
      </c>
      <c r="L846" s="88">
        <f>Source!HI170</f>
        <v>523</v>
      </c>
    </row>
    <row r="847" spans="1:56" ht="14.4">
      <c r="A847" s="110"/>
      <c r="B847" s="112">
        <v>4</v>
      </c>
      <c r="C847" s="111" t="s">
        <v>1408</v>
      </c>
      <c r="D847" s="81"/>
      <c r="E847" s="82"/>
      <c r="F847" s="82"/>
      <c r="G847" s="82"/>
      <c r="H847" s="83">
        <f>Source!AL170</f>
        <v>9505.65</v>
      </c>
      <c r="I847" s="84"/>
      <c r="J847" s="85">
        <f>ROUND(Source!AC170*Source!I170, 2)</f>
        <v>8441.02</v>
      </c>
      <c r="K847" s="84"/>
      <c r="L847" s="86"/>
    </row>
    <row r="848" spans="1:56" ht="14.4">
      <c r="A848" s="110"/>
      <c r="B848" s="111"/>
      <c r="C848" s="111" t="s">
        <v>1376</v>
      </c>
      <c r="D848" s="81" t="s">
        <v>1377</v>
      </c>
      <c r="E848" s="82">
        <f>Source!AQ170</f>
        <v>159.66999999999999</v>
      </c>
      <c r="F848" s="82">
        <f>ROUND(1.15*1.15,7)</f>
        <v>1.3225</v>
      </c>
      <c r="G848" s="82">
        <f>ROUND(Source!U170, 7)</f>
        <v>187.51325460000001</v>
      </c>
      <c r="H848" s="83"/>
      <c r="I848" s="84"/>
      <c r="J848" s="85"/>
      <c r="K848" s="84"/>
      <c r="L848" s="86"/>
    </row>
    <row r="849" spans="1:56" ht="14.4">
      <c r="A849" s="110"/>
      <c r="B849" s="111"/>
      <c r="C849" s="113" t="s">
        <v>1378</v>
      </c>
      <c r="D849" s="89" t="s">
        <v>1377</v>
      </c>
      <c r="E849" s="90">
        <f>Source!AR170</f>
        <v>1.65</v>
      </c>
      <c r="F849" s="90">
        <f>ROUND(1.25*1.15,7)</f>
        <v>1.4375</v>
      </c>
      <c r="G849" s="90">
        <f>ROUND(Source!V170, 7)</f>
        <v>2.1062249999999998</v>
      </c>
      <c r="H849" s="91"/>
      <c r="I849" s="92"/>
      <c r="J849" s="93"/>
      <c r="K849" s="92"/>
      <c r="L849" s="94"/>
    </row>
    <row r="850" spans="1:56" ht="14.4">
      <c r="A850" s="110"/>
      <c r="B850" s="111"/>
      <c r="C850" s="111" t="s">
        <v>1379</v>
      </c>
      <c r="D850" s="81"/>
      <c r="E850" s="82"/>
      <c r="F850" s="82"/>
      <c r="G850" s="82"/>
      <c r="H850" s="83">
        <f>H844+H845+H847</f>
        <v>10952.15</v>
      </c>
      <c r="I850" s="84"/>
      <c r="J850" s="85">
        <f>J844+J845+J847</f>
        <v>10143.01</v>
      </c>
      <c r="K850" s="84"/>
      <c r="L850" s="86"/>
    </row>
    <row r="851" spans="1:56" ht="14.4">
      <c r="A851" s="110"/>
      <c r="B851" s="111"/>
      <c r="C851" s="111" t="s">
        <v>1380</v>
      </c>
      <c r="D851" s="81"/>
      <c r="E851" s="82"/>
      <c r="F851" s="82"/>
      <c r="G851" s="82"/>
      <c r="H851" s="83"/>
      <c r="I851" s="84"/>
      <c r="J851" s="85">
        <f>SUM(Q841:Q854)+SUM(V841:V854)</f>
        <v>1682.9599999999998</v>
      </c>
      <c r="K851" s="84"/>
      <c r="L851" s="86">
        <f>SUM(U841:U854)+SUM(W841:W854)</f>
        <v>40761</v>
      </c>
    </row>
    <row r="852" spans="1:56" ht="14.4">
      <c r="A852" s="110"/>
      <c r="B852" s="111" t="s">
        <v>1414</v>
      </c>
      <c r="C852" s="111" t="s">
        <v>1415</v>
      </c>
      <c r="D852" s="81" t="s">
        <v>1383</v>
      </c>
      <c r="E852" s="82">
        <f>Source!BZ170</f>
        <v>100</v>
      </c>
      <c r="F852" s="82">
        <f>ROUND(0.9,7)</f>
        <v>0.9</v>
      </c>
      <c r="G852" s="82">
        <f>Source!AT170</f>
        <v>90</v>
      </c>
      <c r="H852" s="83"/>
      <c r="I852" s="84"/>
      <c r="J852" s="85">
        <f>SUM(AC841:AC854)</f>
        <v>1514.66</v>
      </c>
      <c r="K852" s="84"/>
      <c r="L852" s="86">
        <f>SUM(AD841:AD854)</f>
        <v>36685</v>
      </c>
    </row>
    <row r="853" spans="1:56" ht="14.4">
      <c r="A853" s="114"/>
      <c r="B853" s="113" t="s">
        <v>1416</v>
      </c>
      <c r="C853" s="113" t="s">
        <v>1417</v>
      </c>
      <c r="D853" s="89" t="s">
        <v>1383</v>
      </c>
      <c r="E853" s="90">
        <f>Source!CA170</f>
        <v>49</v>
      </c>
      <c r="F853" s="90">
        <f>ROUND(0.85,7)</f>
        <v>0.85</v>
      </c>
      <c r="G853" s="90">
        <f>Source!AU170</f>
        <v>41.65</v>
      </c>
      <c r="H853" s="91"/>
      <c r="I853" s="92"/>
      <c r="J853" s="93">
        <f>SUM(AE841:AE854)</f>
        <v>700.95</v>
      </c>
      <c r="K853" s="92"/>
      <c r="L853" s="94">
        <f>SUM(AF841:AF854)</f>
        <v>16977</v>
      </c>
    </row>
    <row r="854" spans="1:56" ht="13.8">
      <c r="C854" s="95" t="s">
        <v>1386</v>
      </c>
      <c r="D854" s="95"/>
      <c r="E854" s="95"/>
      <c r="F854" s="95"/>
      <c r="G854" s="95"/>
      <c r="H854" s="95"/>
      <c r="I854" s="95">
        <f>J844+J845+J847+J852+J853</f>
        <v>12358.62</v>
      </c>
      <c r="J854" s="95"/>
      <c r="O854" s="69">
        <f>I854</f>
        <v>12358.62</v>
      </c>
      <c r="P854">
        <f>K854</f>
        <v>0</v>
      </c>
      <c r="Q854" s="69">
        <f>J844</f>
        <v>1661.37</v>
      </c>
      <c r="R854" s="69">
        <f>J844</f>
        <v>1661.37</v>
      </c>
      <c r="U854" s="70">
        <f>L844</f>
        <v>40238</v>
      </c>
      <c r="V854" s="69">
        <f>J846</f>
        <v>21.59</v>
      </c>
      <c r="W854" s="70">
        <f>L846</f>
        <v>523</v>
      </c>
      <c r="X854" s="69">
        <f>J845</f>
        <v>40.619999999999997</v>
      </c>
      <c r="Z854" s="70">
        <f>L845</f>
        <v>0</v>
      </c>
      <c r="AB854" s="69">
        <f>J847</f>
        <v>8441.02</v>
      </c>
      <c r="AN854">
        <f>IF(Source!BI170&lt;=1,J844+J845+J847+J852+J853, 0)</f>
        <v>12358.62</v>
      </c>
      <c r="AO854">
        <f>IF(Source!BI170&lt;=1,J847, 0)</f>
        <v>8441.02</v>
      </c>
      <c r="AP854">
        <f>IF(Source!BI170&lt;=1,J845, 0)</f>
        <v>40.619999999999997</v>
      </c>
      <c r="AQ854">
        <f>IF(Source!BI170&lt;=1,J844, 0)</f>
        <v>1661.37</v>
      </c>
      <c r="AX854">
        <f>IF(Source!BI170=2,J844+J845+J847+J852+J853, 0)</f>
        <v>0</v>
      </c>
      <c r="AY854">
        <f>IF(Source!BI170=2,J847, 0)</f>
        <v>0</v>
      </c>
      <c r="AZ854">
        <f>IF(Source!BI170=2,J845, 0)</f>
        <v>0</v>
      </c>
      <c r="BA854">
        <f>IF(Source!BI170=2,J844, 0)</f>
        <v>0</v>
      </c>
    </row>
    <row r="855" spans="1:56" ht="147">
      <c r="A855" s="110" t="str">
        <f>Source!E171</f>
        <v>96</v>
      </c>
      <c r="B855" s="111" t="str">
        <f>Source!F171</f>
        <v>15-04-005-7</v>
      </c>
      <c r="C855" s="111" t="s">
        <v>1459</v>
      </c>
      <c r="D855" s="81" t="str">
        <f>Source!H171</f>
        <v>100 м2 окрашиваемой поверхности</v>
      </c>
      <c r="E855" s="82">
        <f>Source!K171</f>
        <v>0.44800000000000001</v>
      </c>
      <c r="F855" s="82"/>
      <c r="G855" s="82">
        <f>Source!I171</f>
        <v>0.44800000000000001</v>
      </c>
      <c r="H855" s="83"/>
      <c r="I855" s="84"/>
      <c r="J855" s="85"/>
      <c r="K855" s="84"/>
      <c r="L855" s="86"/>
      <c r="AC855">
        <f>Source!X171</f>
        <v>340.79</v>
      </c>
      <c r="AD855">
        <f>Source!HK171</f>
        <v>8254</v>
      </c>
      <c r="AE855">
        <f>Source!Y171</f>
        <v>157.71</v>
      </c>
      <c r="AF855">
        <f>Source!HL171</f>
        <v>3820</v>
      </c>
      <c r="AS855">
        <f>IF(Source!BI171&lt;=1,AD855, 0)</f>
        <v>8254</v>
      </c>
      <c r="AT855">
        <f>IF(Source!BI171&lt;=1,AF855, 0)</f>
        <v>3820</v>
      </c>
      <c r="BC855">
        <f>IF(Source!BI171=2,AD855, 0)</f>
        <v>0</v>
      </c>
      <c r="BD855">
        <f>IF(Source!BI171=2,AF855, 0)</f>
        <v>0</v>
      </c>
    </row>
    <row r="857" spans="1:56">
      <c r="C857" s="67" t="str">
        <f>"Объем: "&amp;Source!K171&amp;"=44,8/"&amp;"100"</f>
        <v>Объем: 0,448=44,8/100</v>
      </c>
    </row>
    <row r="858" spans="1:56" ht="14.4">
      <c r="A858" s="110"/>
      <c r="B858" s="112">
        <v>1</v>
      </c>
      <c r="C858" s="111" t="s">
        <v>1373</v>
      </c>
      <c r="D858" s="81"/>
      <c r="E858" s="82"/>
      <c r="F858" s="82"/>
      <c r="G858" s="82"/>
      <c r="H858" s="83">
        <f>Source!AO171</f>
        <v>638.69000000000005</v>
      </c>
      <c r="I858" s="84">
        <f>ROUND(1.15*1.15,7)</f>
        <v>1.3225</v>
      </c>
      <c r="J858" s="85">
        <f>ROUND(Source!AF171*Source!I171, 2)</f>
        <v>378.41</v>
      </c>
      <c r="K858" s="84">
        <f>IF(Source!BA171&lt;&gt; 0, Source!BA171, 1)</f>
        <v>24.22</v>
      </c>
      <c r="L858" s="86">
        <f>Source!HJ171</f>
        <v>9165</v>
      </c>
    </row>
    <row r="859" spans="1:56" ht="14.4">
      <c r="A859" s="110"/>
      <c r="B859" s="112">
        <v>3</v>
      </c>
      <c r="C859" s="111" t="s">
        <v>1374</v>
      </c>
      <c r="D859" s="81"/>
      <c r="E859" s="82"/>
      <c r="F859" s="82"/>
      <c r="G859" s="82"/>
      <c r="H859" s="83">
        <f>Source!AM171</f>
        <v>19.25</v>
      </c>
      <c r="I859" s="84">
        <f>ROUND(1.25*1.15,7)</f>
        <v>1.4375</v>
      </c>
      <c r="J859" s="85">
        <f>ROUND(Source!AD171*Source!I171, 2)</f>
        <v>12.4</v>
      </c>
      <c r="K859" s="84"/>
      <c r="L859" s="86"/>
    </row>
    <row r="860" spans="1:56" ht="14.4">
      <c r="A860" s="110"/>
      <c r="B860" s="112">
        <v>2</v>
      </c>
      <c r="C860" s="111" t="s">
        <v>1375</v>
      </c>
      <c r="D860" s="81"/>
      <c r="E860" s="82"/>
      <c r="F860" s="82"/>
      <c r="G860" s="82"/>
      <c r="H860" s="83">
        <f>Source!AN171</f>
        <v>0.39</v>
      </c>
      <c r="I860" s="84">
        <f>ROUND(1.25*1.15,7)</f>
        <v>1.4375</v>
      </c>
      <c r="J860" s="87">
        <f>ROUND(Source!AE171*Source!I171, 2)</f>
        <v>0.25</v>
      </c>
      <c r="K860" s="84">
        <f>IF(Source!BS171&lt;&gt; 0, Source!BS171, 1)</f>
        <v>24.22</v>
      </c>
      <c r="L860" s="88">
        <f>Source!HI171</f>
        <v>6</v>
      </c>
    </row>
    <row r="861" spans="1:56" ht="14.4">
      <c r="A861" s="110"/>
      <c r="B861" s="112">
        <v>4</v>
      </c>
      <c r="C861" s="111" t="s">
        <v>1408</v>
      </c>
      <c r="D861" s="81"/>
      <c r="E861" s="82"/>
      <c r="F861" s="82"/>
      <c r="G861" s="82"/>
      <c r="H861" s="83">
        <f>Source!AL171</f>
        <v>1385.44</v>
      </c>
      <c r="I861" s="84"/>
      <c r="J861" s="85">
        <f>ROUND(Source!AC171*Source!I171, 2)</f>
        <v>620.67999999999995</v>
      </c>
      <c r="K861" s="84"/>
      <c r="L861" s="86"/>
    </row>
    <row r="862" spans="1:56" ht="14.4">
      <c r="A862" s="110"/>
      <c r="B862" s="111"/>
      <c r="C862" s="111" t="s">
        <v>1376</v>
      </c>
      <c r="D862" s="81" t="s">
        <v>1377</v>
      </c>
      <c r="E862" s="82">
        <f>Source!AQ171</f>
        <v>68.75</v>
      </c>
      <c r="F862" s="82">
        <f>ROUND(1.15*1.15,7)</f>
        <v>1.3225</v>
      </c>
      <c r="G862" s="82">
        <f>ROUND(Source!U171, 7)</f>
        <v>40.732999999999997</v>
      </c>
      <c r="H862" s="83"/>
      <c r="I862" s="84"/>
      <c r="J862" s="85"/>
      <c r="K862" s="84"/>
      <c r="L862" s="86"/>
    </row>
    <row r="863" spans="1:56" ht="14.4">
      <c r="A863" s="110"/>
      <c r="B863" s="111"/>
      <c r="C863" s="113" t="s">
        <v>1378</v>
      </c>
      <c r="D863" s="89" t="s">
        <v>1377</v>
      </c>
      <c r="E863" s="90">
        <f>Source!AR171</f>
        <v>0.03</v>
      </c>
      <c r="F863" s="90">
        <f>ROUND(1.25*1.15,7)</f>
        <v>1.4375</v>
      </c>
      <c r="G863" s="90">
        <f>ROUND(Source!V171, 7)</f>
        <v>1.932E-2</v>
      </c>
      <c r="H863" s="91"/>
      <c r="I863" s="92"/>
      <c r="J863" s="93"/>
      <c r="K863" s="92"/>
      <c r="L863" s="94"/>
    </row>
    <row r="864" spans="1:56" ht="14.4">
      <c r="A864" s="110"/>
      <c r="B864" s="111"/>
      <c r="C864" s="111" t="s">
        <v>1379</v>
      </c>
      <c r="D864" s="81"/>
      <c r="E864" s="82"/>
      <c r="F864" s="82"/>
      <c r="G864" s="82"/>
      <c r="H864" s="83">
        <f>H858+H859+H861</f>
        <v>2043.38</v>
      </c>
      <c r="I864" s="84"/>
      <c r="J864" s="85">
        <f>J858+J859+J861</f>
        <v>1011.49</v>
      </c>
      <c r="K864" s="84"/>
      <c r="L864" s="86"/>
    </row>
    <row r="865" spans="1:56" ht="14.4">
      <c r="A865" s="110"/>
      <c r="B865" s="111"/>
      <c r="C865" s="111" t="s">
        <v>1380</v>
      </c>
      <c r="D865" s="81"/>
      <c r="E865" s="82"/>
      <c r="F865" s="82"/>
      <c r="G865" s="82"/>
      <c r="H865" s="83"/>
      <c r="I865" s="84"/>
      <c r="J865" s="85">
        <f>SUM(Q855:Q868)+SUM(V855:V868)</f>
        <v>378.66</v>
      </c>
      <c r="K865" s="84"/>
      <c r="L865" s="86">
        <f>SUM(U855:U868)+SUM(W855:W868)</f>
        <v>9171</v>
      </c>
    </row>
    <row r="866" spans="1:56" ht="14.4">
      <c r="A866" s="110"/>
      <c r="B866" s="111" t="s">
        <v>1414</v>
      </c>
      <c r="C866" s="111" t="s">
        <v>1415</v>
      </c>
      <c r="D866" s="81" t="s">
        <v>1383</v>
      </c>
      <c r="E866" s="82">
        <f>Source!BZ171</f>
        <v>100</v>
      </c>
      <c r="F866" s="82">
        <f>ROUND(0.9,7)</f>
        <v>0.9</v>
      </c>
      <c r="G866" s="82">
        <f>Source!AT171</f>
        <v>90</v>
      </c>
      <c r="H866" s="83"/>
      <c r="I866" s="84"/>
      <c r="J866" s="85">
        <f>SUM(AC855:AC868)</f>
        <v>340.79</v>
      </c>
      <c r="K866" s="84"/>
      <c r="L866" s="86">
        <f>SUM(AD855:AD868)</f>
        <v>8254</v>
      </c>
    </row>
    <row r="867" spans="1:56" ht="14.4">
      <c r="A867" s="114"/>
      <c r="B867" s="113" t="s">
        <v>1416</v>
      </c>
      <c r="C867" s="113" t="s">
        <v>1417</v>
      </c>
      <c r="D867" s="89" t="s">
        <v>1383</v>
      </c>
      <c r="E867" s="90">
        <f>Source!CA171</f>
        <v>49</v>
      </c>
      <c r="F867" s="90">
        <f>ROUND(0.85,7)</f>
        <v>0.85</v>
      </c>
      <c r="G867" s="90">
        <f>Source!AU171</f>
        <v>41.65</v>
      </c>
      <c r="H867" s="91"/>
      <c r="I867" s="92"/>
      <c r="J867" s="93">
        <f>SUM(AE855:AE868)</f>
        <v>157.71</v>
      </c>
      <c r="K867" s="92"/>
      <c r="L867" s="94">
        <f>SUM(AF855:AF868)</f>
        <v>3820</v>
      </c>
    </row>
    <row r="868" spans="1:56" ht="13.8">
      <c r="C868" s="95" t="s">
        <v>1386</v>
      </c>
      <c r="D868" s="95"/>
      <c r="E868" s="95"/>
      <c r="F868" s="95"/>
      <c r="G868" s="95"/>
      <c r="H868" s="95"/>
      <c r="I868" s="95">
        <f>J858+J859+J861+J866+J867</f>
        <v>1509.99</v>
      </c>
      <c r="J868" s="95"/>
      <c r="O868" s="69">
        <f>I868</f>
        <v>1509.99</v>
      </c>
      <c r="P868">
        <f>K868</f>
        <v>0</v>
      </c>
      <c r="Q868" s="69">
        <f>J858</f>
        <v>378.41</v>
      </c>
      <c r="R868" s="69">
        <f>J858</f>
        <v>378.41</v>
      </c>
      <c r="U868" s="70">
        <f>L858</f>
        <v>9165</v>
      </c>
      <c r="V868" s="69">
        <f>J860</f>
        <v>0.25</v>
      </c>
      <c r="W868" s="70">
        <f>L860</f>
        <v>6</v>
      </c>
      <c r="X868" s="69">
        <f>J859</f>
        <v>12.4</v>
      </c>
      <c r="Z868" s="70">
        <f>L859</f>
        <v>0</v>
      </c>
      <c r="AB868" s="69">
        <f>J861</f>
        <v>620.67999999999995</v>
      </c>
      <c r="AN868">
        <f>IF(Source!BI171&lt;=1,J858+J859+J861+J866+J867, 0)</f>
        <v>1509.99</v>
      </c>
      <c r="AO868">
        <f>IF(Source!BI171&lt;=1,J861, 0)</f>
        <v>620.67999999999995</v>
      </c>
      <c r="AP868">
        <f>IF(Source!BI171&lt;=1,J859, 0)</f>
        <v>12.4</v>
      </c>
      <c r="AQ868">
        <f>IF(Source!BI171&lt;=1,J858, 0)</f>
        <v>378.41</v>
      </c>
      <c r="AX868">
        <f>IF(Source!BI171=2,J858+J859+J861+J866+J867, 0)</f>
        <v>0</v>
      </c>
      <c r="AY868">
        <f>IF(Source!BI171=2,J861, 0)</f>
        <v>0</v>
      </c>
      <c r="AZ868">
        <f>IF(Source!BI171=2,J859, 0)</f>
        <v>0</v>
      </c>
      <c r="BA868">
        <f>IF(Source!BI171=2,J858, 0)</f>
        <v>0</v>
      </c>
    </row>
    <row r="869" spans="1:56" ht="13.8">
      <c r="C869" s="79" t="str">
        <f>Source!G172</f>
        <v>Стены (санузел мужской)</v>
      </c>
    </row>
    <row r="870" spans="1:56" ht="133.19999999999999">
      <c r="A870" s="110" t="str">
        <f>Source!E173</f>
        <v>97</v>
      </c>
      <c r="B870" s="111" t="str">
        <f>Source!F173</f>
        <v>15-02-036-1</v>
      </c>
      <c r="C870" s="111" t="s">
        <v>1457</v>
      </c>
      <c r="D870" s="81" t="str">
        <f>Source!H173</f>
        <v>100 м2 оштукатуриваемой поверхности</v>
      </c>
      <c r="E870" s="82">
        <f>Source!K173</f>
        <v>1.34</v>
      </c>
      <c r="F870" s="82"/>
      <c r="G870" s="82">
        <f>Source!I173</f>
        <v>1.34</v>
      </c>
      <c r="H870" s="83"/>
      <c r="I870" s="84"/>
      <c r="J870" s="85"/>
      <c r="K870" s="84"/>
      <c r="L870" s="86"/>
      <c r="AC870">
        <f>Source!X173</f>
        <v>1868.07</v>
      </c>
      <c r="AD870">
        <f>Source!HK173</f>
        <v>45245</v>
      </c>
      <c r="AE870">
        <f>Source!Y173</f>
        <v>864.5</v>
      </c>
      <c r="AF870">
        <f>Source!HL173</f>
        <v>20938</v>
      </c>
      <c r="AS870">
        <f>IF(Source!BI173&lt;=1,AD870, 0)</f>
        <v>45245</v>
      </c>
      <c r="AT870">
        <f>IF(Source!BI173&lt;=1,AF870, 0)</f>
        <v>20938</v>
      </c>
      <c r="BC870">
        <f>IF(Source!BI173=2,AD870, 0)</f>
        <v>0</v>
      </c>
      <c r="BD870">
        <f>IF(Source!BI173=2,AF870, 0)</f>
        <v>0</v>
      </c>
    </row>
    <row r="872" spans="1:56">
      <c r="C872" s="67" t="str">
        <f>"Объем: "&amp;Source!K173&amp;"=33,5*"&amp;"4/"&amp;"100"</f>
        <v>Объем: 1,34=33,5*4/100</v>
      </c>
    </row>
    <row r="873" spans="1:56" ht="14.4">
      <c r="A873" s="110"/>
      <c r="B873" s="112">
        <v>1</v>
      </c>
      <c r="C873" s="111" t="s">
        <v>1373</v>
      </c>
      <c r="D873" s="81"/>
      <c r="E873" s="82"/>
      <c r="F873" s="82"/>
      <c r="G873" s="82"/>
      <c r="H873" s="83">
        <f>Source!AO173</f>
        <v>1151.3599999999999</v>
      </c>
      <c r="I873" s="84">
        <f>ROUND(1.15*1.15,7)</f>
        <v>1.3225</v>
      </c>
      <c r="J873" s="85">
        <f>ROUND(Source!AF173*Source!I173, 2)</f>
        <v>2040.38</v>
      </c>
      <c r="K873" s="84">
        <f>IF(Source!BA173&lt;&gt; 0, Source!BA173, 1)</f>
        <v>24.22</v>
      </c>
      <c r="L873" s="86">
        <f>Source!HJ173</f>
        <v>49418</v>
      </c>
    </row>
    <row r="874" spans="1:56" ht="14.4">
      <c r="A874" s="110"/>
      <c r="B874" s="112">
        <v>3</v>
      </c>
      <c r="C874" s="111" t="s">
        <v>1374</v>
      </c>
      <c r="D874" s="81"/>
      <c r="E874" s="82"/>
      <c r="F874" s="82"/>
      <c r="G874" s="82"/>
      <c r="H874" s="83">
        <f>Source!AM173</f>
        <v>53.82</v>
      </c>
      <c r="I874" s="84">
        <f>ROUND(1.25*1.15,7)</f>
        <v>1.4375</v>
      </c>
      <c r="J874" s="85">
        <f>ROUND(Source!AD173*Source!I173, 2)</f>
        <v>103.67</v>
      </c>
      <c r="K874" s="84"/>
      <c r="L874" s="86"/>
    </row>
    <row r="875" spans="1:56" ht="14.4">
      <c r="A875" s="110"/>
      <c r="B875" s="112">
        <v>2</v>
      </c>
      <c r="C875" s="111" t="s">
        <v>1375</v>
      </c>
      <c r="D875" s="81"/>
      <c r="E875" s="82"/>
      <c r="F875" s="82"/>
      <c r="G875" s="82"/>
      <c r="H875" s="83">
        <f>Source!AN173</f>
        <v>18.3</v>
      </c>
      <c r="I875" s="84">
        <f>ROUND(1.25*1.15,7)</f>
        <v>1.4375</v>
      </c>
      <c r="J875" s="87">
        <f>ROUND(Source!AE173*Source!I173, 2)</f>
        <v>35.25</v>
      </c>
      <c r="K875" s="84">
        <f>IF(Source!BS173&lt;&gt; 0, Source!BS173, 1)</f>
        <v>24.22</v>
      </c>
      <c r="L875" s="88">
        <f>Source!HI173</f>
        <v>854</v>
      </c>
    </row>
    <row r="876" spans="1:56" ht="14.4">
      <c r="A876" s="110"/>
      <c r="B876" s="112">
        <v>4</v>
      </c>
      <c r="C876" s="111" t="s">
        <v>1408</v>
      </c>
      <c r="D876" s="81"/>
      <c r="E876" s="82"/>
      <c r="F876" s="82"/>
      <c r="G876" s="82"/>
      <c r="H876" s="83">
        <f>Source!AL173</f>
        <v>2580.87</v>
      </c>
      <c r="I876" s="84"/>
      <c r="J876" s="85">
        <f>ROUND(Source!AC173*Source!I173, 2)</f>
        <v>3458.37</v>
      </c>
      <c r="K876" s="84"/>
      <c r="L876" s="86"/>
    </row>
    <row r="877" spans="1:56" ht="14.4">
      <c r="A877" s="110"/>
      <c r="B877" s="111"/>
      <c r="C877" s="111" t="s">
        <v>1376</v>
      </c>
      <c r="D877" s="81" t="s">
        <v>1377</v>
      </c>
      <c r="E877" s="82">
        <f>Source!AQ173</f>
        <v>129.94999999999999</v>
      </c>
      <c r="F877" s="82">
        <f>ROUND(1.15*1.15,7)</f>
        <v>1.3225</v>
      </c>
      <c r="G877" s="82">
        <f>ROUND(Source!U173, 7)</f>
        <v>230.29089250000001</v>
      </c>
      <c r="H877" s="83"/>
      <c r="I877" s="84"/>
      <c r="J877" s="85"/>
      <c r="K877" s="84"/>
      <c r="L877" s="86"/>
    </row>
    <row r="878" spans="1:56" ht="14.4">
      <c r="A878" s="110"/>
      <c r="B878" s="111"/>
      <c r="C878" s="113" t="s">
        <v>1378</v>
      </c>
      <c r="D878" s="89" t="s">
        <v>1377</v>
      </c>
      <c r="E878" s="90">
        <f>Source!AR173</f>
        <v>1.44</v>
      </c>
      <c r="F878" s="90">
        <f>ROUND(1.25*1.15,7)</f>
        <v>1.4375</v>
      </c>
      <c r="G878" s="90">
        <f>ROUND(Source!V173, 7)</f>
        <v>2.7738</v>
      </c>
      <c r="H878" s="91"/>
      <c r="I878" s="92"/>
      <c r="J878" s="93"/>
      <c r="K878" s="92"/>
      <c r="L878" s="94"/>
    </row>
    <row r="879" spans="1:56" ht="14.4">
      <c r="A879" s="110"/>
      <c r="B879" s="111"/>
      <c r="C879" s="111" t="s">
        <v>1379</v>
      </c>
      <c r="D879" s="81"/>
      <c r="E879" s="82"/>
      <c r="F879" s="82"/>
      <c r="G879" s="82"/>
      <c r="H879" s="83">
        <f>H873+H874+H876</f>
        <v>3786.0499999999997</v>
      </c>
      <c r="I879" s="84"/>
      <c r="J879" s="85">
        <f>J873+J874+J876</f>
        <v>5602.42</v>
      </c>
      <c r="K879" s="84"/>
      <c r="L879" s="86"/>
    </row>
    <row r="880" spans="1:56" ht="14.4">
      <c r="A880" s="110"/>
      <c r="B880" s="111"/>
      <c r="C880" s="111" t="s">
        <v>1380</v>
      </c>
      <c r="D880" s="81"/>
      <c r="E880" s="82"/>
      <c r="F880" s="82"/>
      <c r="G880" s="82"/>
      <c r="H880" s="83"/>
      <c r="I880" s="84"/>
      <c r="J880" s="85">
        <f>SUM(Q870:Q883)+SUM(V870:V883)</f>
        <v>2075.63</v>
      </c>
      <c r="K880" s="84"/>
      <c r="L880" s="86">
        <f>SUM(U870:U883)+SUM(W870:W883)</f>
        <v>50272</v>
      </c>
    </row>
    <row r="881" spans="1:56" ht="14.4">
      <c r="A881" s="110"/>
      <c r="B881" s="111" t="s">
        <v>1414</v>
      </c>
      <c r="C881" s="111" t="s">
        <v>1415</v>
      </c>
      <c r="D881" s="81" t="s">
        <v>1383</v>
      </c>
      <c r="E881" s="82">
        <f>Source!BZ173</f>
        <v>100</v>
      </c>
      <c r="F881" s="82">
        <f>ROUND(0.9,7)</f>
        <v>0.9</v>
      </c>
      <c r="G881" s="82">
        <f>Source!AT173</f>
        <v>90</v>
      </c>
      <c r="H881" s="83"/>
      <c r="I881" s="84"/>
      <c r="J881" s="85">
        <f>SUM(AC870:AC883)</f>
        <v>1868.07</v>
      </c>
      <c r="K881" s="84"/>
      <c r="L881" s="86">
        <f>SUM(AD870:AD883)</f>
        <v>45245</v>
      </c>
    </row>
    <row r="882" spans="1:56" ht="14.4">
      <c r="A882" s="114"/>
      <c r="B882" s="113" t="s">
        <v>1416</v>
      </c>
      <c r="C882" s="113" t="s">
        <v>1417</v>
      </c>
      <c r="D882" s="89" t="s">
        <v>1383</v>
      </c>
      <c r="E882" s="90">
        <f>Source!CA173</f>
        <v>49</v>
      </c>
      <c r="F882" s="90">
        <f>ROUND(0.85,7)</f>
        <v>0.85</v>
      </c>
      <c r="G882" s="90">
        <f>Source!AU173</f>
        <v>41.65</v>
      </c>
      <c r="H882" s="91"/>
      <c r="I882" s="92"/>
      <c r="J882" s="93">
        <f>SUM(AE870:AE883)</f>
        <v>864.5</v>
      </c>
      <c r="K882" s="92"/>
      <c r="L882" s="94">
        <f>SUM(AF870:AF883)</f>
        <v>20938</v>
      </c>
    </row>
    <row r="883" spans="1:56" ht="13.8">
      <c r="C883" s="95" t="s">
        <v>1386</v>
      </c>
      <c r="D883" s="95"/>
      <c r="E883" s="95"/>
      <c r="F883" s="95"/>
      <c r="G883" s="95"/>
      <c r="H883" s="95"/>
      <c r="I883" s="95">
        <f>J873+J874+J876+J881+J882</f>
        <v>8334.99</v>
      </c>
      <c r="J883" s="95"/>
      <c r="O883" s="69">
        <f>I883</f>
        <v>8334.99</v>
      </c>
      <c r="P883">
        <f>K883</f>
        <v>0</v>
      </c>
      <c r="Q883" s="69">
        <f>J873</f>
        <v>2040.38</v>
      </c>
      <c r="R883" s="69">
        <f>J873</f>
        <v>2040.38</v>
      </c>
      <c r="U883" s="70">
        <f>L873</f>
        <v>49418</v>
      </c>
      <c r="V883" s="69">
        <f>J875</f>
        <v>35.25</v>
      </c>
      <c r="W883" s="70">
        <f>L875</f>
        <v>854</v>
      </c>
      <c r="X883" s="69">
        <f>J874</f>
        <v>103.67</v>
      </c>
      <c r="Z883" s="70">
        <f>L874</f>
        <v>0</v>
      </c>
      <c r="AB883" s="69">
        <f>J876</f>
        <v>3458.37</v>
      </c>
      <c r="AN883">
        <f>IF(Source!BI173&lt;=1,J873+J874+J876+J881+J882, 0)</f>
        <v>8334.99</v>
      </c>
      <c r="AO883">
        <f>IF(Source!BI173&lt;=1,J876, 0)</f>
        <v>3458.37</v>
      </c>
      <c r="AP883">
        <f>IF(Source!BI173&lt;=1,J874, 0)</f>
        <v>103.67</v>
      </c>
      <c r="AQ883">
        <f>IF(Source!BI173&lt;=1,J873, 0)</f>
        <v>2040.38</v>
      </c>
      <c r="AX883">
        <f>IF(Source!BI173=2,J873+J874+J876+J881+J882, 0)</f>
        <v>0</v>
      </c>
      <c r="AY883">
        <f>IF(Source!BI173=2,J876, 0)</f>
        <v>0</v>
      </c>
      <c r="AZ883">
        <f>IF(Source!BI173=2,J874, 0)</f>
        <v>0</v>
      </c>
      <c r="BA883">
        <f>IF(Source!BI173=2,J873, 0)</f>
        <v>0</v>
      </c>
    </row>
    <row r="884" spans="1:56" ht="160.80000000000001">
      <c r="A884" s="110" t="str">
        <f>Source!E174</f>
        <v>98</v>
      </c>
      <c r="B884" s="111" t="str">
        <f>Source!F174</f>
        <v>15-04-027-5</v>
      </c>
      <c r="C884" s="111" t="s">
        <v>1458</v>
      </c>
      <c r="D884" s="81" t="str">
        <f>Source!H174</f>
        <v>100 м2 окрашиваемой поверхности</v>
      </c>
      <c r="E884" s="82">
        <f>Source!K174</f>
        <v>0.44800000000000001</v>
      </c>
      <c r="F884" s="82"/>
      <c r="G884" s="82">
        <f>Source!I174</f>
        <v>0.44800000000000001</v>
      </c>
      <c r="H884" s="83"/>
      <c r="I884" s="84"/>
      <c r="J884" s="85"/>
      <c r="K884" s="84"/>
      <c r="L884" s="86"/>
      <c r="AC884">
        <f>Source!X174</f>
        <v>58.76</v>
      </c>
      <c r="AD884">
        <f>Source!HK174</f>
        <v>1423</v>
      </c>
      <c r="AE884">
        <f>Source!Y174</f>
        <v>27.19</v>
      </c>
      <c r="AF884">
        <f>Source!HL174</f>
        <v>658</v>
      </c>
      <c r="AS884">
        <f>IF(Source!BI174&lt;=1,AD884, 0)</f>
        <v>1423</v>
      </c>
      <c r="AT884">
        <f>IF(Source!BI174&lt;=1,AF884, 0)</f>
        <v>658</v>
      </c>
      <c r="BC884">
        <f>IF(Source!BI174=2,AD884, 0)</f>
        <v>0</v>
      </c>
      <c r="BD884">
        <f>IF(Source!BI174=2,AF884, 0)</f>
        <v>0</v>
      </c>
    </row>
    <row r="886" spans="1:56">
      <c r="C886" s="67" t="str">
        <f>"Объем: "&amp;Source!K174&amp;"=11,2*"&amp;"4/"&amp;"100"</f>
        <v>Объем: 0,448=11,2*4/100</v>
      </c>
    </row>
    <row r="887" spans="1:56" ht="14.4">
      <c r="A887" s="110"/>
      <c r="B887" s="112">
        <v>1</v>
      </c>
      <c r="C887" s="111" t="s">
        <v>1373</v>
      </c>
      <c r="D887" s="81"/>
      <c r="E887" s="82"/>
      <c r="F887" s="82"/>
      <c r="G887" s="82"/>
      <c r="H887" s="83">
        <f>Source!AO174</f>
        <v>110.07</v>
      </c>
      <c r="I887" s="84">
        <f>ROUND(1.15*1.15,7)</f>
        <v>1.3225</v>
      </c>
      <c r="J887" s="85">
        <f>ROUND(Source!AF174*Source!I174, 2)</f>
        <v>65.209999999999994</v>
      </c>
      <c r="K887" s="84">
        <f>IF(Source!BA174&lt;&gt; 0, Source!BA174, 1)</f>
        <v>24.22</v>
      </c>
      <c r="L887" s="86">
        <f>Source!HJ174</f>
        <v>1579</v>
      </c>
    </row>
    <row r="888" spans="1:56" ht="14.4">
      <c r="A888" s="110"/>
      <c r="B888" s="112">
        <v>3</v>
      </c>
      <c r="C888" s="111" t="s">
        <v>1374</v>
      </c>
      <c r="D888" s="81"/>
      <c r="E888" s="82"/>
      <c r="F888" s="82"/>
      <c r="G888" s="82"/>
      <c r="H888" s="83">
        <f>Source!AM174</f>
        <v>3.06</v>
      </c>
      <c r="I888" s="84">
        <f>ROUND(1.25*1.15,7)</f>
        <v>1.4375</v>
      </c>
      <c r="J888" s="85">
        <f>ROUND(Source!AD174*Source!I174, 2)</f>
        <v>1.97</v>
      </c>
      <c r="K888" s="84"/>
      <c r="L888" s="86"/>
    </row>
    <row r="889" spans="1:56" ht="14.4">
      <c r="A889" s="110"/>
      <c r="B889" s="112">
        <v>2</v>
      </c>
      <c r="C889" s="111" t="s">
        <v>1375</v>
      </c>
      <c r="D889" s="81"/>
      <c r="E889" s="82"/>
      <c r="F889" s="82"/>
      <c r="G889" s="82"/>
      <c r="H889" s="83">
        <f>Source!AN174</f>
        <v>0.13</v>
      </c>
      <c r="I889" s="84">
        <f>ROUND(1.25*1.15,7)</f>
        <v>1.4375</v>
      </c>
      <c r="J889" s="87">
        <f>ROUND(Source!AE174*Source!I174, 2)</f>
        <v>0.08</v>
      </c>
      <c r="K889" s="84">
        <f>IF(Source!BS174&lt;&gt; 0, Source!BS174, 1)</f>
        <v>24.22</v>
      </c>
      <c r="L889" s="88">
        <f>Source!HI174</f>
        <v>2</v>
      </c>
    </row>
    <row r="890" spans="1:56" ht="14.4">
      <c r="A890" s="110"/>
      <c r="B890" s="112">
        <v>4</v>
      </c>
      <c r="C890" s="111" t="s">
        <v>1408</v>
      </c>
      <c r="D890" s="81"/>
      <c r="E890" s="82"/>
      <c r="F890" s="82"/>
      <c r="G890" s="82"/>
      <c r="H890" s="83">
        <f>Source!AL174</f>
        <v>414.61</v>
      </c>
      <c r="I890" s="84"/>
      <c r="J890" s="85">
        <f>ROUND(Source!AC174*Source!I174, 2)</f>
        <v>185.75</v>
      </c>
      <c r="K890" s="84"/>
      <c r="L890" s="86"/>
    </row>
    <row r="891" spans="1:56" ht="14.4">
      <c r="A891" s="110"/>
      <c r="B891" s="111"/>
      <c r="C891" s="111" t="s">
        <v>1376</v>
      </c>
      <c r="D891" s="81" t="s">
        <v>1377</v>
      </c>
      <c r="E891" s="82">
        <f>Source!AQ174</f>
        <v>11.99</v>
      </c>
      <c r="F891" s="82">
        <f>ROUND(1.15*1.15,7)</f>
        <v>1.3225</v>
      </c>
      <c r="G891" s="82">
        <f>ROUND(Source!U174, 7)</f>
        <v>7.1038351999999998</v>
      </c>
      <c r="H891" s="83"/>
      <c r="I891" s="84"/>
      <c r="J891" s="85"/>
      <c r="K891" s="84"/>
      <c r="L891" s="86"/>
    </row>
    <row r="892" spans="1:56" ht="14.4">
      <c r="A892" s="110"/>
      <c r="B892" s="111"/>
      <c r="C892" s="113" t="s">
        <v>1378</v>
      </c>
      <c r="D892" s="89" t="s">
        <v>1377</v>
      </c>
      <c r="E892" s="90">
        <f>Source!AR174</f>
        <v>0.01</v>
      </c>
      <c r="F892" s="90">
        <f>ROUND(1.25*1.15,7)</f>
        <v>1.4375</v>
      </c>
      <c r="G892" s="90">
        <f>ROUND(Source!V174, 7)</f>
        <v>6.4400000000000004E-3</v>
      </c>
      <c r="H892" s="91"/>
      <c r="I892" s="92"/>
      <c r="J892" s="93"/>
      <c r="K892" s="92"/>
      <c r="L892" s="94"/>
    </row>
    <row r="893" spans="1:56" ht="14.4">
      <c r="A893" s="110"/>
      <c r="B893" s="111"/>
      <c r="C893" s="111" t="s">
        <v>1379</v>
      </c>
      <c r="D893" s="81"/>
      <c r="E893" s="82"/>
      <c r="F893" s="82"/>
      <c r="G893" s="82"/>
      <c r="H893" s="83">
        <f>H887+H888+H890</f>
        <v>527.74</v>
      </c>
      <c r="I893" s="84"/>
      <c r="J893" s="85">
        <f>J887+J888+J890</f>
        <v>252.93</v>
      </c>
      <c r="K893" s="84"/>
      <c r="L893" s="86"/>
    </row>
    <row r="894" spans="1:56" ht="14.4">
      <c r="A894" s="110"/>
      <c r="B894" s="111"/>
      <c r="C894" s="111" t="s">
        <v>1380</v>
      </c>
      <c r="D894" s="81"/>
      <c r="E894" s="82"/>
      <c r="F894" s="82"/>
      <c r="G894" s="82"/>
      <c r="H894" s="83"/>
      <c r="I894" s="84"/>
      <c r="J894" s="85">
        <f>SUM(Q884:Q897)+SUM(V884:V897)</f>
        <v>65.289999999999992</v>
      </c>
      <c r="K894" s="84"/>
      <c r="L894" s="86">
        <f>SUM(U884:U897)+SUM(W884:W897)</f>
        <v>1581</v>
      </c>
    </row>
    <row r="895" spans="1:56" ht="14.4">
      <c r="A895" s="110"/>
      <c r="B895" s="111" t="s">
        <v>1414</v>
      </c>
      <c r="C895" s="111" t="s">
        <v>1415</v>
      </c>
      <c r="D895" s="81" t="s">
        <v>1383</v>
      </c>
      <c r="E895" s="82">
        <f>Source!BZ174</f>
        <v>100</v>
      </c>
      <c r="F895" s="82">
        <f>ROUND(0.9,7)</f>
        <v>0.9</v>
      </c>
      <c r="G895" s="82">
        <f>Source!AT174</f>
        <v>90</v>
      </c>
      <c r="H895" s="83"/>
      <c r="I895" s="84"/>
      <c r="J895" s="85">
        <f>SUM(AC884:AC897)</f>
        <v>58.76</v>
      </c>
      <c r="K895" s="84"/>
      <c r="L895" s="86">
        <f>SUM(AD884:AD897)</f>
        <v>1423</v>
      </c>
    </row>
    <row r="896" spans="1:56" ht="14.4">
      <c r="A896" s="114"/>
      <c r="B896" s="113" t="s">
        <v>1416</v>
      </c>
      <c r="C896" s="113" t="s">
        <v>1417</v>
      </c>
      <c r="D896" s="89" t="s">
        <v>1383</v>
      </c>
      <c r="E896" s="90">
        <f>Source!CA174</f>
        <v>49</v>
      </c>
      <c r="F896" s="90">
        <f>ROUND(0.85,7)</f>
        <v>0.85</v>
      </c>
      <c r="G896" s="90">
        <f>Source!AU174</f>
        <v>41.65</v>
      </c>
      <c r="H896" s="91"/>
      <c r="I896" s="92"/>
      <c r="J896" s="93">
        <f>SUM(AE884:AE897)</f>
        <v>27.19</v>
      </c>
      <c r="K896" s="92"/>
      <c r="L896" s="94">
        <f>SUM(AF884:AF897)</f>
        <v>658</v>
      </c>
    </row>
    <row r="897" spans="1:56" ht="13.8">
      <c r="C897" s="95" t="s">
        <v>1386</v>
      </c>
      <c r="D897" s="95"/>
      <c r="E897" s="95"/>
      <c r="F897" s="95"/>
      <c r="G897" s="95"/>
      <c r="H897" s="95"/>
      <c r="I897" s="95">
        <f>J887+J888+J890+J895+J896</f>
        <v>338.88</v>
      </c>
      <c r="J897" s="95"/>
      <c r="O897" s="69">
        <f>I897</f>
        <v>338.88</v>
      </c>
      <c r="P897">
        <f>K897</f>
        <v>0</v>
      </c>
      <c r="Q897" s="69">
        <f>J887</f>
        <v>65.209999999999994</v>
      </c>
      <c r="R897" s="69">
        <f>J887</f>
        <v>65.209999999999994</v>
      </c>
      <c r="U897" s="70">
        <f>L887</f>
        <v>1579</v>
      </c>
      <c r="V897" s="69">
        <f>J889</f>
        <v>0.08</v>
      </c>
      <c r="W897" s="70">
        <f>L889</f>
        <v>2</v>
      </c>
      <c r="X897" s="69">
        <f>J888</f>
        <v>1.97</v>
      </c>
      <c r="Z897" s="70">
        <f>L888</f>
        <v>0</v>
      </c>
      <c r="AB897" s="69">
        <f>J890</f>
        <v>185.75</v>
      </c>
      <c r="AN897">
        <f>IF(Source!BI174&lt;=1,J887+J888+J890+J895+J896, 0)</f>
        <v>338.88</v>
      </c>
      <c r="AO897">
        <f>IF(Source!BI174&lt;=1,J890, 0)</f>
        <v>185.75</v>
      </c>
      <c r="AP897">
        <f>IF(Source!BI174&lt;=1,J888, 0)</f>
        <v>1.97</v>
      </c>
      <c r="AQ897">
        <f>IF(Source!BI174&lt;=1,J887, 0)</f>
        <v>65.209999999999994</v>
      </c>
      <c r="AX897">
        <f>IF(Source!BI174=2,J887+J888+J890+J895+J896, 0)</f>
        <v>0</v>
      </c>
      <c r="AY897">
        <f>IF(Source!BI174=2,J890, 0)</f>
        <v>0</v>
      </c>
      <c r="AZ897">
        <f>IF(Source!BI174=2,J888, 0)</f>
        <v>0</v>
      </c>
      <c r="BA897">
        <f>IF(Source!BI174=2,J887, 0)</f>
        <v>0</v>
      </c>
    </row>
    <row r="898" spans="1:56" ht="188.4">
      <c r="A898" s="110" t="str">
        <f>Source!E175</f>
        <v>99</v>
      </c>
      <c r="B898" s="111" t="str">
        <f>Source!F175</f>
        <v>15-01-019-5</v>
      </c>
      <c r="C898" s="111" t="s">
        <v>1463</v>
      </c>
      <c r="D898" s="81" t="str">
        <f>Source!H175</f>
        <v>100 м2 поверхности облицовки</v>
      </c>
      <c r="E898" s="82">
        <f>Source!K175</f>
        <v>0.89200000000000002</v>
      </c>
      <c r="F898" s="82"/>
      <c r="G898" s="82">
        <f>Source!I175</f>
        <v>0.89200000000000002</v>
      </c>
      <c r="H898" s="83"/>
      <c r="I898" s="84"/>
      <c r="J898" s="85"/>
      <c r="K898" s="84"/>
      <c r="L898" s="86"/>
      <c r="AC898">
        <f>Source!X175</f>
        <v>1521.49</v>
      </c>
      <c r="AD898">
        <f>Source!HK175</f>
        <v>36851</v>
      </c>
      <c r="AE898">
        <f>Source!Y175</f>
        <v>704.11</v>
      </c>
      <c r="AF898">
        <f>Source!HL175</f>
        <v>17054</v>
      </c>
      <c r="AS898">
        <f>IF(Source!BI175&lt;=1,AD898, 0)</f>
        <v>36851</v>
      </c>
      <c r="AT898">
        <f>IF(Source!BI175&lt;=1,AF898, 0)</f>
        <v>17054</v>
      </c>
      <c r="BC898">
        <f>IF(Source!BI175=2,AD898, 0)</f>
        <v>0</v>
      </c>
      <c r="BD898">
        <f>IF(Source!BI175=2,AF898, 0)</f>
        <v>0</v>
      </c>
    </row>
    <row r="900" spans="1:56">
      <c r="C900" s="67" t="str">
        <f>"Объем: "&amp;Source!K175&amp;"=22,3*"&amp;"4/"&amp;"100"</f>
        <v>Объем: 0,892=22,3*4/100</v>
      </c>
    </row>
    <row r="901" spans="1:56" ht="14.4">
      <c r="A901" s="110"/>
      <c r="B901" s="112">
        <v>1</v>
      </c>
      <c r="C901" s="111" t="s">
        <v>1373</v>
      </c>
      <c r="D901" s="81"/>
      <c r="E901" s="82"/>
      <c r="F901" s="82"/>
      <c r="G901" s="82"/>
      <c r="H901" s="83">
        <f>Source!AO175</f>
        <v>1414.68</v>
      </c>
      <c r="I901" s="84">
        <f>ROUND(1.15*1.15,7)</f>
        <v>1.3225</v>
      </c>
      <c r="J901" s="85">
        <f>ROUND(Source!AF175*Source!I175, 2)</f>
        <v>1668.86</v>
      </c>
      <c r="K901" s="84">
        <f>IF(Source!BA175&lt;&gt; 0, Source!BA175, 1)</f>
        <v>24.22</v>
      </c>
      <c r="L901" s="86">
        <f>Source!HJ175</f>
        <v>40420</v>
      </c>
    </row>
    <row r="902" spans="1:56" ht="14.4">
      <c r="A902" s="110"/>
      <c r="B902" s="112">
        <v>3</v>
      </c>
      <c r="C902" s="111" t="s">
        <v>1374</v>
      </c>
      <c r="D902" s="81"/>
      <c r="E902" s="82"/>
      <c r="F902" s="82"/>
      <c r="G902" s="82"/>
      <c r="H902" s="83">
        <f>Source!AM175</f>
        <v>31.82</v>
      </c>
      <c r="I902" s="84">
        <f>ROUND(1.25*1.15,7)</f>
        <v>1.4375</v>
      </c>
      <c r="J902" s="85">
        <f>ROUND(Source!AD175*Source!I175, 2)</f>
        <v>40.799999999999997</v>
      </c>
      <c r="K902" s="84"/>
      <c r="L902" s="86"/>
    </row>
    <row r="903" spans="1:56" ht="14.4">
      <c r="A903" s="110"/>
      <c r="B903" s="112">
        <v>2</v>
      </c>
      <c r="C903" s="111" t="s">
        <v>1375</v>
      </c>
      <c r="D903" s="81"/>
      <c r="E903" s="82"/>
      <c r="F903" s="82"/>
      <c r="G903" s="82"/>
      <c r="H903" s="83">
        <f>Source!AN175</f>
        <v>16.91</v>
      </c>
      <c r="I903" s="84">
        <f>ROUND(1.25*1.15,7)</f>
        <v>1.4375</v>
      </c>
      <c r="J903" s="87">
        <f>ROUND(Source!AE175*Source!I175, 2)</f>
        <v>21.68</v>
      </c>
      <c r="K903" s="84">
        <f>IF(Source!BS175&lt;&gt; 0, Source!BS175, 1)</f>
        <v>24.22</v>
      </c>
      <c r="L903" s="88">
        <f>Source!HI175</f>
        <v>525</v>
      </c>
    </row>
    <row r="904" spans="1:56" ht="14.4">
      <c r="A904" s="110"/>
      <c r="B904" s="112">
        <v>4</v>
      </c>
      <c r="C904" s="111" t="s">
        <v>1408</v>
      </c>
      <c r="D904" s="81"/>
      <c r="E904" s="82"/>
      <c r="F904" s="82"/>
      <c r="G904" s="82"/>
      <c r="H904" s="83">
        <f>Source!AL175</f>
        <v>9505.65</v>
      </c>
      <c r="I904" s="84"/>
      <c r="J904" s="85">
        <f>ROUND(Source!AC175*Source!I175, 2)</f>
        <v>8479.0400000000009</v>
      </c>
      <c r="K904" s="84"/>
      <c r="L904" s="86"/>
    </row>
    <row r="905" spans="1:56" ht="14.4">
      <c r="A905" s="110"/>
      <c r="B905" s="111"/>
      <c r="C905" s="111" t="s">
        <v>1376</v>
      </c>
      <c r="D905" s="81" t="s">
        <v>1377</v>
      </c>
      <c r="E905" s="82">
        <f>Source!AQ175</f>
        <v>159.66999999999999</v>
      </c>
      <c r="F905" s="82">
        <f>ROUND(1.15*1.15,7)</f>
        <v>1.3225</v>
      </c>
      <c r="G905" s="82">
        <f>ROUND(Source!U175, 7)</f>
        <v>188.35790890000001</v>
      </c>
      <c r="H905" s="83"/>
      <c r="I905" s="84"/>
      <c r="J905" s="85"/>
      <c r="K905" s="84"/>
      <c r="L905" s="86"/>
    </row>
    <row r="906" spans="1:56" ht="14.4">
      <c r="A906" s="110"/>
      <c r="B906" s="111"/>
      <c r="C906" s="113" t="s">
        <v>1378</v>
      </c>
      <c r="D906" s="89" t="s">
        <v>1377</v>
      </c>
      <c r="E906" s="90">
        <f>Source!AR175</f>
        <v>1.65</v>
      </c>
      <c r="F906" s="90">
        <f>ROUND(1.25*1.15,7)</f>
        <v>1.4375</v>
      </c>
      <c r="G906" s="90">
        <f>ROUND(Source!V175, 7)</f>
        <v>2.1157124999999999</v>
      </c>
      <c r="H906" s="91"/>
      <c r="I906" s="92"/>
      <c r="J906" s="93"/>
      <c r="K906" s="92"/>
      <c r="L906" s="94"/>
    </row>
    <row r="907" spans="1:56" ht="14.4">
      <c r="A907" s="110"/>
      <c r="B907" s="111"/>
      <c r="C907" s="111" t="s">
        <v>1379</v>
      </c>
      <c r="D907" s="81"/>
      <c r="E907" s="82"/>
      <c r="F907" s="82"/>
      <c r="G907" s="82"/>
      <c r="H907" s="83">
        <f>H901+H902+H904</f>
        <v>10952.15</v>
      </c>
      <c r="I907" s="84"/>
      <c r="J907" s="85">
        <f>J901+J902+J904</f>
        <v>10188.700000000001</v>
      </c>
      <c r="K907" s="84"/>
      <c r="L907" s="86"/>
    </row>
    <row r="908" spans="1:56" ht="14.4">
      <c r="A908" s="110"/>
      <c r="B908" s="111"/>
      <c r="C908" s="111" t="s">
        <v>1380</v>
      </c>
      <c r="D908" s="81"/>
      <c r="E908" s="82"/>
      <c r="F908" s="82"/>
      <c r="G908" s="82"/>
      <c r="H908" s="83"/>
      <c r="I908" s="84"/>
      <c r="J908" s="85">
        <f>SUM(Q898:Q911)+SUM(V898:V911)</f>
        <v>1690.54</v>
      </c>
      <c r="K908" s="84"/>
      <c r="L908" s="86">
        <f>SUM(U898:U911)+SUM(W898:W911)</f>
        <v>40945</v>
      </c>
    </row>
    <row r="909" spans="1:56" ht="14.4">
      <c r="A909" s="110"/>
      <c r="B909" s="111" t="s">
        <v>1414</v>
      </c>
      <c r="C909" s="111" t="s">
        <v>1415</v>
      </c>
      <c r="D909" s="81" t="s">
        <v>1383</v>
      </c>
      <c r="E909" s="82">
        <f>Source!BZ175</f>
        <v>100</v>
      </c>
      <c r="F909" s="82">
        <f>ROUND(0.9,7)</f>
        <v>0.9</v>
      </c>
      <c r="G909" s="82">
        <f>Source!AT175</f>
        <v>90</v>
      </c>
      <c r="H909" s="83"/>
      <c r="I909" s="84"/>
      <c r="J909" s="85">
        <f>SUM(AC898:AC911)</f>
        <v>1521.49</v>
      </c>
      <c r="K909" s="84"/>
      <c r="L909" s="86">
        <f>SUM(AD898:AD911)</f>
        <v>36851</v>
      </c>
    </row>
    <row r="910" spans="1:56" ht="14.4">
      <c r="A910" s="114"/>
      <c r="B910" s="113" t="s">
        <v>1416</v>
      </c>
      <c r="C910" s="113" t="s">
        <v>1417</v>
      </c>
      <c r="D910" s="89" t="s">
        <v>1383</v>
      </c>
      <c r="E910" s="90">
        <f>Source!CA175</f>
        <v>49</v>
      </c>
      <c r="F910" s="90">
        <f>ROUND(0.85,7)</f>
        <v>0.85</v>
      </c>
      <c r="G910" s="90">
        <f>Source!AU175</f>
        <v>41.65</v>
      </c>
      <c r="H910" s="91"/>
      <c r="I910" s="92"/>
      <c r="J910" s="93">
        <f>SUM(AE898:AE911)</f>
        <v>704.11</v>
      </c>
      <c r="K910" s="92"/>
      <c r="L910" s="94">
        <f>SUM(AF898:AF911)</f>
        <v>17054</v>
      </c>
    </row>
    <row r="911" spans="1:56" ht="13.8">
      <c r="C911" s="95" t="s">
        <v>1386</v>
      </c>
      <c r="D911" s="95"/>
      <c r="E911" s="95"/>
      <c r="F911" s="95"/>
      <c r="G911" s="95"/>
      <c r="H911" s="95"/>
      <c r="I911" s="95">
        <f>J901+J902+J904+J909+J910</f>
        <v>12414.300000000001</v>
      </c>
      <c r="J911" s="95"/>
      <c r="O911" s="69">
        <f>I911</f>
        <v>12414.300000000001</v>
      </c>
      <c r="P911">
        <f>K911</f>
        <v>0</v>
      </c>
      <c r="Q911" s="69">
        <f>J901</f>
        <v>1668.86</v>
      </c>
      <c r="R911" s="69">
        <f>J901</f>
        <v>1668.86</v>
      </c>
      <c r="U911" s="70">
        <f>L901</f>
        <v>40420</v>
      </c>
      <c r="V911" s="69">
        <f>J903</f>
        <v>21.68</v>
      </c>
      <c r="W911" s="70">
        <f>L903</f>
        <v>525</v>
      </c>
      <c r="X911" s="69">
        <f>J902</f>
        <v>40.799999999999997</v>
      </c>
      <c r="Z911" s="70">
        <f>L902</f>
        <v>0</v>
      </c>
      <c r="AB911" s="69">
        <f>J904</f>
        <v>8479.0400000000009</v>
      </c>
      <c r="AN911">
        <f>IF(Source!BI175&lt;=1,J901+J902+J904+J909+J910, 0)</f>
        <v>12414.300000000001</v>
      </c>
      <c r="AO911">
        <f>IF(Source!BI175&lt;=1,J904, 0)</f>
        <v>8479.0400000000009</v>
      </c>
      <c r="AP911">
        <f>IF(Source!BI175&lt;=1,J902, 0)</f>
        <v>40.799999999999997</v>
      </c>
      <c r="AQ911">
        <f>IF(Source!BI175&lt;=1,J901, 0)</f>
        <v>1668.86</v>
      </c>
      <c r="AX911">
        <f>IF(Source!BI175=2,J901+J902+J904+J909+J910, 0)</f>
        <v>0</v>
      </c>
      <c r="AY911">
        <f>IF(Source!BI175=2,J904, 0)</f>
        <v>0</v>
      </c>
      <c r="AZ911">
        <f>IF(Source!BI175=2,J902, 0)</f>
        <v>0</v>
      </c>
      <c r="BA911">
        <f>IF(Source!BI175=2,J901, 0)</f>
        <v>0</v>
      </c>
    </row>
    <row r="912" spans="1:56" ht="147">
      <c r="A912" s="110" t="str">
        <f>Source!E176</f>
        <v>100</v>
      </c>
      <c r="B912" s="111" t="str">
        <f>Source!F176</f>
        <v>15-04-005-7</v>
      </c>
      <c r="C912" s="111" t="s">
        <v>1459</v>
      </c>
      <c r="D912" s="81" t="str">
        <f>Source!H176</f>
        <v>100 м2 окрашиваемой поверхности</v>
      </c>
      <c r="E912" s="82">
        <f>Source!K176</f>
        <v>0.44800000000000001</v>
      </c>
      <c r="F912" s="82"/>
      <c r="G912" s="82">
        <f>Source!I176</f>
        <v>0.44800000000000001</v>
      </c>
      <c r="H912" s="83"/>
      <c r="I912" s="84"/>
      <c r="J912" s="85"/>
      <c r="K912" s="84"/>
      <c r="L912" s="86"/>
      <c r="AC912">
        <f>Source!X176</f>
        <v>340.79</v>
      </c>
      <c r="AD912">
        <f>Source!HK176</f>
        <v>8254</v>
      </c>
      <c r="AE912">
        <f>Source!Y176</f>
        <v>157.71</v>
      </c>
      <c r="AF912">
        <f>Source!HL176</f>
        <v>3820</v>
      </c>
      <c r="AS912">
        <f>IF(Source!BI176&lt;=1,AD912, 0)</f>
        <v>8254</v>
      </c>
      <c r="AT912">
        <f>IF(Source!BI176&lt;=1,AF912, 0)</f>
        <v>3820</v>
      </c>
      <c r="BC912">
        <f>IF(Source!BI176=2,AD912, 0)</f>
        <v>0</v>
      </c>
      <c r="BD912">
        <f>IF(Source!BI176=2,AF912, 0)</f>
        <v>0</v>
      </c>
    </row>
    <row r="914" spans="1:56">
      <c r="C914" s="67" t="str">
        <f>"Объем: "&amp;Source!K176&amp;"=44,8/"&amp;"100"</f>
        <v>Объем: 0,448=44,8/100</v>
      </c>
    </row>
    <row r="915" spans="1:56" ht="14.4">
      <c r="A915" s="110"/>
      <c r="B915" s="112">
        <v>1</v>
      </c>
      <c r="C915" s="111" t="s">
        <v>1373</v>
      </c>
      <c r="D915" s="81"/>
      <c r="E915" s="82"/>
      <c r="F915" s="82"/>
      <c r="G915" s="82"/>
      <c r="H915" s="83">
        <f>Source!AO176</f>
        <v>638.69000000000005</v>
      </c>
      <c r="I915" s="84">
        <f>ROUND(1.15*1.15,7)</f>
        <v>1.3225</v>
      </c>
      <c r="J915" s="85">
        <f>ROUND(Source!AF176*Source!I176, 2)</f>
        <v>378.41</v>
      </c>
      <c r="K915" s="84">
        <f>IF(Source!BA176&lt;&gt; 0, Source!BA176, 1)</f>
        <v>24.22</v>
      </c>
      <c r="L915" s="86">
        <f>Source!HJ176</f>
        <v>9165</v>
      </c>
    </row>
    <row r="916" spans="1:56" ht="14.4">
      <c r="A916" s="110"/>
      <c r="B916" s="112">
        <v>3</v>
      </c>
      <c r="C916" s="111" t="s">
        <v>1374</v>
      </c>
      <c r="D916" s="81"/>
      <c r="E916" s="82"/>
      <c r="F916" s="82"/>
      <c r="G916" s="82"/>
      <c r="H916" s="83">
        <f>Source!AM176</f>
        <v>19.25</v>
      </c>
      <c r="I916" s="84">
        <f>ROUND(1.25*1.15,7)</f>
        <v>1.4375</v>
      </c>
      <c r="J916" s="85">
        <f>ROUND(Source!AD176*Source!I176, 2)</f>
        <v>12.4</v>
      </c>
      <c r="K916" s="84"/>
      <c r="L916" s="86"/>
    </row>
    <row r="917" spans="1:56" ht="14.4">
      <c r="A917" s="110"/>
      <c r="B917" s="112">
        <v>2</v>
      </c>
      <c r="C917" s="111" t="s">
        <v>1375</v>
      </c>
      <c r="D917" s="81"/>
      <c r="E917" s="82"/>
      <c r="F917" s="82"/>
      <c r="G917" s="82"/>
      <c r="H917" s="83">
        <f>Source!AN176</f>
        <v>0.39</v>
      </c>
      <c r="I917" s="84">
        <f>ROUND(1.25*1.15,7)</f>
        <v>1.4375</v>
      </c>
      <c r="J917" s="87">
        <f>ROUND(Source!AE176*Source!I176, 2)</f>
        <v>0.25</v>
      </c>
      <c r="K917" s="84">
        <f>IF(Source!BS176&lt;&gt; 0, Source!BS176, 1)</f>
        <v>24.22</v>
      </c>
      <c r="L917" s="88">
        <f>Source!HI176</f>
        <v>6</v>
      </c>
    </row>
    <row r="918" spans="1:56" ht="14.4">
      <c r="A918" s="110"/>
      <c r="B918" s="112">
        <v>4</v>
      </c>
      <c r="C918" s="111" t="s">
        <v>1408</v>
      </c>
      <c r="D918" s="81"/>
      <c r="E918" s="82"/>
      <c r="F918" s="82"/>
      <c r="G918" s="82"/>
      <c r="H918" s="83">
        <f>Source!AL176</f>
        <v>1385.44</v>
      </c>
      <c r="I918" s="84"/>
      <c r="J918" s="85">
        <f>ROUND(Source!AC176*Source!I176, 2)</f>
        <v>620.67999999999995</v>
      </c>
      <c r="K918" s="84"/>
      <c r="L918" s="86"/>
    </row>
    <row r="919" spans="1:56" ht="14.4">
      <c r="A919" s="110"/>
      <c r="B919" s="111"/>
      <c r="C919" s="111" t="s">
        <v>1376</v>
      </c>
      <c r="D919" s="81" t="s">
        <v>1377</v>
      </c>
      <c r="E919" s="82">
        <f>Source!AQ176</f>
        <v>68.75</v>
      </c>
      <c r="F919" s="82">
        <f>ROUND(1.15*1.15,7)</f>
        <v>1.3225</v>
      </c>
      <c r="G919" s="82">
        <f>ROUND(Source!U176, 7)</f>
        <v>40.732999999999997</v>
      </c>
      <c r="H919" s="83"/>
      <c r="I919" s="84"/>
      <c r="J919" s="85"/>
      <c r="K919" s="84"/>
      <c r="L919" s="86"/>
    </row>
    <row r="920" spans="1:56" ht="14.4">
      <c r="A920" s="110"/>
      <c r="B920" s="111"/>
      <c r="C920" s="113" t="s">
        <v>1378</v>
      </c>
      <c r="D920" s="89" t="s">
        <v>1377</v>
      </c>
      <c r="E920" s="90">
        <f>Source!AR176</f>
        <v>0.03</v>
      </c>
      <c r="F920" s="90">
        <f>ROUND(1.25*1.15,7)</f>
        <v>1.4375</v>
      </c>
      <c r="G920" s="90">
        <f>ROUND(Source!V176, 7)</f>
        <v>1.932E-2</v>
      </c>
      <c r="H920" s="91"/>
      <c r="I920" s="92"/>
      <c r="J920" s="93"/>
      <c r="K920" s="92"/>
      <c r="L920" s="94"/>
    </row>
    <row r="921" spans="1:56" ht="14.4">
      <c r="A921" s="110"/>
      <c r="B921" s="111"/>
      <c r="C921" s="111" t="s">
        <v>1379</v>
      </c>
      <c r="D921" s="81"/>
      <c r="E921" s="82"/>
      <c r="F921" s="82"/>
      <c r="G921" s="82"/>
      <c r="H921" s="83">
        <f>H915+H916+H918</f>
        <v>2043.38</v>
      </c>
      <c r="I921" s="84"/>
      <c r="J921" s="85">
        <f>J915+J916+J918</f>
        <v>1011.49</v>
      </c>
      <c r="K921" s="84"/>
      <c r="L921" s="86"/>
    </row>
    <row r="922" spans="1:56" ht="14.4">
      <c r="A922" s="110"/>
      <c r="B922" s="111"/>
      <c r="C922" s="111" t="s">
        <v>1380</v>
      </c>
      <c r="D922" s="81"/>
      <c r="E922" s="82"/>
      <c r="F922" s="82"/>
      <c r="G922" s="82"/>
      <c r="H922" s="83"/>
      <c r="I922" s="84"/>
      <c r="J922" s="85">
        <f>SUM(Q912:Q925)+SUM(V912:V925)</f>
        <v>378.66</v>
      </c>
      <c r="K922" s="84"/>
      <c r="L922" s="86">
        <f>SUM(U912:U925)+SUM(W912:W925)</f>
        <v>9171</v>
      </c>
    </row>
    <row r="923" spans="1:56" ht="14.4">
      <c r="A923" s="110"/>
      <c r="B923" s="111" t="s">
        <v>1414</v>
      </c>
      <c r="C923" s="111" t="s">
        <v>1415</v>
      </c>
      <c r="D923" s="81" t="s">
        <v>1383</v>
      </c>
      <c r="E923" s="82">
        <f>Source!BZ176</f>
        <v>100</v>
      </c>
      <c r="F923" s="82">
        <f>ROUND(0.9,7)</f>
        <v>0.9</v>
      </c>
      <c r="G923" s="82">
        <f>Source!AT176</f>
        <v>90</v>
      </c>
      <c r="H923" s="83"/>
      <c r="I923" s="84"/>
      <c r="J923" s="85">
        <f>SUM(AC912:AC925)</f>
        <v>340.79</v>
      </c>
      <c r="K923" s="84"/>
      <c r="L923" s="86">
        <f>SUM(AD912:AD925)</f>
        <v>8254</v>
      </c>
    </row>
    <row r="924" spans="1:56" ht="14.4">
      <c r="A924" s="114"/>
      <c r="B924" s="113" t="s">
        <v>1416</v>
      </c>
      <c r="C924" s="113" t="s">
        <v>1417</v>
      </c>
      <c r="D924" s="89" t="s">
        <v>1383</v>
      </c>
      <c r="E924" s="90">
        <f>Source!CA176</f>
        <v>49</v>
      </c>
      <c r="F924" s="90">
        <f>ROUND(0.85,7)</f>
        <v>0.85</v>
      </c>
      <c r="G924" s="90">
        <f>Source!AU176</f>
        <v>41.65</v>
      </c>
      <c r="H924" s="91"/>
      <c r="I924" s="92"/>
      <c r="J924" s="93">
        <f>SUM(AE912:AE925)</f>
        <v>157.71</v>
      </c>
      <c r="K924" s="92"/>
      <c r="L924" s="94">
        <f>SUM(AF912:AF925)</f>
        <v>3820</v>
      </c>
    </row>
    <row r="925" spans="1:56" ht="13.8">
      <c r="C925" s="95" t="s">
        <v>1386</v>
      </c>
      <c r="D925" s="95"/>
      <c r="E925" s="95"/>
      <c r="F925" s="95"/>
      <c r="G925" s="95"/>
      <c r="H925" s="95"/>
      <c r="I925" s="95">
        <f>J915+J916+J918+J923+J924</f>
        <v>1509.99</v>
      </c>
      <c r="J925" s="95"/>
      <c r="O925" s="69">
        <f>I925</f>
        <v>1509.99</v>
      </c>
      <c r="P925">
        <f>K925</f>
        <v>0</v>
      </c>
      <c r="Q925" s="69">
        <f>J915</f>
        <v>378.41</v>
      </c>
      <c r="R925" s="69">
        <f>J915</f>
        <v>378.41</v>
      </c>
      <c r="U925" s="70">
        <f>L915</f>
        <v>9165</v>
      </c>
      <c r="V925" s="69">
        <f>J917</f>
        <v>0.25</v>
      </c>
      <c r="W925" s="70">
        <f>L917</f>
        <v>6</v>
      </c>
      <c r="X925" s="69">
        <f>J916</f>
        <v>12.4</v>
      </c>
      <c r="Z925" s="70">
        <f>L916</f>
        <v>0</v>
      </c>
      <c r="AB925" s="69">
        <f>J918</f>
        <v>620.67999999999995</v>
      </c>
      <c r="AN925">
        <f>IF(Source!BI176&lt;=1,J915+J916+J918+J923+J924, 0)</f>
        <v>1509.99</v>
      </c>
      <c r="AO925">
        <f>IF(Source!BI176&lt;=1,J918, 0)</f>
        <v>620.67999999999995</v>
      </c>
      <c r="AP925">
        <f>IF(Source!BI176&lt;=1,J916, 0)</f>
        <v>12.4</v>
      </c>
      <c r="AQ925">
        <f>IF(Source!BI176&lt;=1,J915, 0)</f>
        <v>378.41</v>
      </c>
      <c r="AX925">
        <f>IF(Source!BI176=2,J915+J916+J918+J923+J924, 0)</f>
        <v>0</v>
      </c>
      <c r="AY925">
        <f>IF(Source!BI176=2,J918, 0)</f>
        <v>0</v>
      </c>
      <c r="AZ925">
        <f>IF(Source!BI176=2,J916, 0)</f>
        <v>0</v>
      </c>
      <c r="BA925">
        <f>IF(Source!BI176=2,J915, 0)</f>
        <v>0</v>
      </c>
    </row>
    <row r="926" spans="1:56" ht="147">
      <c r="A926" s="110" t="str">
        <f>Source!E177</f>
        <v>101</v>
      </c>
      <c r="B926" s="111" t="str">
        <f>Source!F177</f>
        <v>10-01-039-2</v>
      </c>
      <c r="C926" s="111" t="s">
        <v>1464</v>
      </c>
      <c r="D926" s="81" t="str">
        <f>Source!H177</f>
        <v>100 м2 проемов</v>
      </c>
      <c r="E926" s="82">
        <f>Source!K177</f>
        <v>0.33</v>
      </c>
      <c r="F926" s="82"/>
      <c r="G926" s="82">
        <f>Source!I177</f>
        <v>0.33</v>
      </c>
      <c r="H926" s="83"/>
      <c r="I926" s="84"/>
      <c r="J926" s="85"/>
      <c r="K926" s="84"/>
      <c r="L926" s="86"/>
      <c r="AC926">
        <f>Source!X177</f>
        <v>408.68</v>
      </c>
      <c r="AD926">
        <f>Source!HK177</f>
        <v>9898</v>
      </c>
      <c r="AE926">
        <f>Source!Y177</f>
        <v>196.56</v>
      </c>
      <c r="AF926">
        <f>Source!HL177</f>
        <v>4761</v>
      </c>
      <c r="AS926">
        <f>IF(Source!BI177&lt;=1,AD926, 0)</f>
        <v>9898</v>
      </c>
      <c r="AT926">
        <f>IF(Source!BI177&lt;=1,AF926, 0)</f>
        <v>4761</v>
      </c>
      <c r="BC926">
        <f>IF(Source!BI177=2,AD926, 0)</f>
        <v>0</v>
      </c>
      <c r="BD926">
        <f>IF(Source!BI177=2,AF926, 0)</f>
        <v>0</v>
      </c>
    </row>
    <row r="928" spans="1:56">
      <c r="C928" s="67" t="str">
        <f>"Объем: "&amp;Source!K177&amp;"=33/"&amp;"100"</f>
        <v>Объем: 0,33=33/100</v>
      </c>
    </row>
    <row r="929" spans="1:56" ht="14.4">
      <c r="A929" s="110"/>
      <c r="B929" s="112">
        <v>1</v>
      </c>
      <c r="C929" s="111" t="s">
        <v>1373</v>
      </c>
      <c r="D929" s="81"/>
      <c r="E929" s="82"/>
      <c r="F929" s="82"/>
      <c r="G929" s="82"/>
      <c r="H929" s="83">
        <f>Source!AO177</f>
        <v>843.71</v>
      </c>
      <c r="I929" s="84">
        <f>ROUND(1.15*1.15,7)</f>
        <v>1.3225</v>
      </c>
      <c r="J929" s="85">
        <f>ROUND(Source!AF177*Source!I177, 2)</f>
        <v>368.22</v>
      </c>
      <c r="K929" s="84">
        <f>IF(Source!BA177&lt;&gt; 0, Source!BA177, 1)</f>
        <v>24.22</v>
      </c>
      <c r="L929" s="86">
        <f>Source!HJ177</f>
        <v>8918</v>
      </c>
    </row>
    <row r="930" spans="1:56" ht="14.4">
      <c r="A930" s="110"/>
      <c r="B930" s="112">
        <v>3</v>
      </c>
      <c r="C930" s="111" t="s">
        <v>1374</v>
      </c>
      <c r="D930" s="81"/>
      <c r="E930" s="82"/>
      <c r="F930" s="82"/>
      <c r="G930" s="82"/>
      <c r="H930" s="83">
        <f>Source!AM177</f>
        <v>985.91</v>
      </c>
      <c r="I930" s="84">
        <f>ROUND(1.25*1.15,7)</f>
        <v>1.4375</v>
      </c>
      <c r="J930" s="85">
        <f>ROUND(Source!AD177*Source!I177, 2)</f>
        <v>467.69</v>
      </c>
      <c r="K930" s="84"/>
      <c r="L930" s="86"/>
    </row>
    <row r="931" spans="1:56" ht="14.4">
      <c r="A931" s="110"/>
      <c r="B931" s="112">
        <v>2</v>
      </c>
      <c r="C931" s="111" t="s">
        <v>1375</v>
      </c>
      <c r="D931" s="81"/>
      <c r="E931" s="82"/>
      <c r="F931" s="82"/>
      <c r="G931" s="82"/>
      <c r="H931" s="83">
        <f>Source!AN177</f>
        <v>110.1</v>
      </c>
      <c r="I931" s="84">
        <f>ROUND(1.25*1.15,7)</f>
        <v>1.4375</v>
      </c>
      <c r="J931" s="87">
        <f>ROUND(Source!AE177*Source!I177, 2)</f>
        <v>52.23</v>
      </c>
      <c r="K931" s="84">
        <f>IF(Source!BS177&lt;&gt; 0, Source!BS177, 1)</f>
        <v>24.22</v>
      </c>
      <c r="L931" s="88">
        <f>Source!HI177</f>
        <v>1265</v>
      </c>
    </row>
    <row r="932" spans="1:56" ht="14.4">
      <c r="A932" s="110"/>
      <c r="B932" s="112">
        <v>4</v>
      </c>
      <c r="C932" s="111" t="s">
        <v>1408</v>
      </c>
      <c r="D932" s="81"/>
      <c r="E932" s="82"/>
      <c r="F932" s="82"/>
      <c r="G932" s="82"/>
      <c r="H932" s="83">
        <f>Source!AL177</f>
        <v>24280.23</v>
      </c>
      <c r="I932" s="84"/>
      <c r="J932" s="85">
        <f>ROUND(Source!AC177*Source!I177, 2)</f>
        <v>8012.48</v>
      </c>
      <c r="K932" s="84"/>
      <c r="L932" s="86"/>
    </row>
    <row r="933" spans="1:56" ht="14.4">
      <c r="A933" s="110"/>
      <c r="B933" s="111"/>
      <c r="C933" s="111" t="s">
        <v>1376</v>
      </c>
      <c r="D933" s="81" t="s">
        <v>1377</v>
      </c>
      <c r="E933" s="82">
        <f>Source!AQ177</f>
        <v>92.92</v>
      </c>
      <c r="F933" s="82">
        <f>ROUND(1.15*1.15,7)</f>
        <v>1.3225</v>
      </c>
      <c r="G933" s="82">
        <f>ROUND(Source!U177, 7)</f>
        <v>40.552610999999999</v>
      </c>
      <c r="H933" s="83"/>
      <c r="I933" s="84"/>
      <c r="J933" s="85"/>
      <c r="K933" s="84"/>
      <c r="L933" s="86"/>
    </row>
    <row r="934" spans="1:56" ht="14.4">
      <c r="A934" s="110"/>
      <c r="B934" s="111"/>
      <c r="C934" s="113" t="s">
        <v>1378</v>
      </c>
      <c r="D934" s="89" t="s">
        <v>1377</v>
      </c>
      <c r="E934" s="90">
        <f>Source!AR177</f>
        <v>8.4499999999999993</v>
      </c>
      <c r="F934" s="90">
        <f>ROUND(1.25*1.15,7)</f>
        <v>1.4375</v>
      </c>
      <c r="G934" s="90">
        <f>ROUND(Source!V177, 7)</f>
        <v>4.0084688000000002</v>
      </c>
      <c r="H934" s="91"/>
      <c r="I934" s="92"/>
      <c r="J934" s="93"/>
      <c r="K934" s="92"/>
      <c r="L934" s="94"/>
    </row>
    <row r="935" spans="1:56" ht="14.4">
      <c r="A935" s="110"/>
      <c r="B935" s="111"/>
      <c r="C935" s="111" t="s">
        <v>1379</v>
      </c>
      <c r="D935" s="81"/>
      <c r="E935" s="82"/>
      <c r="F935" s="82"/>
      <c r="G935" s="82"/>
      <c r="H935" s="83">
        <f>H929+H930+H932</f>
        <v>26109.85</v>
      </c>
      <c r="I935" s="84"/>
      <c r="J935" s="85">
        <f>J929+J930+J932</f>
        <v>8848.39</v>
      </c>
      <c r="K935" s="84"/>
      <c r="L935" s="86"/>
    </row>
    <row r="936" spans="1:56" ht="14.4">
      <c r="A936" s="110"/>
      <c r="B936" s="111"/>
      <c r="C936" s="111" t="s">
        <v>1380</v>
      </c>
      <c r="D936" s="81"/>
      <c r="E936" s="82"/>
      <c r="F936" s="82"/>
      <c r="G936" s="82"/>
      <c r="H936" s="83"/>
      <c r="I936" s="84"/>
      <c r="J936" s="85">
        <f>SUM(Q926:Q939)+SUM(V926:V939)</f>
        <v>420.45000000000005</v>
      </c>
      <c r="K936" s="84"/>
      <c r="L936" s="86">
        <f>SUM(U926:U939)+SUM(W926:W939)</f>
        <v>10183</v>
      </c>
    </row>
    <row r="937" spans="1:56" ht="14.4">
      <c r="A937" s="110"/>
      <c r="B937" s="111" t="s">
        <v>1381</v>
      </c>
      <c r="C937" s="111" t="s">
        <v>1382</v>
      </c>
      <c r="D937" s="81" t="s">
        <v>1383</v>
      </c>
      <c r="E937" s="82">
        <f>Source!BZ177</f>
        <v>108</v>
      </c>
      <c r="F937" s="82">
        <f>ROUND(0.9,7)</f>
        <v>0.9</v>
      </c>
      <c r="G937" s="82">
        <f>Source!AT177</f>
        <v>97.2</v>
      </c>
      <c r="H937" s="83"/>
      <c r="I937" s="84"/>
      <c r="J937" s="85">
        <f>SUM(AC926:AC939)</f>
        <v>408.68</v>
      </c>
      <c r="K937" s="84"/>
      <c r="L937" s="86">
        <f>SUM(AD926:AD939)</f>
        <v>9898</v>
      </c>
    </row>
    <row r="938" spans="1:56" ht="14.4">
      <c r="A938" s="114"/>
      <c r="B938" s="113" t="s">
        <v>1384</v>
      </c>
      <c r="C938" s="113" t="s">
        <v>1385</v>
      </c>
      <c r="D938" s="89" t="s">
        <v>1383</v>
      </c>
      <c r="E938" s="90">
        <f>Source!CA177</f>
        <v>55</v>
      </c>
      <c r="F938" s="90">
        <f>ROUND(0.85,7)</f>
        <v>0.85</v>
      </c>
      <c r="G938" s="90">
        <f>Source!AU177</f>
        <v>46.75</v>
      </c>
      <c r="H938" s="91"/>
      <c r="I938" s="92"/>
      <c r="J938" s="93">
        <f>SUM(AE926:AE939)</f>
        <v>196.56</v>
      </c>
      <c r="K938" s="92"/>
      <c r="L938" s="94">
        <f>SUM(AF926:AF939)</f>
        <v>4761</v>
      </c>
    </row>
    <row r="939" spans="1:56" ht="13.8">
      <c r="C939" s="95" t="s">
        <v>1386</v>
      </c>
      <c r="D939" s="95"/>
      <c r="E939" s="95"/>
      <c r="F939" s="95"/>
      <c r="G939" s="95"/>
      <c r="H939" s="95"/>
      <c r="I939" s="95">
        <f>J929+J930+J932+J937+J938</f>
        <v>9453.6299999999992</v>
      </c>
      <c r="J939" s="95"/>
      <c r="O939" s="69">
        <f>I939</f>
        <v>9453.6299999999992</v>
      </c>
      <c r="P939">
        <f>K939</f>
        <v>0</v>
      </c>
      <c r="Q939" s="69">
        <f>J929</f>
        <v>368.22</v>
      </c>
      <c r="R939" s="69">
        <f>J929</f>
        <v>368.22</v>
      </c>
      <c r="U939" s="70">
        <f>L929</f>
        <v>8918</v>
      </c>
      <c r="V939" s="69">
        <f>J931</f>
        <v>52.23</v>
      </c>
      <c r="W939" s="70">
        <f>L931</f>
        <v>1265</v>
      </c>
      <c r="X939" s="69">
        <f>J930</f>
        <v>467.69</v>
      </c>
      <c r="Z939" s="70">
        <f>L930</f>
        <v>0</v>
      </c>
      <c r="AB939" s="69">
        <f>J932</f>
        <v>8012.48</v>
      </c>
      <c r="AN939">
        <f>IF(Source!BI177&lt;=1,J929+J930+J932+J937+J938, 0)</f>
        <v>9453.6299999999992</v>
      </c>
      <c r="AO939">
        <f>IF(Source!BI177&lt;=1,J932, 0)</f>
        <v>8012.48</v>
      </c>
      <c r="AP939">
        <f>IF(Source!BI177&lt;=1,J930, 0)</f>
        <v>467.69</v>
      </c>
      <c r="AQ939">
        <f>IF(Source!BI177&lt;=1,J929, 0)</f>
        <v>368.22</v>
      </c>
      <c r="AX939">
        <f>IF(Source!BI177=2,J929+J930+J932+J937+J938, 0)</f>
        <v>0</v>
      </c>
      <c r="AY939">
        <f>IF(Source!BI177=2,J932, 0)</f>
        <v>0</v>
      </c>
      <c r="AZ939">
        <f>IF(Source!BI177=2,J930, 0)</f>
        <v>0</v>
      </c>
      <c r="BA939">
        <f>IF(Source!BI177=2,J929, 0)</f>
        <v>0</v>
      </c>
    </row>
    <row r="940" spans="1:56" ht="41.4">
      <c r="A940" s="110" t="str">
        <f>Source!E178</f>
        <v>102</v>
      </c>
      <c r="B940" s="111" t="str">
        <f>Source!F178</f>
        <v>203-0225</v>
      </c>
      <c r="C940" s="111" t="str">
        <f>Source!G178</f>
        <v>Блоки дверные с рамочными полотнами однопольные ДН 21-15А, площадь 3,07 м2; ДН 24-15А, площадь 3,52 м2</v>
      </c>
      <c r="D940" s="81" t="str">
        <f>Source!H178</f>
        <v>м2</v>
      </c>
      <c r="E940" s="82">
        <f>Source!K178</f>
        <v>-33</v>
      </c>
      <c r="F940" s="82"/>
      <c r="G940" s="82">
        <f>Source!I178</f>
        <v>-33</v>
      </c>
      <c r="H940" s="83">
        <f>Source!AL178</f>
        <v>223.55</v>
      </c>
      <c r="I940" s="84"/>
      <c r="J940" s="85">
        <f>ROUND(Source!AC178*Source!I178, 2)</f>
        <v>-7377.15</v>
      </c>
      <c r="K940" s="84"/>
      <c r="L940" s="86"/>
      <c r="AC940">
        <f>Source!X178</f>
        <v>0</v>
      </c>
      <c r="AD940">
        <f>Source!HK178</f>
        <v>0</v>
      </c>
      <c r="AE940">
        <f>Source!Y178</f>
        <v>0</v>
      </c>
      <c r="AF940">
        <f>Source!HL178</f>
        <v>0</v>
      </c>
      <c r="AS940">
        <f>IF(Source!BI178&lt;=1,AD940, 0)</f>
        <v>0</v>
      </c>
      <c r="AT940">
        <f>IF(Source!BI178&lt;=1,AF940, 0)</f>
        <v>0</v>
      </c>
      <c r="BC940">
        <f>IF(Source!BI178=2,AD940, 0)</f>
        <v>0</v>
      </c>
      <c r="BD940">
        <f>IF(Source!BI178=2,AF940, 0)</f>
        <v>0</v>
      </c>
    </row>
    <row r="942" spans="1:56">
      <c r="A942" s="71"/>
      <c r="B942" s="71"/>
      <c r="C942" s="72" t="str">
        <f>"Объем: "&amp;Source!K178&amp;"="&amp;Source!I177&amp;"*"&amp;"-"&amp;"100"</f>
        <v>Объем: -33=0,33*-100</v>
      </c>
      <c r="D942" s="71"/>
      <c r="E942" s="71"/>
      <c r="F942" s="71"/>
      <c r="G942" s="71"/>
      <c r="H942" s="71"/>
      <c r="I942" s="71"/>
      <c r="J942" s="71"/>
      <c r="K942" s="71"/>
      <c r="L942" s="71"/>
    </row>
    <row r="943" spans="1:56" ht="13.8">
      <c r="C943" s="95" t="s">
        <v>1386</v>
      </c>
      <c r="D943" s="95"/>
      <c r="E943" s="95"/>
      <c r="F943" s="95"/>
      <c r="G943" s="95"/>
      <c r="H943" s="95"/>
      <c r="I943" s="95">
        <f>J940</f>
        <v>-7377.15</v>
      </c>
      <c r="J943" s="95"/>
      <c r="O943" s="69">
        <f>I943</f>
        <v>-7377.15</v>
      </c>
      <c r="P943">
        <f>K943</f>
        <v>0</v>
      </c>
      <c r="Q943">
        <f>0</f>
        <v>0</v>
      </c>
      <c r="R943">
        <f>0</f>
        <v>0</v>
      </c>
      <c r="U943">
        <f>0</f>
        <v>0</v>
      </c>
      <c r="V943">
        <f>0</f>
        <v>0</v>
      </c>
      <c r="W943">
        <f>0</f>
        <v>0</v>
      </c>
      <c r="X943">
        <f>0</f>
        <v>0</v>
      </c>
      <c r="Z943">
        <f>0</f>
        <v>0</v>
      </c>
      <c r="AB943" s="69">
        <f>I943</f>
        <v>-7377.15</v>
      </c>
      <c r="AN943">
        <f>IF(Source!BI178&lt;=1,J940, 0)</f>
        <v>-7377.15</v>
      </c>
      <c r="AO943">
        <f>IF(Source!BI178&lt;=1,I943, 0)</f>
        <v>-7377.15</v>
      </c>
      <c r="AP943">
        <f>IF(Source!BI178&lt;=1,0, 0)</f>
        <v>0</v>
      </c>
      <c r="AQ943">
        <f>IF(Source!BI178&lt;=1,0, 0)</f>
        <v>0</v>
      </c>
      <c r="AX943">
        <f>IF(Source!BI178=2,J940, 0)</f>
        <v>0</v>
      </c>
      <c r="AY943">
        <f>IF(Source!BI178=2,I943, 0)</f>
        <v>0</v>
      </c>
      <c r="AZ943">
        <f>IF(Source!BI178=2,0, 0)</f>
        <v>0</v>
      </c>
      <c r="BA943">
        <f>IF(Source!BI178=2,0, 0)</f>
        <v>0</v>
      </c>
    </row>
    <row r="944" spans="1:56" ht="41.4">
      <c r="A944" s="110" t="str">
        <f>Source!E179</f>
        <v>103</v>
      </c>
      <c r="B944" s="111" t="str">
        <f>Source!F179</f>
        <v>ТЦ_11.2.02.01_69_4823015698_22.07.2021_01</v>
      </c>
      <c r="C944" s="111" t="str">
        <f>Source!G179</f>
        <v>Блок дверной ДИ-1 (3*0,9м=2,7м2) индивидуального изготовления (19806/6,17)</v>
      </c>
      <c r="D944" s="81" t="str">
        <f>Source!H179</f>
        <v/>
      </c>
      <c r="E944" s="82">
        <f>Source!K179</f>
        <v>33</v>
      </c>
      <c r="F944" s="82"/>
      <c r="G944" s="82">
        <f>Source!I179</f>
        <v>33</v>
      </c>
      <c r="H944" s="83">
        <f>Source!AL179</f>
        <v>19806</v>
      </c>
      <c r="I944" s="84"/>
      <c r="J944" s="85">
        <f>Source!P179</f>
        <v>105931.6</v>
      </c>
      <c r="K944" s="84">
        <f>IF(Source!BC179&lt;&gt; 0, Source!BC179, 1)</f>
        <v>6.17</v>
      </c>
      <c r="L944" s="86">
        <f>Source!HG179</f>
        <v>653598</v>
      </c>
      <c r="AC944">
        <f>Source!X179</f>
        <v>0</v>
      </c>
      <c r="AD944">
        <f>Source!HK179</f>
        <v>0</v>
      </c>
      <c r="AE944">
        <f>Source!Y179</f>
        <v>0</v>
      </c>
      <c r="AF944">
        <f>Source!HL179</f>
        <v>0</v>
      </c>
      <c r="AS944">
        <f>IF(Source!BI179&lt;=1,AD944, 0)</f>
        <v>0</v>
      </c>
      <c r="AT944">
        <f>IF(Source!BI179&lt;=1,AF944, 0)</f>
        <v>0</v>
      </c>
      <c r="BC944">
        <f>IF(Source!BI179=2,AD944, 0)</f>
        <v>0</v>
      </c>
      <c r="BD944">
        <f>IF(Source!BI179=2,AF944, 0)</f>
        <v>0</v>
      </c>
    </row>
    <row r="945" spans="1:71">
      <c r="A945" s="71"/>
      <c r="B945" s="71"/>
      <c r="C945" s="71"/>
      <c r="D945" s="71"/>
      <c r="E945" s="71"/>
      <c r="F945" s="71"/>
      <c r="G945" s="71"/>
      <c r="H945" s="71"/>
      <c r="I945" s="71"/>
      <c r="J945" s="71"/>
      <c r="K945" s="71"/>
      <c r="L945" s="71"/>
    </row>
    <row r="946" spans="1:71" ht="13.8">
      <c r="C946" s="95" t="s">
        <v>1386</v>
      </c>
      <c r="D946" s="95"/>
      <c r="E946" s="95"/>
      <c r="F946" s="95"/>
      <c r="G946" s="95"/>
      <c r="H946" s="95"/>
      <c r="I946" s="95">
        <f>J944</f>
        <v>105931.6</v>
      </c>
      <c r="J946" s="95"/>
      <c r="K946" s="96">
        <f>L944</f>
        <v>653598</v>
      </c>
      <c r="L946" s="96"/>
      <c r="O946" s="69">
        <f>I946</f>
        <v>105931.6</v>
      </c>
      <c r="P946" s="70">
        <f>K946</f>
        <v>653598</v>
      </c>
      <c r="Q946">
        <f>0</f>
        <v>0</v>
      </c>
      <c r="R946">
        <f>0</f>
        <v>0</v>
      </c>
      <c r="U946">
        <f>0</f>
        <v>0</v>
      </c>
      <c r="V946">
        <f>0</f>
        <v>0</v>
      </c>
      <c r="W946">
        <f>0</f>
        <v>0</v>
      </c>
      <c r="X946">
        <f>0</f>
        <v>0</v>
      </c>
      <c r="Z946">
        <f>0</f>
        <v>0</v>
      </c>
      <c r="AB946" s="69">
        <f>I946</f>
        <v>105931.6</v>
      </c>
      <c r="AN946">
        <f>IF(Source!BI179&lt;=1,J944, 0)</f>
        <v>105931.6</v>
      </c>
      <c r="AO946">
        <f>IF(Source!BI179&lt;=1,I946, 0)</f>
        <v>105931.6</v>
      </c>
      <c r="AP946">
        <f>IF(Source!BI179&lt;=1,0, 0)</f>
        <v>0</v>
      </c>
      <c r="AQ946">
        <f>IF(Source!BI179&lt;=1,0, 0)</f>
        <v>0</v>
      </c>
      <c r="AX946">
        <f>IF(Source!BI179=2,J944, 0)</f>
        <v>0</v>
      </c>
      <c r="AY946">
        <f>IF(Source!BI179=2,I946, 0)</f>
        <v>0</v>
      </c>
      <c r="AZ946">
        <f>IF(Source!BI179=2,0, 0)</f>
        <v>0</v>
      </c>
      <c r="BA946">
        <f>IF(Source!BI179=2,0, 0)</f>
        <v>0</v>
      </c>
      <c r="BQ946" s="69">
        <f>I946</f>
        <v>105931.6</v>
      </c>
      <c r="BS946" s="70">
        <f>K946</f>
        <v>653598</v>
      </c>
    </row>
    <row r="947" spans="1:71" ht="27.6">
      <c r="A947" s="110" t="str">
        <f>Source!E180</f>
        <v>104</v>
      </c>
      <c r="B947" s="111" t="str">
        <f>Source!F180</f>
        <v>101-0887</v>
      </c>
      <c r="C947" s="111" t="str">
        <f>Source!G180</f>
        <v>Скобяные изделия для блоков входных однопольных</v>
      </c>
      <c r="D947" s="81" t="str">
        <f>Source!H180</f>
        <v>компл.</v>
      </c>
      <c r="E947" s="82">
        <f>Source!K180</f>
        <v>12</v>
      </c>
      <c r="F947" s="82"/>
      <c r="G947" s="82">
        <f>Source!I180</f>
        <v>12</v>
      </c>
      <c r="H947" s="83">
        <f>Source!AL180</f>
        <v>103.08</v>
      </c>
      <c r="I947" s="84"/>
      <c r="J947" s="85">
        <f>ROUND(Source!AC180*Source!I180, 2)</f>
        <v>1236.96</v>
      </c>
      <c r="K947" s="84"/>
      <c r="L947" s="86"/>
      <c r="AC947">
        <f>Source!X180</f>
        <v>0</v>
      </c>
      <c r="AD947">
        <f>Source!HK180</f>
        <v>0</v>
      </c>
      <c r="AE947">
        <f>Source!Y180</f>
        <v>0</v>
      </c>
      <c r="AF947">
        <f>Source!HL180</f>
        <v>0</v>
      </c>
      <c r="AS947">
        <f>IF(Source!BI180&lt;=1,AD947, 0)</f>
        <v>0</v>
      </c>
      <c r="AT947">
        <f>IF(Source!BI180&lt;=1,AF947, 0)</f>
        <v>0</v>
      </c>
      <c r="BC947">
        <f>IF(Source!BI180=2,AD947, 0)</f>
        <v>0</v>
      </c>
      <c r="BD947">
        <f>IF(Source!BI180=2,AF947, 0)</f>
        <v>0</v>
      </c>
    </row>
    <row r="948" spans="1:71">
      <c r="A948" s="71"/>
      <c r="B948" s="71"/>
      <c r="C948" s="71"/>
      <c r="D948" s="71"/>
      <c r="E948" s="71"/>
      <c r="F948" s="71"/>
      <c r="G948" s="71"/>
      <c r="H948" s="71"/>
      <c r="I948" s="71"/>
      <c r="J948" s="71"/>
      <c r="K948" s="71"/>
      <c r="L948" s="71"/>
    </row>
    <row r="949" spans="1:71" ht="13.8">
      <c r="C949" s="95" t="s">
        <v>1386</v>
      </c>
      <c r="D949" s="95"/>
      <c r="E949" s="95"/>
      <c r="F949" s="95"/>
      <c r="G949" s="95"/>
      <c r="H949" s="95"/>
      <c r="I949" s="95">
        <f>J947</f>
        <v>1236.96</v>
      </c>
      <c r="J949" s="95"/>
      <c r="O949" s="69">
        <f>I949</f>
        <v>1236.96</v>
      </c>
      <c r="P949">
        <f>K949</f>
        <v>0</v>
      </c>
      <c r="Q949">
        <f>0</f>
        <v>0</v>
      </c>
      <c r="R949">
        <f>0</f>
        <v>0</v>
      </c>
      <c r="U949">
        <f>0</f>
        <v>0</v>
      </c>
      <c r="V949">
        <f>0</f>
        <v>0</v>
      </c>
      <c r="W949">
        <f>0</f>
        <v>0</v>
      </c>
      <c r="X949">
        <f>0</f>
        <v>0</v>
      </c>
      <c r="Z949">
        <f>0</f>
        <v>0</v>
      </c>
      <c r="AB949" s="69">
        <f>I949</f>
        <v>1236.96</v>
      </c>
      <c r="AN949">
        <f>IF(Source!BI180&lt;=1,J947, 0)</f>
        <v>1236.96</v>
      </c>
      <c r="AO949">
        <f>IF(Source!BI180&lt;=1,I949, 0)</f>
        <v>1236.96</v>
      </c>
      <c r="AP949">
        <f>IF(Source!BI180&lt;=1,0, 0)</f>
        <v>0</v>
      </c>
      <c r="AQ949">
        <f>IF(Source!BI180&lt;=1,0, 0)</f>
        <v>0</v>
      </c>
      <c r="AX949">
        <f>IF(Source!BI180=2,J947, 0)</f>
        <v>0</v>
      </c>
      <c r="AY949">
        <f>IF(Source!BI180=2,I949, 0)</f>
        <v>0</v>
      </c>
      <c r="AZ949">
        <f>IF(Source!BI180=2,0, 0)</f>
        <v>0</v>
      </c>
      <c r="BA949">
        <f>IF(Source!BI180=2,0, 0)</f>
        <v>0</v>
      </c>
    </row>
    <row r="950" spans="1:71" ht="13.8">
      <c r="C950" s="79" t="str">
        <f>Source!G181</f>
        <v>Вывоз мусора</v>
      </c>
    </row>
    <row r="951" spans="1:71" ht="106.8">
      <c r="A951" s="110" t="str">
        <f>Source!E182</f>
        <v>105</v>
      </c>
      <c r="B951" s="111" t="str">
        <f>Source!F182</f>
        <v>69-15-1</v>
      </c>
      <c r="C951" s="111" t="s">
        <v>1465</v>
      </c>
      <c r="D951" s="81" t="str">
        <f>Source!H182</f>
        <v>1 Т</v>
      </c>
      <c r="E951" s="82">
        <f>Source!K182</f>
        <v>75</v>
      </c>
      <c r="F951" s="82"/>
      <c r="G951" s="82">
        <f>Source!I182</f>
        <v>75</v>
      </c>
      <c r="H951" s="83"/>
      <c r="I951" s="84"/>
      <c r="J951" s="85"/>
      <c r="K951" s="84"/>
      <c r="L951" s="86"/>
      <c r="AC951">
        <f>Source!X182</f>
        <v>567.35</v>
      </c>
      <c r="AD951">
        <f>Source!HK182</f>
        <v>13741</v>
      </c>
      <c r="AE951">
        <f>Source!Y182</f>
        <v>271.33999999999997</v>
      </c>
      <c r="AF951">
        <f>Source!HL182</f>
        <v>6572</v>
      </c>
      <c r="AS951">
        <f>IF(Source!BI182&lt;=1,AD951, 0)</f>
        <v>13741</v>
      </c>
      <c r="AT951">
        <f>IF(Source!BI182&lt;=1,AF951, 0)</f>
        <v>6572</v>
      </c>
      <c r="BC951">
        <f>IF(Source!BI182=2,AD951, 0)</f>
        <v>0</v>
      </c>
      <c r="BD951">
        <f>IF(Source!BI182=2,AF951, 0)</f>
        <v>0</v>
      </c>
    </row>
    <row r="953" spans="1:71" ht="14.4">
      <c r="A953" s="110"/>
      <c r="B953" s="112">
        <v>1</v>
      </c>
      <c r="C953" s="111" t="s">
        <v>1373</v>
      </c>
      <c r="D953" s="81"/>
      <c r="E953" s="82"/>
      <c r="F953" s="82"/>
      <c r="G953" s="82"/>
      <c r="H953" s="83">
        <f>Source!AO182</f>
        <v>7.15</v>
      </c>
      <c r="I953" s="84">
        <f>ROUND(1.15,7)</f>
        <v>1.1499999999999999</v>
      </c>
      <c r="J953" s="85">
        <f>ROUND(Source!AF182*Source!I182, 2)</f>
        <v>616.69000000000005</v>
      </c>
      <c r="K953" s="84">
        <f>IF(Source!BA182&lt;&gt; 0, Source!BA182, 1)</f>
        <v>24.22</v>
      </c>
      <c r="L953" s="86">
        <f>Source!HJ182</f>
        <v>14936</v>
      </c>
    </row>
    <row r="954" spans="1:71" ht="14.4">
      <c r="A954" s="110"/>
      <c r="B954" s="112">
        <v>4</v>
      </c>
      <c r="C954" s="111" t="s">
        <v>1408</v>
      </c>
      <c r="D954" s="81"/>
      <c r="E954" s="82"/>
      <c r="F954" s="82"/>
      <c r="G954" s="82"/>
      <c r="H954" s="83">
        <f>Source!AL182</f>
        <v>17.8</v>
      </c>
      <c r="I954" s="84"/>
      <c r="J954" s="85">
        <f>ROUND(Source!AC182*Source!I182, 2)</f>
        <v>1335</v>
      </c>
      <c r="K954" s="84"/>
      <c r="L954" s="86"/>
    </row>
    <row r="955" spans="1:71" ht="14.4">
      <c r="A955" s="110"/>
      <c r="B955" s="111"/>
      <c r="C955" s="113" t="s">
        <v>1376</v>
      </c>
      <c r="D955" s="89" t="s">
        <v>1377</v>
      </c>
      <c r="E955" s="90">
        <f>Source!AQ182</f>
        <v>1.03</v>
      </c>
      <c r="F955" s="90">
        <f>ROUND(1.15,7)</f>
        <v>1.1499999999999999</v>
      </c>
      <c r="G955" s="90">
        <f>ROUND(Source!U182, 7)</f>
        <v>88.837500000000006</v>
      </c>
      <c r="H955" s="91"/>
      <c r="I955" s="92"/>
      <c r="J955" s="93"/>
      <c r="K955" s="92"/>
      <c r="L955" s="94"/>
    </row>
    <row r="956" spans="1:71" ht="14.4">
      <c r="A956" s="110"/>
      <c r="B956" s="111"/>
      <c r="C956" s="111" t="s">
        <v>1379</v>
      </c>
      <c r="D956" s="81"/>
      <c r="E956" s="82"/>
      <c r="F956" s="82"/>
      <c r="G956" s="82"/>
      <c r="H956" s="83">
        <f>H953+H954</f>
        <v>24.950000000000003</v>
      </c>
      <c r="I956" s="84"/>
      <c r="J956" s="85">
        <f>J953+J954</f>
        <v>1951.69</v>
      </c>
      <c r="K956" s="84"/>
      <c r="L956" s="86"/>
    </row>
    <row r="957" spans="1:71" ht="14.4">
      <c r="A957" s="110"/>
      <c r="B957" s="111"/>
      <c r="C957" s="111" t="s">
        <v>1380</v>
      </c>
      <c r="D957" s="81"/>
      <c r="E957" s="82"/>
      <c r="F957" s="82"/>
      <c r="G957" s="82"/>
      <c r="H957" s="83"/>
      <c r="I957" s="84"/>
      <c r="J957" s="85">
        <f>SUM(Q951:Q960)+SUM(V951:V960)</f>
        <v>616.69000000000005</v>
      </c>
      <c r="K957" s="84"/>
      <c r="L957" s="86">
        <f>SUM(U951:U960)+SUM(W951:W960)</f>
        <v>14936</v>
      </c>
    </row>
    <row r="958" spans="1:71" ht="27.6">
      <c r="A958" s="110"/>
      <c r="B958" s="111" t="s">
        <v>1466</v>
      </c>
      <c r="C958" s="111" t="s">
        <v>1467</v>
      </c>
      <c r="D958" s="81" t="s">
        <v>1383</v>
      </c>
      <c r="E958" s="82">
        <f>Source!BZ182</f>
        <v>92</v>
      </c>
      <c r="F958" s="82"/>
      <c r="G958" s="82">
        <f>Source!AT182</f>
        <v>92</v>
      </c>
      <c r="H958" s="83"/>
      <c r="I958" s="84"/>
      <c r="J958" s="85">
        <f>SUM(AC951:AC960)</f>
        <v>567.35</v>
      </c>
      <c r="K958" s="84"/>
      <c r="L958" s="86">
        <f>SUM(AD951:AD960)</f>
        <v>13741</v>
      </c>
    </row>
    <row r="959" spans="1:71" ht="27.6">
      <c r="A959" s="114"/>
      <c r="B959" s="113" t="s">
        <v>1468</v>
      </c>
      <c r="C959" s="113" t="s">
        <v>1469</v>
      </c>
      <c r="D959" s="89" t="s">
        <v>1383</v>
      </c>
      <c r="E959" s="90">
        <f>Source!CA182</f>
        <v>44</v>
      </c>
      <c r="F959" s="90"/>
      <c r="G959" s="90">
        <f>Source!AU182</f>
        <v>44</v>
      </c>
      <c r="H959" s="91"/>
      <c r="I959" s="92"/>
      <c r="J959" s="93">
        <f>SUM(AE951:AE960)</f>
        <v>271.33999999999997</v>
      </c>
      <c r="K959" s="92"/>
      <c r="L959" s="94">
        <f>SUM(AF951:AF960)</f>
        <v>6572</v>
      </c>
    </row>
    <row r="960" spans="1:71" ht="13.8">
      <c r="C960" s="95" t="s">
        <v>1386</v>
      </c>
      <c r="D960" s="95"/>
      <c r="E960" s="95"/>
      <c r="F960" s="95"/>
      <c r="G960" s="95"/>
      <c r="H960" s="95"/>
      <c r="I960" s="95">
        <f>J953+J954+J958+J959</f>
        <v>2790.38</v>
      </c>
      <c r="J960" s="95"/>
      <c r="O960" s="69">
        <f>I960</f>
        <v>2790.38</v>
      </c>
      <c r="P960">
        <f>K960</f>
        <v>0</v>
      </c>
      <c r="Q960" s="69">
        <f>J953</f>
        <v>616.69000000000005</v>
      </c>
      <c r="R960" s="69">
        <f>J953</f>
        <v>616.69000000000005</v>
      </c>
      <c r="U960" s="70">
        <f>L953</f>
        <v>14936</v>
      </c>
      <c r="V960">
        <f>0</f>
        <v>0</v>
      </c>
      <c r="W960">
        <f>0</f>
        <v>0</v>
      </c>
      <c r="X960">
        <f>0</f>
        <v>0</v>
      </c>
      <c r="Z960">
        <f>0</f>
        <v>0</v>
      </c>
      <c r="AB960" s="69">
        <f>J954</f>
        <v>1335</v>
      </c>
      <c r="AN960">
        <f>IF(Source!BI182&lt;=1,J953+J954+J958+J959, 0)</f>
        <v>2790.38</v>
      </c>
      <c r="AO960">
        <f>IF(Source!BI182&lt;=1,J954, 0)</f>
        <v>1335</v>
      </c>
      <c r="AP960">
        <f>IF(Source!BI182&lt;=1,0, 0)</f>
        <v>0</v>
      </c>
      <c r="AQ960">
        <f>IF(Source!BI182&lt;=1,J953, 0)</f>
        <v>616.69000000000005</v>
      </c>
      <c r="AX960">
        <f>IF(Source!BI182=2,J953+J954+J958+J959, 0)</f>
        <v>0</v>
      </c>
      <c r="AY960">
        <f>IF(Source!BI182=2,J954, 0)</f>
        <v>0</v>
      </c>
      <c r="AZ960">
        <f>IF(Source!BI182=2,0, 0)</f>
        <v>0</v>
      </c>
      <c r="BA960">
        <f>IF(Source!BI182=2,J953, 0)</f>
        <v>0</v>
      </c>
    </row>
    <row r="961" spans="1:56" ht="41.4">
      <c r="A961" s="110" t="str">
        <f>Source!E183</f>
        <v>106</v>
      </c>
      <c r="B961" s="111" t="str">
        <f>Source!F183</f>
        <v>т01-01-001-21</v>
      </c>
      <c r="C961" s="111" t="str">
        <f>Source!G183</f>
        <v>Погрузка при автомобильных перевозках материалов, перевозимых в мешках и пакетах</v>
      </c>
      <c r="D961" s="81" t="str">
        <f>Source!H183</f>
        <v>1 т</v>
      </c>
      <c r="E961" s="82">
        <f>Source!K183</f>
        <v>75</v>
      </c>
      <c r="F961" s="82"/>
      <c r="G961" s="82">
        <f>Source!I183</f>
        <v>75</v>
      </c>
      <c r="H961" s="83"/>
      <c r="I961" s="84"/>
      <c r="J961" s="85"/>
      <c r="K961" s="84"/>
      <c r="L961" s="86"/>
      <c r="AC961">
        <f>Source!X183</f>
        <v>775.58</v>
      </c>
      <c r="AD961">
        <f>Source!HK183</f>
        <v>18785</v>
      </c>
      <c r="AE961">
        <f>Source!Y183</f>
        <v>361.94</v>
      </c>
      <c r="AF961">
        <f>Source!HL183</f>
        <v>8766</v>
      </c>
      <c r="AS961">
        <f>IF(Source!BI183&lt;=1,AD961, 0)</f>
        <v>18785</v>
      </c>
      <c r="AT961">
        <f>IF(Source!BI183&lt;=1,AF961, 0)</f>
        <v>8766</v>
      </c>
      <c r="BC961">
        <f>IF(Source!BI183=2,AD961, 0)</f>
        <v>0</v>
      </c>
      <c r="BD961">
        <f>IF(Source!BI183=2,AF961, 0)</f>
        <v>0</v>
      </c>
    </row>
    <row r="963" spans="1:56" ht="14.4">
      <c r="A963" s="110"/>
      <c r="B963" s="112">
        <v>1</v>
      </c>
      <c r="C963" s="111" t="s">
        <v>1373</v>
      </c>
      <c r="D963" s="81"/>
      <c r="E963" s="82"/>
      <c r="F963" s="82"/>
      <c r="G963" s="82"/>
      <c r="H963" s="83">
        <f>Source!AO183</f>
        <v>3.44</v>
      </c>
      <c r="I963" s="84"/>
      <c r="J963" s="85">
        <f>ROUND(Source!AF183*Source!I183, 2)</f>
        <v>670.5</v>
      </c>
      <c r="K963" s="84">
        <f>IF(Source!BA183&lt;&gt; 0, Source!BA183, 1)</f>
        <v>24.22</v>
      </c>
      <c r="L963" s="86">
        <f>Source!HJ183</f>
        <v>16240</v>
      </c>
    </row>
    <row r="964" spans="1:56" ht="14.4">
      <c r="A964" s="110"/>
      <c r="B964" s="112">
        <v>3</v>
      </c>
      <c r="C964" s="111" t="s">
        <v>1374</v>
      </c>
      <c r="D964" s="81"/>
      <c r="E964" s="82"/>
      <c r="F964" s="82"/>
      <c r="G964" s="82"/>
      <c r="H964" s="83">
        <f>Source!AM183</f>
        <v>9.89</v>
      </c>
      <c r="I964" s="84"/>
      <c r="J964" s="85">
        <f>ROUND(Source!AD183*Source!I183, 2)</f>
        <v>859.5</v>
      </c>
      <c r="K964" s="84"/>
      <c r="L964" s="86"/>
    </row>
    <row r="965" spans="1:56" ht="14.4">
      <c r="A965" s="110"/>
      <c r="B965" s="112">
        <v>2</v>
      </c>
      <c r="C965" s="111" t="s">
        <v>1375</v>
      </c>
      <c r="D965" s="81"/>
      <c r="E965" s="82"/>
      <c r="F965" s="82"/>
      <c r="G965" s="82"/>
      <c r="H965" s="83">
        <f>Source!AN183</f>
        <v>0.98</v>
      </c>
      <c r="I965" s="84"/>
      <c r="J965" s="87">
        <f>ROUND(Source!AE183*Source!I183, 2)</f>
        <v>191.25</v>
      </c>
      <c r="K965" s="84">
        <f>IF(Source!BS183&lt;&gt; 0, Source!BS183, 1)</f>
        <v>24.22</v>
      </c>
      <c r="L965" s="88">
        <f>Source!HI183</f>
        <v>4632</v>
      </c>
    </row>
    <row r="966" spans="1:56" ht="14.4">
      <c r="A966" s="110"/>
      <c r="B966" s="111"/>
      <c r="C966" s="111" t="s">
        <v>1376</v>
      </c>
      <c r="D966" s="81" t="s">
        <v>1377</v>
      </c>
      <c r="E966" s="82">
        <f>Source!AQ183</f>
        <v>0.45700000000000002</v>
      </c>
      <c r="F966" s="82"/>
      <c r="G966" s="82">
        <f>ROUND(Source!U183, 7)</f>
        <v>34.274999999999999</v>
      </c>
      <c r="H966" s="83"/>
      <c r="I966" s="84"/>
      <c r="J966" s="85"/>
      <c r="K966" s="84"/>
      <c r="L966" s="86"/>
    </row>
    <row r="967" spans="1:56" ht="14.4">
      <c r="A967" s="110"/>
      <c r="B967" s="111"/>
      <c r="C967" s="113" t="s">
        <v>1378</v>
      </c>
      <c r="D967" s="89" t="s">
        <v>1377</v>
      </c>
      <c r="E967" s="90">
        <f>Source!AR183</f>
        <v>0.10100000000000001</v>
      </c>
      <c r="F967" s="90"/>
      <c r="G967" s="90">
        <f>ROUND(Source!V183, 7)</f>
        <v>7.5750000000000002</v>
      </c>
      <c r="H967" s="91"/>
      <c r="I967" s="92"/>
      <c r="J967" s="93"/>
      <c r="K967" s="92"/>
      <c r="L967" s="94"/>
    </row>
    <row r="968" spans="1:56" ht="14.4">
      <c r="A968" s="110"/>
      <c r="B968" s="111"/>
      <c r="C968" s="111" t="s">
        <v>1379</v>
      </c>
      <c r="D968" s="81"/>
      <c r="E968" s="82"/>
      <c r="F968" s="82"/>
      <c r="G968" s="82"/>
      <c r="H968" s="83">
        <f>H963+H964</f>
        <v>13.33</v>
      </c>
      <c r="I968" s="84"/>
      <c r="J968" s="85">
        <f>J963+J964</f>
        <v>1530</v>
      </c>
      <c r="K968" s="84"/>
      <c r="L968" s="86"/>
    </row>
    <row r="969" spans="1:56" ht="14.4">
      <c r="A969" s="110"/>
      <c r="B969" s="111"/>
      <c r="C969" s="111" t="s">
        <v>1380</v>
      </c>
      <c r="D969" s="81"/>
      <c r="E969" s="82"/>
      <c r="F969" s="82"/>
      <c r="G969" s="82"/>
      <c r="H969" s="83"/>
      <c r="I969" s="84"/>
      <c r="J969" s="85">
        <f>SUM(AI961:AI972)+SUM(V961:V972)</f>
        <v>861.75</v>
      </c>
      <c r="K969" s="84"/>
      <c r="L969" s="86">
        <f>SUM(AJ961:AJ972)+SUM(W961:W972)</f>
        <v>20872</v>
      </c>
    </row>
    <row r="970" spans="1:56" ht="14.4">
      <c r="A970" s="110"/>
      <c r="B970" s="111"/>
      <c r="C970" s="111" t="s">
        <v>1470</v>
      </c>
      <c r="D970" s="81" t="s">
        <v>1383</v>
      </c>
      <c r="E970" s="82">
        <f>Source!BZ183</f>
        <v>90</v>
      </c>
      <c r="F970" s="82"/>
      <c r="G970" s="82">
        <f>Source!AT183</f>
        <v>90</v>
      </c>
      <c r="H970" s="83"/>
      <c r="I970" s="84"/>
      <c r="J970" s="85">
        <f>SUM(AC961:AC972)</f>
        <v>775.58</v>
      </c>
      <c r="K970" s="84"/>
      <c r="L970" s="86">
        <f>SUM(AD961:AD972)</f>
        <v>18785</v>
      </c>
    </row>
    <row r="971" spans="1:56" ht="14.4">
      <c r="A971" s="114"/>
      <c r="B971" s="113"/>
      <c r="C971" s="113" t="s">
        <v>1471</v>
      </c>
      <c r="D971" s="89" t="s">
        <v>1383</v>
      </c>
      <c r="E971" s="90">
        <f>Source!CA183</f>
        <v>42</v>
      </c>
      <c r="F971" s="90"/>
      <c r="G971" s="90">
        <f>Source!AU183</f>
        <v>42</v>
      </c>
      <c r="H971" s="91"/>
      <c r="I971" s="92"/>
      <c r="J971" s="93">
        <f>SUM(AE961:AE972)</f>
        <v>361.94</v>
      </c>
      <c r="K971" s="92"/>
      <c r="L971" s="94">
        <f>SUM(AF961:AF972)</f>
        <v>8766</v>
      </c>
    </row>
    <row r="972" spans="1:56" ht="13.8">
      <c r="C972" s="95" t="s">
        <v>1386</v>
      </c>
      <c r="D972" s="95"/>
      <c r="E972" s="95"/>
      <c r="F972" s="95"/>
      <c r="G972" s="95"/>
      <c r="H972" s="95"/>
      <c r="I972" s="95">
        <f>J963+J964+J970+J971</f>
        <v>2667.52</v>
      </c>
      <c r="J972" s="95"/>
      <c r="O972" s="69">
        <f>I972</f>
        <v>2667.52</v>
      </c>
      <c r="P972">
        <f>K972</f>
        <v>0</v>
      </c>
      <c r="R972" s="69">
        <f>J963</f>
        <v>670.5</v>
      </c>
      <c r="V972" s="69">
        <f>J965</f>
        <v>191.25</v>
      </c>
      <c r="W972" s="70">
        <f>L965</f>
        <v>4632</v>
      </c>
      <c r="Y972" s="69">
        <f>J964</f>
        <v>859.5</v>
      </c>
      <c r="AA972" s="70">
        <f>L964</f>
        <v>0</v>
      </c>
      <c r="AB972">
        <f>0</f>
        <v>0</v>
      </c>
      <c r="AI972" s="69">
        <f>J963</f>
        <v>670.5</v>
      </c>
      <c r="AJ972" s="70">
        <f>L963</f>
        <v>16240</v>
      </c>
      <c r="AO972">
        <f>IF(Source!BI183&lt;=1,0, 0)</f>
        <v>0</v>
      </c>
      <c r="AQ972">
        <f>IF(Source!BI183&lt;=1,J963, 0)</f>
        <v>670.5</v>
      </c>
      <c r="AR972">
        <f>IF(Source!BI183&lt;=1,J963+J964+J970+J971, 0)</f>
        <v>2667.52</v>
      </c>
      <c r="AY972">
        <f>IF(Source!BI183=2,0, 0)</f>
        <v>0</v>
      </c>
      <c r="BA972">
        <f>IF(Source!BI183=2,J963, 0)</f>
        <v>0</v>
      </c>
      <c r="BB972">
        <f>IF(Source!BI183=2,J963+J964+J970+J971, 0)</f>
        <v>0</v>
      </c>
    </row>
    <row r="973" spans="1:56" ht="55.2">
      <c r="A973" s="110" t="str">
        <f>Source!E184</f>
        <v>107</v>
      </c>
      <c r="B973" s="111" t="str">
        <f>Source!F184</f>
        <v>т03-21-001-21</v>
      </c>
      <c r="C973" s="111" t="str">
        <f>Source!G184</f>
        <v>Перевозка грузов I класса автомобилями-самосвалами грузоподъемностью 10 т работающих вне карьера на расстояние до 21 км</v>
      </c>
      <c r="D973" s="81" t="str">
        <f>Source!H184</f>
        <v>1 т</v>
      </c>
      <c r="E973" s="82">
        <f>Source!K184</f>
        <v>75</v>
      </c>
      <c r="F973" s="82"/>
      <c r="G973" s="82">
        <f>Source!I184</f>
        <v>75</v>
      </c>
      <c r="H973" s="83"/>
      <c r="I973" s="84"/>
      <c r="J973" s="85"/>
      <c r="K973" s="84"/>
      <c r="L973" s="86"/>
      <c r="AC973">
        <f>Source!X184</f>
        <v>0</v>
      </c>
      <c r="AD973">
        <f>Source!HK184</f>
        <v>0</v>
      </c>
      <c r="AE973">
        <f>Source!Y184</f>
        <v>0</v>
      </c>
      <c r="AF973">
        <f>Source!HL184</f>
        <v>0</v>
      </c>
      <c r="AS973">
        <f>IF(Source!BI184&lt;=1,AD973, 0)</f>
        <v>0</v>
      </c>
      <c r="AT973">
        <f>IF(Source!BI184&lt;=1,AF973, 0)</f>
        <v>0</v>
      </c>
      <c r="BC973">
        <f>IF(Source!BI184=2,AD973, 0)</f>
        <v>0</v>
      </c>
      <c r="BD973">
        <f>IF(Source!BI184=2,AF973, 0)</f>
        <v>0</v>
      </c>
    </row>
    <row r="975" spans="1:56" ht="14.4">
      <c r="A975" s="110"/>
      <c r="B975" s="112">
        <v>3</v>
      </c>
      <c r="C975" s="113" t="s">
        <v>1374</v>
      </c>
      <c r="D975" s="89"/>
      <c r="E975" s="90"/>
      <c r="F975" s="90"/>
      <c r="G975" s="90"/>
      <c r="H975" s="91">
        <f>Source!AM184</f>
        <v>15.33</v>
      </c>
      <c r="I975" s="92"/>
      <c r="J975" s="93">
        <f>ROUND(Source!AD184*Source!I184, 2)</f>
        <v>1149.75</v>
      </c>
      <c r="K975" s="92"/>
      <c r="L975" s="94"/>
    </row>
    <row r="976" spans="1:56" ht="14.4">
      <c r="A976" s="114"/>
      <c r="B976" s="113"/>
      <c r="C976" s="113" t="s">
        <v>1379</v>
      </c>
      <c r="D976" s="89"/>
      <c r="E976" s="90"/>
      <c r="F976" s="90"/>
      <c r="G976" s="90"/>
      <c r="H976" s="91">
        <f>H975</f>
        <v>15.33</v>
      </c>
      <c r="I976" s="92"/>
      <c r="J976" s="93">
        <f>J975</f>
        <v>1149.75</v>
      </c>
      <c r="K976" s="92"/>
      <c r="L976" s="94"/>
    </row>
    <row r="977" spans="1:84" ht="13.8">
      <c r="C977" s="95" t="s">
        <v>1386</v>
      </c>
      <c r="D977" s="95"/>
      <c r="E977" s="95"/>
      <c r="F977" s="95"/>
      <c r="G977" s="95"/>
      <c r="H977" s="95"/>
      <c r="I977" s="95">
        <f>J975</f>
        <v>1149.75</v>
      </c>
      <c r="J977" s="95"/>
      <c r="O977" s="69">
        <f>I977</f>
        <v>1149.75</v>
      </c>
      <c r="P977">
        <f>K977</f>
        <v>0</v>
      </c>
      <c r="R977">
        <f>0</f>
        <v>0</v>
      </c>
      <c r="V977">
        <f>0</f>
        <v>0</v>
      </c>
      <c r="W977">
        <f>0</f>
        <v>0</v>
      </c>
      <c r="Y977" s="69">
        <f>J975</f>
        <v>1149.75</v>
      </c>
      <c r="AA977" s="70">
        <f>L975</f>
        <v>0</v>
      </c>
      <c r="AB977">
        <f>0</f>
        <v>0</v>
      </c>
      <c r="AI977">
        <f>0</f>
        <v>0</v>
      </c>
      <c r="AJ977">
        <f>0</f>
        <v>0</v>
      </c>
      <c r="AO977">
        <f>IF(Source!BI184&lt;=1,0, 0)</f>
        <v>0</v>
      </c>
      <c r="AQ977">
        <f>IF(Source!BI184&lt;=1,0, 0)</f>
        <v>0</v>
      </c>
      <c r="AR977">
        <f>IF(Source!BI184&lt;=1,J975, 0)</f>
        <v>1149.75</v>
      </c>
      <c r="AY977">
        <f>IF(Source!BI184=2,0, 0)</f>
        <v>0</v>
      </c>
      <c r="BA977">
        <f>IF(Source!BI184=2,0, 0)</f>
        <v>0</v>
      </c>
      <c r="BB977">
        <f>IF(Source!BI184=2,J975, 0)</f>
        <v>0</v>
      </c>
    </row>
    <row r="979" spans="1:84" ht="13.8">
      <c r="A979" s="97"/>
      <c r="B979" s="98"/>
      <c r="C979" s="99" t="s">
        <v>1392</v>
      </c>
      <c r="D979" s="99"/>
      <c r="E979" s="99"/>
      <c r="F979" s="99"/>
      <c r="G979" s="99"/>
      <c r="H979" s="99"/>
      <c r="I979" s="100"/>
      <c r="J979" s="101">
        <f>J981+J982+J983+J984</f>
        <v>728844.13</v>
      </c>
      <c r="K979" s="101"/>
      <c r="L979" s="102"/>
      <c r="CF979" s="118" t="s">
        <v>1392</v>
      </c>
    </row>
    <row r="980" spans="1:84" ht="13.8">
      <c r="A980" s="103"/>
      <c r="B980" s="104"/>
      <c r="C980" s="105" t="s">
        <v>1393</v>
      </c>
      <c r="D980" s="106"/>
      <c r="E980" s="106"/>
      <c r="F980" s="106"/>
      <c r="G980" s="106"/>
      <c r="H980" s="106"/>
      <c r="I980" s="107"/>
      <c r="J980" s="108"/>
      <c r="K980" s="108"/>
      <c r="L980" s="109"/>
    </row>
    <row r="981" spans="1:84" ht="13.8">
      <c r="A981" s="103"/>
      <c r="B981" s="104"/>
      <c r="C981" s="106" t="s">
        <v>1394</v>
      </c>
      <c r="D981" s="106"/>
      <c r="E981" s="106"/>
      <c r="F981" s="106"/>
      <c r="G981" s="106"/>
      <c r="H981" s="106"/>
      <c r="I981" s="107"/>
      <c r="J981" s="108">
        <f>SUM(Q90:Q977)</f>
        <v>34611.880000000005</v>
      </c>
      <c r="K981" s="108"/>
      <c r="L981" s="109"/>
    </row>
    <row r="982" spans="1:84" ht="13.8">
      <c r="A982" s="103"/>
      <c r="B982" s="104"/>
      <c r="C982" s="106" t="s">
        <v>1395</v>
      </c>
      <c r="D982" s="106"/>
      <c r="E982" s="106"/>
      <c r="F982" s="106"/>
      <c r="G982" s="106"/>
      <c r="H982" s="106"/>
      <c r="I982" s="107"/>
      <c r="J982" s="108">
        <f>Source!F198</f>
        <v>14095.91</v>
      </c>
      <c r="K982" s="108"/>
      <c r="L982" s="109"/>
    </row>
    <row r="983" spans="1:84" ht="13.8">
      <c r="A983" s="103"/>
      <c r="B983" s="104"/>
      <c r="C983" s="106" t="s">
        <v>1396</v>
      </c>
      <c r="D983" s="106"/>
      <c r="E983" s="106"/>
      <c r="F983" s="106"/>
      <c r="G983" s="106"/>
      <c r="H983" s="106"/>
      <c r="I983" s="107"/>
      <c r="J983" s="108">
        <f>Source!F189-J988</f>
        <v>676319.07</v>
      </c>
      <c r="K983" s="108"/>
      <c r="L983" s="109"/>
    </row>
    <row r="984" spans="1:84" ht="13.8">
      <c r="A984" s="103"/>
      <c r="B984" s="104"/>
      <c r="C984" s="106" t="s">
        <v>1397</v>
      </c>
      <c r="D984" s="106"/>
      <c r="E984" s="106"/>
      <c r="F984" s="106"/>
      <c r="G984" s="106"/>
      <c r="H984" s="106"/>
      <c r="I984" s="107"/>
      <c r="J984" s="108">
        <f>Source!F211</f>
        <v>3817.27</v>
      </c>
      <c r="K984" s="108"/>
      <c r="L984" s="109"/>
    </row>
    <row r="985" spans="1:84" ht="13.8">
      <c r="A985" s="103"/>
      <c r="B985" s="104"/>
      <c r="C985" s="106" t="s">
        <v>1398</v>
      </c>
      <c r="D985" s="106"/>
      <c r="E985" s="106"/>
      <c r="F985" s="106"/>
      <c r="G985" s="106"/>
      <c r="H985" s="106"/>
      <c r="I985" s="107"/>
      <c r="J985" s="108">
        <f>SUM(Q90:Q977)+SUM(V90:V977)</f>
        <v>36432.770000000004</v>
      </c>
      <c r="K985" s="108"/>
      <c r="L985" s="109"/>
    </row>
    <row r="986" spans="1:84" ht="13.8">
      <c r="A986" s="103"/>
      <c r="B986" s="104"/>
      <c r="C986" s="106" t="s">
        <v>1399</v>
      </c>
      <c r="D986" s="106"/>
      <c r="E986" s="106"/>
      <c r="F986" s="106"/>
      <c r="G986" s="106"/>
      <c r="H986" s="106"/>
      <c r="I986" s="107"/>
      <c r="J986" s="108">
        <f>Source!F212</f>
        <v>34062.25</v>
      </c>
      <c r="K986" s="108"/>
      <c r="L986" s="109"/>
    </row>
    <row r="987" spans="1:84" ht="13.8">
      <c r="A987" s="103"/>
      <c r="B987" s="104"/>
      <c r="C987" s="106" t="s">
        <v>1400</v>
      </c>
      <c r="D987" s="106"/>
      <c r="E987" s="106"/>
      <c r="F987" s="106"/>
      <c r="G987" s="106"/>
      <c r="H987" s="106"/>
      <c r="I987" s="107"/>
      <c r="J987" s="108">
        <f>Source!F213</f>
        <v>19113.12</v>
      </c>
      <c r="K987" s="108"/>
      <c r="L987" s="109"/>
    </row>
    <row r="988" spans="1:84" ht="13.8" hidden="1" customHeight="1">
      <c r="A988" s="103"/>
      <c r="B988" s="104"/>
      <c r="C988" s="106" t="s">
        <v>1401</v>
      </c>
      <c r="D988" s="106"/>
      <c r="E988" s="106"/>
      <c r="F988" s="106"/>
      <c r="G988" s="106"/>
      <c r="H988" s="106"/>
      <c r="I988" s="107"/>
      <c r="J988" s="108">
        <f>Source!F195</f>
        <v>0</v>
      </c>
      <c r="K988" s="108"/>
      <c r="L988" s="109"/>
    </row>
    <row r="989" spans="1:84" ht="13.8" hidden="1" customHeight="1">
      <c r="A989" s="103"/>
      <c r="B989" s="104"/>
      <c r="C989" s="106" t="s">
        <v>1402</v>
      </c>
      <c r="D989" s="106"/>
      <c r="E989" s="106"/>
      <c r="F989" s="106"/>
      <c r="G989" s="106"/>
      <c r="H989" s="106"/>
      <c r="I989" s="107"/>
      <c r="J989" s="108">
        <f>Source!F205</f>
        <v>0</v>
      </c>
      <c r="K989" s="108"/>
      <c r="L989" s="109"/>
    </row>
    <row r="990" spans="1:84" ht="13.8">
      <c r="A990" s="97"/>
      <c r="B990" s="98"/>
      <c r="C990" s="99" t="s">
        <v>1403</v>
      </c>
      <c r="D990" s="99"/>
      <c r="E990" s="99"/>
      <c r="F990" s="99"/>
      <c r="G990" s="99"/>
      <c r="H990" s="99"/>
      <c r="I990" s="100"/>
      <c r="J990" s="101">
        <f>Source!F214</f>
        <v>778872.73</v>
      </c>
      <c r="K990" s="101"/>
      <c r="L990" s="102"/>
    </row>
    <row r="991" spans="1:84" ht="13.8">
      <c r="A991" s="103"/>
      <c r="B991" s="104"/>
      <c r="C991" s="105" t="s">
        <v>1393</v>
      </c>
      <c r="D991" s="106"/>
      <c r="E991" s="106"/>
      <c r="F991" s="106"/>
      <c r="G991" s="106"/>
      <c r="H991" s="106"/>
      <c r="I991" s="107"/>
      <c r="J991" s="108"/>
      <c r="K991" s="108"/>
      <c r="L991" s="109"/>
    </row>
    <row r="992" spans="1:84" ht="13.8">
      <c r="A992" s="103"/>
      <c r="B992" s="104"/>
      <c r="C992" s="106" t="s">
        <v>1404</v>
      </c>
      <c r="D992" s="106"/>
      <c r="E992" s="106"/>
      <c r="F992" s="106"/>
      <c r="G992" s="106"/>
      <c r="H992" s="106"/>
      <c r="I992" s="107"/>
      <c r="J992" s="108"/>
      <c r="K992" s="108"/>
      <c r="L992" s="109">
        <f>SUM(BS90:BS977)</f>
        <v>3531917</v>
      </c>
    </row>
    <row r="993" spans="1:56" ht="13.8" hidden="1" customHeight="1">
      <c r="A993" s="103"/>
      <c r="B993" s="104"/>
      <c r="C993" s="106" t="s">
        <v>1405</v>
      </c>
      <c r="D993" s="106"/>
      <c r="E993" s="106"/>
      <c r="F993" s="106"/>
      <c r="G993" s="106"/>
      <c r="H993" s="106"/>
      <c r="I993" s="107"/>
      <c r="J993" s="108"/>
      <c r="K993" s="108"/>
      <c r="L993" s="109">
        <f>SUM(BT90:BT977)</f>
        <v>0</v>
      </c>
    </row>
    <row r="995" spans="1:56" ht="16.8">
      <c r="A995" s="80" t="s">
        <v>1472</v>
      </c>
      <c r="B995" s="80"/>
      <c r="C995" s="80"/>
      <c r="D995" s="80"/>
      <c r="E995" s="80"/>
      <c r="F995" s="80"/>
      <c r="G995" s="80"/>
      <c r="H995" s="80"/>
      <c r="I995" s="80"/>
      <c r="J995" s="80"/>
      <c r="K995" s="80"/>
      <c r="L995" s="80"/>
    </row>
    <row r="996" spans="1:56" ht="106.8">
      <c r="A996" s="110" t="str">
        <f>Source!E223</f>
        <v>108</v>
      </c>
      <c r="B996" s="111" t="str">
        <f>Source!F223</f>
        <v>68-26-2</v>
      </c>
      <c r="C996" s="111" t="s">
        <v>1473</v>
      </c>
      <c r="D996" s="81" t="str">
        <f>Source!H223</f>
        <v>100 м2 забора</v>
      </c>
      <c r="E996" s="82">
        <f>Source!K223</f>
        <v>0.26</v>
      </c>
      <c r="F996" s="82"/>
      <c r="G996" s="82">
        <f>Source!I223</f>
        <v>0.26</v>
      </c>
      <c r="H996" s="83"/>
      <c r="I996" s="84"/>
      <c r="J996" s="85"/>
      <c r="K996" s="84"/>
      <c r="L996" s="86"/>
      <c r="AC996">
        <f>Source!X223</f>
        <v>128.22999999999999</v>
      </c>
      <c r="AD996">
        <f>Source!HK223</f>
        <v>3106</v>
      </c>
      <c r="AE996">
        <f>Source!Y223</f>
        <v>67.89</v>
      </c>
      <c r="AF996">
        <f>Source!HL223</f>
        <v>1644</v>
      </c>
      <c r="AS996">
        <f>IF(Source!BI223&lt;=1,AD996, 0)</f>
        <v>3106</v>
      </c>
      <c r="AT996">
        <f>IF(Source!BI223&lt;=1,AF996, 0)</f>
        <v>1644</v>
      </c>
      <c r="BC996">
        <f>IF(Source!BI223=2,AD996, 0)</f>
        <v>0</v>
      </c>
      <c r="BD996">
        <f>IF(Source!BI223=2,AF996, 0)</f>
        <v>0</v>
      </c>
    </row>
    <row r="998" spans="1:56">
      <c r="C998" s="67" t="str">
        <f>"Объем: "&amp;Source!K223&amp;"=26/"&amp;"100"</f>
        <v>Объем: 0,26=26/100</v>
      </c>
    </row>
    <row r="999" spans="1:56" ht="14.4">
      <c r="A999" s="110"/>
      <c r="B999" s="112">
        <v>1</v>
      </c>
      <c r="C999" s="111" t="s">
        <v>1373</v>
      </c>
      <c r="D999" s="81"/>
      <c r="E999" s="82"/>
      <c r="F999" s="82"/>
      <c r="G999" s="82"/>
      <c r="H999" s="83">
        <f>Source!AO223</f>
        <v>420.48</v>
      </c>
      <c r="I999" s="84">
        <f>ROUND(1.15,7)</f>
        <v>1.1499999999999999</v>
      </c>
      <c r="J999" s="85">
        <f>ROUND(Source!AF223*Source!I223, 2)</f>
        <v>125.72</v>
      </c>
      <c r="K999" s="84">
        <f>IF(Source!BA223&lt;&gt; 0, Source!BA223, 1)</f>
        <v>24.22</v>
      </c>
      <c r="L999" s="86">
        <f>Source!HJ223</f>
        <v>3045</v>
      </c>
    </row>
    <row r="1000" spans="1:56" ht="14.4">
      <c r="A1000" s="110"/>
      <c r="B1000" s="111"/>
      <c r="C1000" s="113" t="s">
        <v>1376</v>
      </c>
      <c r="D1000" s="89" t="s">
        <v>1377</v>
      </c>
      <c r="E1000" s="90">
        <f>Source!AQ223</f>
        <v>53.36</v>
      </c>
      <c r="F1000" s="90">
        <f>ROUND(1.15,7)</f>
        <v>1.1499999999999999</v>
      </c>
      <c r="G1000" s="90">
        <f>ROUND(Source!U223, 7)</f>
        <v>15.954639999999999</v>
      </c>
      <c r="H1000" s="91"/>
      <c r="I1000" s="92"/>
      <c r="J1000" s="93"/>
      <c r="K1000" s="92"/>
      <c r="L1000" s="94"/>
    </row>
    <row r="1001" spans="1:56" ht="14.4">
      <c r="A1001" s="110"/>
      <c r="B1001" s="111"/>
      <c r="C1001" s="111" t="s">
        <v>1379</v>
      </c>
      <c r="D1001" s="81"/>
      <c r="E1001" s="82"/>
      <c r="F1001" s="82"/>
      <c r="G1001" s="82"/>
      <c r="H1001" s="83">
        <f>H999</f>
        <v>420.48</v>
      </c>
      <c r="I1001" s="84"/>
      <c r="J1001" s="85">
        <f>J999</f>
        <v>125.72</v>
      </c>
      <c r="K1001" s="84"/>
      <c r="L1001" s="86"/>
    </row>
    <row r="1002" spans="1:56" ht="14.4">
      <c r="A1002" s="110"/>
      <c r="B1002" s="111"/>
      <c r="C1002" s="111" t="s">
        <v>1380</v>
      </c>
      <c r="D1002" s="81"/>
      <c r="E1002" s="82"/>
      <c r="F1002" s="82"/>
      <c r="G1002" s="82"/>
      <c r="H1002" s="83"/>
      <c r="I1002" s="84"/>
      <c r="J1002" s="85">
        <f>SUM(Q996:Q1005)+SUM(V996:V1005)</f>
        <v>125.72</v>
      </c>
      <c r="K1002" s="84"/>
      <c r="L1002" s="86">
        <f>SUM(U996:U1005)+SUM(W996:W1005)</f>
        <v>3045</v>
      </c>
    </row>
    <row r="1003" spans="1:56" ht="14.4">
      <c r="A1003" s="110"/>
      <c r="B1003" s="111" t="s">
        <v>1474</v>
      </c>
      <c r="C1003" s="111" t="s">
        <v>1475</v>
      </c>
      <c r="D1003" s="81" t="s">
        <v>1383</v>
      </c>
      <c r="E1003" s="82">
        <f>Source!BZ223</f>
        <v>102</v>
      </c>
      <c r="F1003" s="82"/>
      <c r="G1003" s="82">
        <f>Source!AT223</f>
        <v>102</v>
      </c>
      <c r="H1003" s="83"/>
      <c r="I1003" s="84"/>
      <c r="J1003" s="85">
        <f>SUM(AC996:AC1005)</f>
        <v>128.22999999999999</v>
      </c>
      <c r="K1003" s="84"/>
      <c r="L1003" s="86">
        <f>SUM(AD996:AD1005)</f>
        <v>3106</v>
      </c>
    </row>
    <row r="1004" spans="1:56" ht="14.4">
      <c r="A1004" s="114"/>
      <c r="B1004" s="113" t="s">
        <v>1476</v>
      </c>
      <c r="C1004" s="113" t="s">
        <v>1477</v>
      </c>
      <c r="D1004" s="89" t="s">
        <v>1383</v>
      </c>
      <c r="E1004" s="90">
        <f>Source!CA223</f>
        <v>54</v>
      </c>
      <c r="F1004" s="90"/>
      <c r="G1004" s="90">
        <f>Source!AU223</f>
        <v>54</v>
      </c>
      <c r="H1004" s="91"/>
      <c r="I1004" s="92"/>
      <c r="J1004" s="93">
        <f>SUM(AE996:AE1005)</f>
        <v>67.89</v>
      </c>
      <c r="K1004" s="92"/>
      <c r="L1004" s="94">
        <f>SUM(AF996:AF1005)</f>
        <v>1644</v>
      </c>
    </row>
    <row r="1005" spans="1:56" ht="13.8">
      <c r="C1005" s="95" t="s">
        <v>1386</v>
      </c>
      <c r="D1005" s="95"/>
      <c r="E1005" s="95"/>
      <c r="F1005" s="95"/>
      <c r="G1005" s="95"/>
      <c r="H1005" s="95"/>
      <c r="I1005" s="95">
        <f>J999+J1003+J1004</f>
        <v>321.83999999999997</v>
      </c>
      <c r="J1005" s="95"/>
      <c r="O1005" s="69">
        <f>I1005</f>
        <v>321.83999999999997</v>
      </c>
      <c r="P1005">
        <f>K1005</f>
        <v>0</v>
      </c>
      <c r="Q1005" s="69">
        <f>J999</f>
        <v>125.72</v>
      </c>
      <c r="R1005" s="69">
        <f>J999</f>
        <v>125.72</v>
      </c>
      <c r="U1005" s="70">
        <f>L999</f>
        <v>3045</v>
      </c>
      <c r="V1005">
        <f>0</f>
        <v>0</v>
      </c>
      <c r="W1005">
        <f>0</f>
        <v>0</v>
      </c>
      <c r="X1005">
        <f>0</f>
        <v>0</v>
      </c>
      <c r="Z1005">
        <f>0</f>
        <v>0</v>
      </c>
      <c r="AB1005">
        <f>0</f>
        <v>0</v>
      </c>
      <c r="AN1005">
        <f>IF(Source!BI223&lt;=1,J999+J1003+J1004, 0)</f>
        <v>321.83999999999997</v>
      </c>
      <c r="AO1005">
        <f>IF(Source!BI223&lt;=1,0, 0)</f>
        <v>0</v>
      </c>
      <c r="AP1005">
        <f>IF(Source!BI223&lt;=1,0, 0)</f>
        <v>0</v>
      </c>
      <c r="AQ1005">
        <f>IF(Source!BI223&lt;=1,J999, 0)</f>
        <v>125.72</v>
      </c>
      <c r="AX1005">
        <f>IF(Source!BI223=2,J999+J1003+J1004, 0)</f>
        <v>0</v>
      </c>
      <c r="AY1005">
        <f>IF(Source!BI223=2,0, 0)</f>
        <v>0</v>
      </c>
      <c r="AZ1005">
        <f>IF(Source!BI223=2,0, 0)</f>
        <v>0</v>
      </c>
      <c r="BA1005">
        <f>IF(Source!BI223=2,J999, 0)</f>
        <v>0</v>
      </c>
    </row>
    <row r="1006" spans="1:56" ht="106.8">
      <c r="A1006" s="110" t="str">
        <f>Source!E224</f>
        <v>109</v>
      </c>
      <c r="B1006" s="111" t="str">
        <f>Source!F224</f>
        <v>69-9-1</v>
      </c>
      <c r="C1006" s="111" t="s">
        <v>1478</v>
      </c>
      <c r="D1006" s="81" t="str">
        <f>Source!H224</f>
        <v>100 т мусора</v>
      </c>
      <c r="E1006" s="82">
        <f>Source!K224</f>
        <v>0.75</v>
      </c>
      <c r="F1006" s="82"/>
      <c r="G1006" s="82">
        <f>Source!I224</f>
        <v>0.75</v>
      </c>
      <c r="H1006" s="83"/>
      <c r="I1006" s="84"/>
      <c r="J1006" s="85"/>
      <c r="K1006" s="84"/>
      <c r="L1006" s="86"/>
      <c r="AC1006">
        <f>Source!X224</f>
        <v>1190.44</v>
      </c>
      <c r="AD1006">
        <f>Source!HK224</f>
        <v>28833</v>
      </c>
      <c r="AE1006">
        <f>Source!Y224</f>
        <v>569.34</v>
      </c>
      <c r="AF1006">
        <f>Source!HL224</f>
        <v>13790</v>
      </c>
      <c r="AS1006">
        <f>IF(Source!BI224&lt;=1,AD1006, 0)</f>
        <v>28833</v>
      </c>
      <c r="AT1006">
        <f>IF(Source!BI224&lt;=1,AF1006, 0)</f>
        <v>13790</v>
      </c>
      <c r="BC1006">
        <f>IF(Source!BI224=2,AD1006, 0)</f>
        <v>0</v>
      </c>
      <c r="BD1006">
        <f>IF(Source!BI224=2,AF1006, 0)</f>
        <v>0</v>
      </c>
    </row>
    <row r="1008" spans="1:56">
      <c r="C1008" s="67" t="str">
        <f>"Объем: "&amp;Source!K224&amp;"=75/"&amp;"100"</f>
        <v>Объем: 0,75=75/100</v>
      </c>
    </row>
    <row r="1009" spans="1:56" ht="14.4">
      <c r="A1009" s="110"/>
      <c r="B1009" s="112">
        <v>1</v>
      </c>
      <c r="C1009" s="111" t="s">
        <v>1373</v>
      </c>
      <c r="D1009" s="81"/>
      <c r="E1009" s="82"/>
      <c r="F1009" s="82"/>
      <c r="G1009" s="82"/>
      <c r="H1009" s="83">
        <f>Source!AO224</f>
        <v>1500.24</v>
      </c>
      <c r="I1009" s="84">
        <f>ROUND(1.15,7)</f>
        <v>1.1499999999999999</v>
      </c>
      <c r="J1009" s="85">
        <f>ROUND(Source!AF224*Source!I224, 2)</f>
        <v>1293.96</v>
      </c>
      <c r="K1009" s="84">
        <f>IF(Source!BA224&lt;&gt; 0, Source!BA224, 1)</f>
        <v>24.22</v>
      </c>
      <c r="L1009" s="86">
        <f>Source!HJ224</f>
        <v>31340</v>
      </c>
    </row>
    <row r="1010" spans="1:56" ht="14.4">
      <c r="A1010" s="110"/>
      <c r="B1010" s="111"/>
      <c r="C1010" s="113" t="s">
        <v>1376</v>
      </c>
      <c r="D1010" s="89" t="s">
        <v>1377</v>
      </c>
      <c r="E1010" s="90">
        <f>Source!AQ224</f>
        <v>214.32</v>
      </c>
      <c r="F1010" s="90">
        <f>ROUND(1.15,7)</f>
        <v>1.1499999999999999</v>
      </c>
      <c r="G1010" s="90">
        <f>ROUND(Source!U224, 7)</f>
        <v>184.851</v>
      </c>
      <c r="H1010" s="91"/>
      <c r="I1010" s="92"/>
      <c r="J1010" s="93"/>
      <c r="K1010" s="92"/>
      <c r="L1010" s="94"/>
    </row>
    <row r="1011" spans="1:56" ht="14.4">
      <c r="A1011" s="110"/>
      <c r="B1011" s="111"/>
      <c r="C1011" s="111" t="s">
        <v>1379</v>
      </c>
      <c r="D1011" s="81"/>
      <c r="E1011" s="82"/>
      <c r="F1011" s="82"/>
      <c r="G1011" s="82"/>
      <c r="H1011" s="83">
        <f>H1009</f>
        <v>1500.24</v>
      </c>
      <c r="I1011" s="84"/>
      <c r="J1011" s="85">
        <f>J1009</f>
        <v>1293.96</v>
      </c>
      <c r="K1011" s="84"/>
      <c r="L1011" s="86"/>
    </row>
    <row r="1012" spans="1:56" ht="14.4">
      <c r="A1012" s="110"/>
      <c r="B1012" s="111"/>
      <c r="C1012" s="111" t="s">
        <v>1380</v>
      </c>
      <c r="D1012" s="81"/>
      <c r="E1012" s="82"/>
      <c r="F1012" s="82"/>
      <c r="G1012" s="82"/>
      <c r="H1012" s="83"/>
      <c r="I1012" s="84"/>
      <c r="J1012" s="85">
        <f>SUM(Q1006:Q1015)+SUM(V1006:V1015)</f>
        <v>1293.96</v>
      </c>
      <c r="K1012" s="84"/>
      <c r="L1012" s="86">
        <f>SUM(U1006:U1015)+SUM(W1006:W1015)</f>
        <v>31340</v>
      </c>
    </row>
    <row r="1013" spans="1:56" ht="27.6">
      <c r="A1013" s="110"/>
      <c r="B1013" s="111" t="s">
        <v>1466</v>
      </c>
      <c r="C1013" s="111" t="s">
        <v>1467</v>
      </c>
      <c r="D1013" s="81" t="s">
        <v>1383</v>
      </c>
      <c r="E1013" s="82">
        <f>Source!BZ224</f>
        <v>92</v>
      </c>
      <c r="F1013" s="82"/>
      <c r="G1013" s="82">
        <f>Source!AT224</f>
        <v>92</v>
      </c>
      <c r="H1013" s="83"/>
      <c r="I1013" s="84"/>
      <c r="J1013" s="85">
        <f>SUM(AC1006:AC1015)</f>
        <v>1190.44</v>
      </c>
      <c r="K1013" s="84"/>
      <c r="L1013" s="86">
        <f>SUM(AD1006:AD1015)</f>
        <v>28833</v>
      </c>
    </row>
    <row r="1014" spans="1:56" ht="27.6">
      <c r="A1014" s="114"/>
      <c r="B1014" s="113" t="s">
        <v>1468</v>
      </c>
      <c r="C1014" s="113" t="s">
        <v>1469</v>
      </c>
      <c r="D1014" s="89" t="s">
        <v>1383</v>
      </c>
      <c r="E1014" s="90">
        <f>Source!CA224</f>
        <v>44</v>
      </c>
      <c r="F1014" s="90"/>
      <c r="G1014" s="90">
        <f>Source!AU224</f>
        <v>44</v>
      </c>
      <c r="H1014" s="91"/>
      <c r="I1014" s="92"/>
      <c r="J1014" s="93">
        <f>SUM(AE1006:AE1015)</f>
        <v>569.34</v>
      </c>
      <c r="K1014" s="92"/>
      <c r="L1014" s="94">
        <f>SUM(AF1006:AF1015)</f>
        <v>13790</v>
      </c>
    </row>
    <row r="1015" spans="1:56" ht="13.8">
      <c r="C1015" s="95" t="s">
        <v>1386</v>
      </c>
      <c r="D1015" s="95"/>
      <c r="E1015" s="95"/>
      <c r="F1015" s="95"/>
      <c r="G1015" s="95"/>
      <c r="H1015" s="95"/>
      <c r="I1015" s="95">
        <f>J1009+J1013+J1014</f>
        <v>3053.7400000000002</v>
      </c>
      <c r="J1015" s="95"/>
      <c r="O1015" s="69">
        <f>I1015</f>
        <v>3053.7400000000002</v>
      </c>
      <c r="P1015">
        <f>K1015</f>
        <v>0</v>
      </c>
      <c r="Q1015" s="69">
        <f>J1009</f>
        <v>1293.96</v>
      </c>
      <c r="R1015" s="69">
        <f>J1009</f>
        <v>1293.96</v>
      </c>
      <c r="U1015" s="70">
        <f>L1009</f>
        <v>31340</v>
      </c>
      <c r="V1015">
        <f>0</f>
        <v>0</v>
      </c>
      <c r="W1015">
        <f>0</f>
        <v>0</v>
      </c>
      <c r="X1015">
        <f>0</f>
        <v>0</v>
      </c>
      <c r="Z1015">
        <f>0</f>
        <v>0</v>
      </c>
      <c r="AB1015">
        <f>0</f>
        <v>0</v>
      </c>
      <c r="AN1015">
        <f>IF(Source!BI224&lt;=1,J1009+J1013+J1014, 0)</f>
        <v>3053.7400000000002</v>
      </c>
      <c r="AO1015">
        <f>IF(Source!BI224&lt;=1,0, 0)</f>
        <v>0</v>
      </c>
      <c r="AP1015">
        <f>IF(Source!BI224&lt;=1,0, 0)</f>
        <v>0</v>
      </c>
      <c r="AQ1015">
        <f>IF(Source!BI224&lt;=1,J1009, 0)</f>
        <v>1293.96</v>
      </c>
      <c r="AX1015">
        <f>IF(Source!BI224=2,J1009+J1013+J1014, 0)</f>
        <v>0</v>
      </c>
      <c r="AY1015">
        <f>IF(Source!BI224=2,0, 0)</f>
        <v>0</v>
      </c>
      <c r="AZ1015">
        <f>IF(Source!BI224=2,0, 0)</f>
        <v>0</v>
      </c>
      <c r="BA1015">
        <f>IF(Source!BI224=2,J1009, 0)</f>
        <v>0</v>
      </c>
    </row>
    <row r="1016" spans="1:56" ht="106.8">
      <c r="A1016" s="110" t="str">
        <f>Source!E225</f>
        <v>110</v>
      </c>
      <c r="B1016" s="111" t="str">
        <f>Source!F225</f>
        <v>52-11-3</v>
      </c>
      <c r="C1016" s="111" t="s">
        <v>1479</v>
      </c>
      <c r="D1016" s="81" t="str">
        <f>Source!H225</f>
        <v>100 М3 ВОДЫ</v>
      </c>
      <c r="E1016" s="82">
        <f>Source!K225</f>
        <v>0.48</v>
      </c>
      <c r="F1016" s="82"/>
      <c r="G1016" s="82">
        <f>Source!I225</f>
        <v>0.48</v>
      </c>
      <c r="H1016" s="83"/>
      <c r="I1016" s="84"/>
      <c r="J1016" s="85"/>
      <c r="K1016" s="84"/>
      <c r="L1016" s="86"/>
      <c r="AC1016">
        <f>Source!X225</f>
        <v>27.06</v>
      </c>
      <c r="AD1016">
        <f>Source!HK225</f>
        <v>656</v>
      </c>
      <c r="AE1016">
        <f>Source!Y225</f>
        <v>16.010000000000002</v>
      </c>
      <c r="AF1016">
        <f>Source!HL225</f>
        <v>388</v>
      </c>
      <c r="AS1016">
        <f>IF(Source!BI225&lt;=1,AD1016, 0)</f>
        <v>656</v>
      </c>
      <c r="AT1016">
        <f>IF(Source!BI225&lt;=1,AF1016, 0)</f>
        <v>388</v>
      </c>
      <c r="BC1016">
        <f>IF(Source!BI225=2,AD1016, 0)</f>
        <v>0</v>
      </c>
      <c r="BD1016">
        <f>IF(Source!BI225=2,AF1016, 0)</f>
        <v>0</v>
      </c>
    </row>
    <row r="1018" spans="1:56">
      <c r="C1018" s="67" t="str">
        <f>"Объем: "&amp;Source!K225&amp;"=48/"&amp;"100"</f>
        <v>Объем: 0,48=48/100</v>
      </c>
    </row>
    <row r="1019" spans="1:56" ht="14.4">
      <c r="A1019" s="110"/>
      <c r="B1019" s="112">
        <v>1</v>
      </c>
      <c r="C1019" s="111" t="s">
        <v>1373</v>
      </c>
      <c r="D1019" s="81"/>
      <c r="E1019" s="82"/>
      <c r="F1019" s="82"/>
      <c r="G1019" s="82"/>
      <c r="H1019" s="83">
        <f>Source!AO225</f>
        <v>52.71</v>
      </c>
      <c r="I1019" s="84">
        <f>ROUND(1.15,7)</f>
        <v>1.1499999999999999</v>
      </c>
      <c r="J1019" s="85">
        <f>ROUND(Source!AF225*Source!I225, 2)</f>
        <v>29.1</v>
      </c>
      <c r="K1019" s="84">
        <f>IF(Source!BA225&lt;&gt; 0, Source!BA225, 1)</f>
        <v>24.22</v>
      </c>
      <c r="L1019" s="86">
        <f>Source!HJ225</f>
        <v>705</v>
      </c>
    </row>
    <row r="1020" spans="1:56" ht="14.4">
      <c r="A1020" s="110"/>
      <c r="B1020" s="112">
        <v>3</v>
      </c>
      <c r="C1020" s="111" t="s">
        <v>1374</v>
      </c>
      <c r="D1020" s="81"/>
      <c r="E1020" s="82"/>
      <c r="F1020" s="82"/>
      <c r="G1020" s="82"/>
      <c r="H1020" s="83">
        <f>Source!AM225</f>
        <v>8.25</v>
      </c>
      <c r="I1020" s="84">
        <f>ROUND(1.15,7)</f>
        <v>1.1499999999999999</v>
      </c>
      <c r="J1020" s="85">
        <f>ROUND(Source!AD225*Source!I225, 2)</f>
        <v>4.55</v>
      </c>
      <c r="K1020" s="84"/>
      <c r="L1020" s="86"/>
    </row>
    <row r="1021" spans="1:56" ht="14.4">
      <c r="A1021" s="110"/>
      <c r="B1021" s="111"/>
      <c r="C1021" s="113" t="s">
        <v>1376</v>
      </c>
      <c r="D1021" s="89" t="s">
        <v>1377</v>
      </c>
      <c r="E1021" s="90">
        <f>Source!AQ225</f>
        <v>7</v>
      </c>
      <c r="F1021" s="90">
        <f>ROUND(1.15,7)</f>
        <v>1.1499999999999999</v>
      </c>
      <c r="G1021" s="90">
        <f>ROUND(Source!U225, 7)</f>
        <v>3.8639999999999999</v>
      </c>
      <c r="H1021" s="91"/>
      <c r="I1021" s="92"/>
      <c r="J1021" s="93"/>
      <c r="K1021" s="92"/>
      <c r="L1021" s="94"/>
    </row>
    <row r="1022" spans="1:56" ht="14.4">
      <c r="A1022" s="110"/>
      <c r="B1022" s="111"/>
      <c r="C1022" s="111" t="s">
        <v>1379</v>
      </c>
      <c r="D1022" s="81"/>
      <c r="E1022" s="82"/>
      <c r="F1022" s="82"/>
      <c r="G1022" s="82"/>
      <c r="H1022" s="83">
        <f>H1019+H1020</f>
        <v>60.96</v>
      </c>
      <c r="I1022" s="84"/>
      <c r="J1022" s="85">
        <f>J1019+J1020</f>
        <v>33.65</v>
      </c>
      <c r="K1022" s="84"/>
      <c r="L1022" s="86"/>
    </row>
    <row r="1023" spans="1:56" ht="14.4">
      <c r="A1023" s="110"/>
      <c r="B1023" s="111"/>
      <c r="C1023" s="111" t="s">
        <v>1380</v>
      </c>
      <c r="D1023" s="81"/>
      <c r="E1023" s="82"/>
      <c r="F1023" s="82"/>
      <c r="G1023" s="82"/>
      <c r="H1023" s="83"/>
      <c r="I1023" s="84"/>
      <c r="J1023" s="85">
        <f>SUM(Q1016:Q1026)+SUM(V1016:V1026)</f>
        <v>29.1</v>
      </c>
      <c r="K1023" s="84"/>
      <c r="L1023" s="86">
        <f>SUM(U1016:U1026)+SUM(W1016:W1026)</f>
        <v>705</v>
      </c>
    </row>
    <row r="1024" spans="1:56" ht="14.4">
      <c r="A1024" s="110"/>
      <c r="B1024" s="111" t="s">
        <v>1480</v>
      </c>
      <c r="C1024" s="111" t="s">
        <v>1481</v>
      </c>
      <c r="D1024" s="81" t="s">
        <v>1383</v>
      </c>
      <c r="E1024" s="82">
        <f>Source!BZ225</f>
        <v>93</v>
      </c>
      <c r="F1024" s="82"/>
      <c r="G1024" s="82">
        <f>Source!AT225</f>
        <v>93</v>
      </c>
      <c r="H1024" s="83"/>
      <c r="I1024" s="84"/>
      <c r="J1024" s="85">
        <f>SUM(AC1016:AC1026)</f>
        <v>27.06</v>
      </c>
      <c r="K1024" s="84"/>
      <c r="L1024" s="86">
        <f>SUM(AD1016:AD1026)</f>
        <v>656</v>
      </c>
    </row>
    <row r="1025" spans="1:56" ht="14.4">
      <c r="A1025" s="114"/>
      <c r="B1025" s="113" t="s">
        <v>1482</v>
      </c>
      <c r="C1025" s="113" t="s">
        <v>1483</v>
      </c>
      <c r="D1025" s="89" t="s">
        <v>1383</v>
      </c>
      <c r="E1025" s="90">
        <f>Source!CA225</f>
        <v>55</v>
      </c>
      <c r="F1025" s="90"/>
      <c r="G1025" s="90">
        <f>Source!AU225</f>
        <v>55</v>
      </c>
      <c r="H1025" s="91"/>
      <c r="I1025" s="92"/>
      <c r="J1025" s="93">
        <f>SUM(AE1016:AE1026)</f>
        <v>16.010000000000002</v>
      </c>
      <c r="K1025" s="92"/>
      <c r="L1025" s="94">
        <f>SUM(AF1016:AF1026)</f>
        <v>388</v>
      </c>
    </row>
    <row r="1026" spans="1:56" ht="13.8">
      <c r="C1026" s="95" t="s">
        <v>1386</v>
      </c>
      <c r="D1026" s="95"/>
      <c r="E1026" s="95"/>
      <c r="F1026" s="95"/>
      <c r="G1026" s="95"/>
      <c r="H1026" s="95"/>
      <c r="I1026" s="95">
        <f>J1019+J1020+J1024+J1025</f>
        <v>76.72</v>
      </c>
      <c r="J1026" s="95"/>
      <c r="O1026" s="69">
        <f>I1026</f>
        <v>76.72</v>
      </c>
      <c r="P1026">
        <f>K1026</f>
        <v>0</v>
      </c>
      <c r="Q1026" s="69">
        <f>J1019</f>
        <v>29.1</v>
      </c>
      <c r="R1026" s="69">
        <f>J1019</f>
        <v>29.1</v>
      </c>
      <c r="U1026" s="70">
        <f>L1019</f>
        <v>705</v>
      </c>
      <c r="V1026">
        <f>0</f>
        <v>0</v>
      </c>
      <c r="W1026">
        <f>0</f>
        <v>0</v>
      </c>
      <c r="X1026" s="69">
        <f>J1020</f>
        <v>4.55</v>
      </c>
      <c r="Z1026" s="70">
        <f>L1020</f>
        <v>0</v>
      </c>
      <c r="AB1026">
        <f>0</f>
        <v>0</v>
      </c>
      <c r="AN1026">
        <f>IF(Source!BI225&lt;=1,J1019+J1020+J1024+J1025, 0)</f>
        <v>76.72</v>
      </c>
      <c r="AO1026">
        <f>IF(Source!BI225&lt;=1,0, 0)</f>
        <v>0</v>
      </c>
      <c r="AP1026">
        <f>IF(Source!BI225&lt;=1,J1020, 0)</f>
        <v>4.55</v>
      </c>
      <c r="AQ1026">
        <f>IF(Source!BI225&lt;=1,J1019, 0)</f>
        <v>29.1</v>
      </c>
      <c r="AX1026">
        <f>IF(Source!BI225=2,J1019+J1020+J1024+J1025, 0)</f>
        <v>0</v>
      </c>
      <c r="AY1026">
        <f>IF(Source!BI225=2,0, 0)</f>
        <v>0</v>
      </c>
      <c r="AZ1026">
        <f>IF(Source!BI225=2,J1020, 0)</f>
        <v>0</v>
      </c>
      <c r="BA1026">
        <f>IF(Source!BI225=2,J1019, 0)</f>
        <v>0</v>
      </c>
    </row>
    <row r="1027" spans="1:56" ht="119.4">
      <c r="A1027" s="110" t="str">
        <f>Source!E226</f>
        <v>111</v>
      </c>
      <c r="B1027" s="111" t="str">
        <f>Source!F226</f>
        <v>10-01-010-1</v>
      </c>
      <c r="C1027" s="111" t="s">
        <v>1484</v>
      </c>
      <c r="D1027" s="81" t="str">
        <f>Source!H226</f>
        <v>1 м3 древесины в конструкции</v>
      </c>
      <c r="E1027" s="82">
        <f>Source!K226</f>
        <v>23</v>
      </c>
      <c r="F1027" s="82"/>
      <c r="G1027" s="82">
        <f>Source!I226</f>
        <v>23</v>
      </c>
      <c r="H1027" s="83"/>
      <c r="I1027" s="84"/>
      <c r="J1027" s="85"/>
      <c r="K1027" s="84"/>
      <c r="L1027" s="86"/>
      <c r="AC1027">
        <f>Source!X226</f>
        <v>5381.87</v>
      </c>
      <c r="AD1027">
        <f>Source!HK226</f>
        <v>130349</v>
      </c>
      <c r="AE1027">
        <f>Source!Y226</f>
        <v>2588.5</v>
      </c>
      <c r="AF1027">
        <f>Source!HL226</f>
        <v>62694</v>
      </c>
      <c r="AS1027">
        <f>IF(Source!BI226&lt;=1,AD1027, 0)</f>
        <v>130349</v>
      </c>
      <c r="AT1027">
        <f>IF(Source!BI226&lt;=1,AF1027, 0)</f>
        <v>62694</v>
      </c>
      <c r="BC1027">
        <f>IF(Source!BI226=2,AD1027, 0)</f>
        <v>0</v>
      </c>
      <c r="BD1027">
        <f>IF(Source!BI226=2,AF1027, 0)</f>
        <v>0</v>
      </c>
    </row>
    <row r="1029" spans="1:56" ht="14.4">
      <c r="A1029" s="110"/>
      <c r="B1029" s="112">
        <v>1</v>
      </c>
      <c r="C1029" s="111" t="s">
        <v>1373</v>
      </c>
      <c r="D1029" s="81"/>
      <c r="E1029" s="82"/>
      <c r="F1029" s="82"/>
      <c r="G1029" s="82"/>
      <c r="H1029" s="83">
        <f>Source!AO226</f>
        <v>182.03</v>
      </c>
      <c r="I1029" s="84">
        <f>ROUND(1.15*1.15,7)</f>
        <v>1.3225</v>
      </c>
      <c r="J1029" s="85">
        <f>ROUND(Source!AF226*Source!I226, 2)</f>
        <v>5536.9</v>
      </c>
      <c r="K1029" s="84">
        <f>IF(Source!BA226&lt;&gt; 0, Source!BA226, 1)</f>
        <v>24.22</v>
      </c>
      <c r="L1029" s="86">
        <f>Source!HJ226</f>
        <v>134104</v>
      </c>
    </row>
    <row r="1030" spans="1:56" ht="14.4">
      <c r="A1030" s="110"/>
      <c r="B1030" s="112">
        <v>3</v>
      </c>
      <c r="C1030" s="111" t="s">
        <v>1374</v>
      </c>
      <c r="D1030" s="81"/>
      <c r="E1030" s="82"/>
      <c r="F1030" s="82"/>
      <c r="G1030" s="82"/>
      <c r="H1030" s="83">
        <f>Source!AM226</f>
        <v>35.04</v>
      </c>
      <c r="I1030" s="84">
        <f>ROUND(1.25*1.15,7)</f>
        <v>1.4375</v>
      </c>
      <c r="J1030" s="85">
        <f>ROUND(Source!AD226*Source!I226, 2)</f>
        <v>1158.51</v>
      </c>
      <c r="K1030" s="84"/>
      <c r="L1030" s="86"/>
    </row>
    <row r="1031" spans="1:56" ht="14.4">
      <c r="A1031" s="110"/>
      <c r="B1031" s="112">
        <v>4</v>
      </c>
      <c r="C1031" s="111" t="s">
        <v>1408</v>
      </c>
      <c r="D1031" s="81"/>
      <c r="E1031" s="82"/>
      <c r="F1031" s="82"/>
      <c r="G1031" s="82"/>
      <c r="H1031" s="83">
        <f>Source!AL226</f>
        <v>1832.3</v>
      </c>
      <c r="I1031" s="84"/>
      <c r="J1031" s="85">
        <f>ROUND(Source!AC226*Source!I226, 2)</f>
        <v>42142.9</v>
      </c>
      <c r="K1031" s="84"/>
      <c r="L1031" s="86"/>
    </row>
    <row r="1032" spans="1:56" ht="14.4">
      <c r="A1032" s="110"/>
      <c r="B1032" s="111"/>
      <c r="C1032" s="113" t="s">
        <v>1376</v>
      </c>
      <c r="D1032" s="89" t="s">
        <v>1377</v>
      </c>
      <c r="E1032" s="90">
        <f>Source!AQ226</f>
        <v>22.5</v>
      </c>
      <c r="F1032" s="90">
        <f>ROUND(1.15*1.15,7)</f>
        <v>1.3225</v>
      </c>
      <c r="G1032" s="90">
        <f>ROUND(Source!U226, 7)</f>
        <v>684.39374999999995</v>
      </c>
      <c r="H1032" s="91"/>
      <c r="I1032" s="92"/>
      <c r="J1032" s="93"/>
      <c r="K1032" s="92"/>
      <c r="L1032" s="94"/>
    </row>
    <row r="1033" spans="1:56" ht="14.4">
      <c r="A1033" s="110"/>
      <c r="B1033" s="111"/>
      <c r="C1033" s="111" t="s">
        <v>1379</v>
      </c>
      <c r="D1033" s="81"/>
      <c r="E1033" s="82"/>
      <c r="F1033" s="82"/>
      <c r="G1033" s="82"/>
      <c r="H1033" s="83">
        <f>H1029+H1030+H1031</f>
        <v>2049.37</v>
      </c>
      <c r="I1033" s="84"/>
      <c r="J1033" s="85">
        <f>J1029+J1030+J1031</f>
        <v>48838.31</v>
      </c>
      <c r="K1033" s="84"/>
      <c r="L1033" s="86"/>
    </row>
    <row r="1034" spans="1:56" ht="14.4">
      <c r="A1034" s="110"/>
      <c r="B1034" s="111"/>
      <c r="C1034" s="111" t="s">
        <v>1380</v>
      </c>
      <c r="D1034" s="81"/>
      <c r="E1034" s="82"/>
      <c r="F1034" s="82"/>
      <c r="G1034" s="82"/>
      <c r="H1034" s="83"/>
      <c r="I1034" s="84"/>
      <c r="J1034" s="85">
        <f>SUM(Q1027:Q1037)+SUM(V1027:V1037)</f>
        <v>5536.9</v>
      </c>
      <c r="K1034" s="84"/>
      <c r="L1034" s="86">
        <f>SUM(U1027:U1037)+SUM(W1027:W1037)</f>
        <v>134104</v>
      </c>
    </row>
    <row r="1035" spans="1:56" ht="14.4">
      <c r="A1035" s="110"/>
      <c r="B1035" s="111" t="s">
        <v>1381</v>
      </c>
      <c r="C1035" s="111" t="s">
        <v>1382</v>
      </c>
      <c r="D1035" s="81" t="s">
        <v>1383</v>
      </c>
      <c r="E1035" s="82">
        <f>Source!BZ226</f>
        <v>108</v>
      </c>
      <c r="F1035" s="82">
        <f>ROUND(0.9,7)</f>
        <v>0.9</v>
      </c>
      <c r="G1035" s="82">
        <f>Source!AT226</f>
        <v>97.2</v>
      </c>
      <c r="H1035" s="83"/>
      <c r="I1035" s="84"/>
      <c r="J1035" s="85">
        <f>SUM(AC1027:AC1037)</f>
        <v>5381.87</v>
      </c>
      <c r="K1035" s="84"/>
      <c r="L1035" s="86">
        <f>SUM(AD1027:AD1037)</f>
        <v>130349</v>
      </c>
    </row>
    <row r="1036" spans="1:56" ht="14.4">
      <c r="A1036" s="114"/>
      <c r="B1036" s="113" t="s">
        <v>1384</v>
      </c>
      <c r="C1036" s="113" t="s">
        <v>1385</v>
      </c>
      <c r="D1036" s="89" t="s">
        <v>1383</v>
      </c>
      <c r="E1036" s="90">
        <f>Source!CA226</f>
        <v>55</v>
      </c>
      <c r="F1036" s="90">
        <f>ROUND(0.85,7)</f>
        <v>0.85</v>
      </c>
      <c r="G1036" s="90">
        <f>Source!AU226</f>
        <v>46.75</v>
      </c>
      <c r="H1036" s="91"/>
      <c r="I1036" s="92"/>
      <c r="J1036" s="93">
        <f>SUM(AE1027:AE1037)</f>
        <v>2588.5</v>
      </c>
      <c r="K1036" s="92"/>
      <c r="L1036" s="94">
        <f>SUM(AF1027:AF1037)</f>
        <v>62694</v>
      </c>
    </row>
    <row r="1037" spans="1:56" ht="13.8">
      <c r="C1037" s="95" t="s">
        <v>1386</v>
      </c>
      <c r="D1037" s="95"/>
      <c r="E1037" s="95"/>
      <c r="F1037" s="95"/>
      <c r="G1037" s="95"/>
      <c r="H1037" s="95"/>
      <c r="I1037" s="95">
        <f>J1029+J1030+J1031+J1035+J1036</f>
        <v>56808.68</v>
      </c>
      <c r="J1037" s="95"/>
      <c r="O1037" s="69">
        <f>I1037</f>
        <v>56808.68</v>
      </c>
      <c r="P1037">
        <f>K1037</f>
        <v>0</v>
      </c>
      <c r="Q1037" s="69">
        <f>J1029</f>
        <v>5536.9</v>
      </c>
      <c r="R1037" s="69">
        <f>J1029</f>
        <v>5536.9</v>
      </c>
      <c r="U1037" s="70">
        <f>L1029</f>
        <v>134104</v>
      </c>
      <c r="V1037">
        <f>0</f>
        <v>0</v>
      </c>
      <c r="W1037">
        <f>0</f>
        <v>0</v>
      </c>
      <c r="X1037" s="69">
        <f>J1030</f>
        <v>1158.51</v>
      </c>
      <c r="Z1037" s="70">
        <f>L1030</f>
        <v>0</v>
      </c>
      <c r="AB1037" s="69">
        <f>J1031</f>
        <v>42142.9</v>
      </c>
      <c r="AN1037">
        <f>IF(Source!BI226&lt;=1,J1029+J1030+J1031+J1035+J1036, 0)</f>
        <v>56808.68</v>
      </c>
      <c r="AO1037">
        <f>IF(Source!BI226&lt;=1,J1031, 0)</f>
        <v>42142.9</v>
      </c>
      <c r="AP1037">
        <f>IF(Source!BI226&lt;=1,J1030, 0)</f>
        <v>1158.51</v>
      </c>
      <c r="AQ1037">
        <f>IF(Source!BI226&lt;=1,J1029, 0)</f>
        <v>5536.9</v>
      </c>
      <c r="AX1037">
        <f>IF(Source!BI226=2,J1029+J1030+J1031+J1035+J1036, 0)</f>
        <v>0</v>
      </c>
      <c r="AY1037">
        <f>IF(Source!BI226=2,J1031, 0)</f>
        <v>0</v>
      </c>
      <c r="AZ1037">
        <f>IF(Source!BI226=2,J1030, 0)</f>
        <v>0</v>
      </c>
      <c r="BA1037">
        <f>IF(Source!BI226=2,J1029, 0)</f>
        <v>0</v>
      </c>
    </row>
    <row r="1038" spans="1:56" ht="147">
      <c r="A1038" s="110" t="str">
        <f>Source!E227</f>
        <v>112</v>
      </c>
      <c r="B1038" s="111" t="str">
        <f>Source!F227</f>
        <v>26-01-054-1</v>
      </c>
      <c r="C1038" s="111" t="s">
        <v>1485</v>
      </c>
      <c r="D1038" s="81" t="str">
        <f>Source!H227</f>
        <v>100 м2 поверхности покрытия изоляции</v>
      </c>
      <c r="E1038" s="82">
        <f>Source!K227</f>
        <v>0.06</v>
      </c>
      <c r="F1038" s="82"/>
      <c r="G1038" s="82">
        <f>Source!I227</f>
        <v>0.06</v>
      </c>
      <c r="H1038" s="83"/>
      <c r="I1038" s="84"/>
      <c r="J1038" s="85"/>
      <c r="K1038" s="84"/>
      <c r="L1038" s="86"/>
      <c r="AC1038">
        <f>Source!X227</f>
        <v>18.46</v>
      </c>
      <c r="AD1038">
        <f>Source!HK227</f>
        <v>447</v>
      </c>
      <c r="AE1038">
        <f>Source!Y227</f>
        <v>9.8800000000000008</v>
      </c>
      <c r="AF1038">
        <f>Source!HL227</f>
        <v>239</v>
      </c>
      <c r="AS1038">
        <f>IF(Source!BI227&lt;=1,AD1038, 0)</f>
        <v>447</v>
      </c>
      <c r="AT1038">
        <f>IF(Source!BI227&lt;=1,AF1038, 0)</f>
        <v>239</v>
      </c>
      <c r="BC1038">
        <f>IF(Source!BI227=2,AD1038, 0)</f>
        <v>0</v>
      </c>
      <c r="BD1038">
        <f>IF(Source!BI227=2,AF1038, 0)</f>
        <v>0</v>
      </c>
    </row>
    <row r="1040" spans="1:56">
      <c r="C1040" s="67" t="str">
        <f>"Объем: "&amp;Source!K227&amp;"=6/"&amp;"100"</f>
        <v>Объем: 0,06=6/100</v>
      </c>
    </row>
    <row r="1041" spans="1:56" ht="14.4">
      <c r="A1041" s="110"/>
      <c r="B1041" s="112">
        <v>1</v>
      </c>
      <c r="C1041" s="111" t="s">
        <v>1373</v>
      </c>
      <c r="D1041" s="81"/>
      <c r="E1041" s="82"/>
      <c r="F1041" s="82"/>
      <c r="G1041" s="82"/>
      <c r="H1041" s="83">
        <f>Source!AO227</f>
        <v>266.39</v>
      </c>
      <c r="I1041" s="84">
        <f>ROUND(1.15*1.15,7)</f>
        <v>1.3225</v>
      </c>
      <c r="J1041" s="85">
        <f>ROUND(Source!AF227*Source!I227, 2)</f>
        <v>21.14</v>
      </c>
      <c r="K1041" s="84">
        <f>IF(Source!BA227&lt;&gt; 0, Source!BA227, 1)</f>
        <v>24.22</v>
      </c>
      <c r="L1041" s="86">
        <f>Source!HJ227</f>
        <v>512</v>
      </c>
    </row>
    <row r="1042" spans="1:56" ht="14.4">
      <c r="A1042" s="110"/>
      <c r="B1042" s="112">
        <v>3</v>
      </c>
      <c r="C1042" s="111" t="s">
        <v>1374</v>
      </c>
      <c r="D1042" s="81"/>
      <c r="E1042" s="82"/>
      <c r="F1042" s="82"/>
      <c r="G1042" s="82"/>
      <c r="H1042" s="83">
        <f>Source!AM227</f>
        <v>52.68</v>
      </c>
      <c r="I1042" s="84">
        <f>ROUND(1.25*1.15,7)</f>
        <v>1.4375</v>
      </c>
      <c r="J1042" s="85">
        <f>ROUND(Source!AD227*Source!I227, 2)</f>
        <v>4.54</v>
      </c>
      <c r="K1042" s="84"/>
      <c r="L1042" s="86"/>
    </row>
    <row r="1043" spans="1:56" ht="14.4">
      <c r="A1043" s="110"/>
      <c r="B1043" s="112">
        <v>4</v>
      </c>
      <c r="C1043" s="111" t="s">
        <v>1408</v>
      </c>
      <c r="D1043" s="81"/>
      <c r="E1043" s="82"/>
      <c r="F1043" s="82"/>
      <c r="G1043" s="82"/>
      <c r="H1043" s="83">
        <f>Source!AL227</f>
        <v>1431.46</v>
      </c>
      <c r="I1043" s="84"/>
      <c r="J1043" s="85">
        <f>ROUND(Source!AC227*Source!I227, 2)</f>
        <v>85.89</v>
      </c>
      <c r="K1043" s="84"/>
      <c r="L1043" s="86"/>
    </row>
    <row r="1044" spans="1:56" ht="14.4">
      <c r="A1044" s="110"/>
      <c r="B1044" s="111"/>
      <c r="C1044" s="113" t="s">
        <v>1376</v>
      </c>
      <c r="D1044" s="89" t="s">
        <v>1377</v>
      </c>
      <c r="E1044" s="90">
        <f>Source!AQ227</f>
        <v>31.98</v>
      </c>
      <c r="F1044" s="90">
        <f>ROUND(1.15*1.15,7)</f>
        <v>1.3225</v>
      </c>
      <c r="G1044" s="90">
        <f>ROUND(Source!U227, 7)</f>
        <v>2.5376129999999999</v>
      </c>
      <c r="H1044" s="91"/>
      <c r="I1044" s="92"/>
      <c r="J1044" s="93"/>
      <c r="K1044" s="92"/>
      <c r="L1044" s="94"/>
    </row>
    <row r="1045" spans="1:56" ht="14.4">
      <c r="A1045" s="110"/>
      <c r="B1045" s="111"/>
      <c r="C1045" s="111" t="s">
        <v>1379</v>
      </c>
      <c r="D1045" s="81"/>
      <c r="E1045" s="82"/>
      <c r="F1045" s="82"/>
      <c r="G1045" s="82"/>
      <c r="H1045" s="83">
        <f>H1041+H1042+H1043</f>
        <v>1750.53</v>
      </c>
      <c r="I1045" s="84"/>
      <c r="J1045" s="85">
        <f>J1041+J1042+J1043</f>
        <v>111.57</v>
      </c>
      <c r="K1045" s="84"/>
      <c r="L1045" s="86"/>
    </row>
    <row r="1046" spans="1:56" ht="14.4">
      <c r="A1046" s="110"/>
      <c r="B1046" s="111"/>
      <c r="C1046" s="111" t="s">
        <v>1380</v>
      </c>
      <c r="D1046" s="81"/>
      <c r="E1046" s="82"/>
      <c r="F1046" s="82"/>
      <c r="G1046" s="82"/>
      <c r="H1046" s="83"/>
      <c r="I1046" s="84"/>
      <c r="J1046" s="85">
        <f>SUM(Q1038:Q1049)+SUM(V1038:V1049)</f>
        <v>21.14</v>
      </c>
      <c r="K1046" s="84"/>
      <c r="L1046" s="86">
        <f>SUM(U1038:U1049)+SUM(W1038:W1049)</f>
        <v>512</v>
      </c>
    </row>
    <row r="1047" spans="1:56" ht="14.4">
      <c r="A1047" s="110"/>
      <c r="B1047" s="111" t="s">
        <v>1486</v>
      </c>
      <c r="C1047" s="111" t="s">
        <v>1487</v>
      </c>
      <c r="D1047" s="81" t="s">
        <v>1383</v>
      </c>
      <c r="E1047" s="82">
        <f>Source!BZ227</f>
        <v>97</v>
      </c>
      <c r="F1047" s="82">
        <f>ROUND(0.9,7)</f>
        <v>0.9</v>
      </c>
      <c r="G1047" s="82">
        <f>Source!AT227</f>
        <v>87.3</v>
      </c>
      <c r="H1047" s="83"/>
      <c r="I1047" s="84"/>
      <c r="J1047" s="85">
        <f>SUM(AC1038:AC1049)</f>
        <v>18.46</v>
      </c>
      <c r="K1047" s="84"/>
      <c r="L1047" s="86">
        <f>SUM(AD1038:AD1049)</f>
        <v>447</v>
      </c>
    </row>
    <row r="1048" spans="1:56" ht="14.4">
      <c r="A1048" s="114"/>
      <c r="B1048" s="113" t="s">
        <v>1488</v>
      </c>
      <c r="C1048" s="113" t="s">
        <v>1489</v>
      </c>
      <c r="D1048" s="89" t="s">
        <v>1383</v>
      </c>
      <c r="E1048" s="90">
        <f>Source!CA227</f>
        <v>55</v>
      </c>
      <c r="F1048" s="90">
        <f>ROUND(0.85,7)</f>
        <v>0.85</v>
      </c>
      <c r="G1048" s="90">
        <f>Source!AU227</f>
        <v>46.75</v>
      </c>
      <c r="H1048" s="91"/>
      <c r="I1048" s="92"/>
      <c r="J1048" s="93">
        <f>SUM(AE1038:AE1049)</f>
        <v>9.8800000000000008</v>
      </c>
      <c r="K1048" s="92"/>
      <c r="L1048" s="94">
        <f>SUM(AF1038:AF1049)</f>
        <v>239</v>
      </c>
    </row>
    <row r="1049" spans="1:56" ht="13.8">
      <c r="C1049" s="95" t="s">
        <v>1386</v>
      </c>
      <c r="D1049" s="95"/>
      <c r="E1049" s="95"/>
      <c r="F1049" s="95"/>
      <c r="G1049" s="95"/>
      <c r="H1049" s="95"/>
      <c r="I1049" s="95">
        <f>J1041+J1042+J1043+J1047+J1048</f>
        <v>139.91</v>
      </c>
      <c r="J1049" s="95"/>
      <c r="O1049" s="69">
        <f>I1049</f>
        <v>139.91</v>
      </c>
      <c r="P1049">
        <f>K1049</f>
        <v>0</v>
      </c>
      <c r="Q1049" s="69">
        <f>J1041</f>
        <v>21.14</v>
      </c>
      <c r="R1049" s="69">
        <f>J1041</f>
        <v>21.14</v>
      </c>
      <c r="U1049" s="70">
        <f>L1041</f>
        <v>512</v>
      </c>
      <c r="V1049">
        <f>0</f>
        <v>0</v>
      </c>
      <c r="W1049">
        <f>0</f>
        <v>0</v>
      </c>
      <c r="X1049" s="69">
        <f>J1042</f>
        <v>4.54</v>
      </c>
      <c r="Z1049" s="70">
        <f>L1042</f>
        <v>0</v>
      </c>
      <c r="AB1049" s="69">
        <f>J1043</f>
        <v>85.89</v>
      </c>
      <c r="AN1049">
        <f>IF(Source!BI227&lt;=1,J1041+J1042+J1043+J1047+J1048, 0)</f>
        <v>139.91</v>
      </c>
      <c r="AO1049">
        <f>IF(Source!BI227&lt;=1,J1043, 0)</f>
        <v>85.89</v>
      </c>
      <c r="AP1049">
        <f>IF(Source!BI227&lt;=1,J1042, 0)</f>
        <v>4.54</v>
      </c>
      <c r="AQ1049">
        <f>IF(Source!BI227&lt;=1,J1041, 0)</f>
        <v>21.14</v>
      </c>
      <c r="AX1049">
        <f>IF(Source!BI227=2,J1041+J1042+J1043+J1047+J1048, 0)</f>
        <v>0</v>
      </c>
      <c r="AY1049">
        <f>IF(Source!BI227=2,J1043, 0)</f>
        <v>0</v>
      </c>
      <c r="AZ1049">
        <f>IF(Source!BI227=2,J1042, 0)</f>
        <v>0</v>
      </c>
      <c r="BA1049">
        <f>IF(Source!BI227=2,J1041, 0)</f>
        <v>0</v>
      </c>
    </row>
    <row r="1050" spans="1:56" ht="243.6">
      <c r="A1050" s="110" t="str">
        <f>Source!E228</f>
        <v>113</v>
      </c>
      <c r="B1050" s="111" t="str">
        <f>Source!F228</f>
        <v>26-02-018-3</v>
      </c>
      <c r="C1050" s="111" t="s">
        <v>1490</v>
      </c>
      <c r="D1050" s="81" t="str">
        <f>Source!H228</f>
        <v>100 м2 обрабатываемой поверхности</v>
      </c>
      <c r="E1050" s="82">
        <f>Source!K228</f>
        <v>2.88</v>
      </c>
      <c r="F1050" s="82"/>
      <c r="G1050" s="82">
        <f>Source!I228</f>
        <v>2.88</v>
      </c>
      <c r="H1050" s="83"/>
      <c r="I1050" s="84"/>
      <c r="J1050" s="85"/>
      <c r="K1050" s="84"/>
      <c r="L1050" s="86"/>
      <c r="AC1050">
        <f>Source!X228</f>
        <v>277.63</v>
      </c>
      <c r="AD1050">
        <f>Source!HK228</f>
        <v>6725</v>
      </c>
      <c r="AE1050">
        <f>Source!Y228</f>
        <v>148.66999999999999</v>
      </c>
      <c r="AF1050">
        <f>Source!HL228</f>
        <v>3601</v>
      </c>
      <c r="AS1050">
        <f>IF(Source!BI228&lt;=1,AD1050, 0)</f>
        <v>6725</v>
      </c>
      <c r="AT1050">
        <f>IF(Source!BI228&lt;=1,AF1050, 0)</f>
        <v>3601</v>
      </c>
      <c r="BC1050">
        <f>IF(Source!BI228=2,AD1050, 0)</f>
        <v>0</v>
      </c>
      <c r="BD1050">
        <f>IF(Source!BI228=2,AF1050, 0)</f>
        <v>0</v>
      </c>
    </row>
    <row r="1052" spans="1:56">
      <c r="C1052" s="67" t="str">
        <f>"Объем: "&amp;Source!K228&amp;"=288/"&amp;"100"</f>
        <v>Объем: 2,88=288/100</v>
      </c>
    </row>
    <row r="1053" spans="1:56" ht="14.4">
      <c r="A1053" s="110"/>
      <c r="B1053" s="112">
        <v>1</v>
      </c>
      <c r="C1053" s="111" t="s">
        <v>1373</v>
      </c>
      <c r="D1053" s="81"/>
      <c r="E1053" s="82"/>
      <c r="F1053" s="82"/>
      <c r="G1053" s="82"/>
      <c r="H1053" s="83">
        <f>Source!AO228</f>
        <v>81.430000000000007</v>
      </c>
      <c r="I1053" s="84">
        <f>ROUND(1.15*1.15,7)</f>
        <v>1.3225</v>
      </c>
      <c r="J1053" s="85">
        <f>ROUND(Source!AF228*Source!I228, 2)</f>
        <v>310.14999999999998</v>
      </c>
      <c r="K1053" s="84">
        <f>IF(Source!BA228&lt;&gt; 0, Source!BA228, 1)</f>
        <v>24.22</v>
      </c>
      <c r="L1053" s="86">
        <f>Source!HJ228</f>
        <v>7512</v>
      </c>
    </row>
    <row r="1054" spans="1:56" ht="14.4">
      <c r="A1054" s="110"/>
      <c r="B1054" s="112">
        <v>3</v>
      </c>
      <c r="C1054" s="111" t="s">
        <v>1374</v>
      </c>
      <c r="D1054" s="81"/>
      <c r="E1054" s="82"/>
      <c r="F1054" s="82"/>
      <c r="G1054" s="82"/>
      <c r="H1054" s="83">
        <f>Source!AM228</f>
        <v>163.04</v>
      </c>
      <c r="I1054" s="84">
        <f>ROUND(1.25*1.15,7)</f>
        <v>1.4375</v>
      </c>
      <c r="J1054" s="85">
        <f>ROUND(Source!AD228*Source!I228, 2)</f>
        <v>674.99</v>
      </c>
      <c r="K1054" s="84"/>
      <c r="L1054" s="86"/>
    </row>
    <row r="1055" spans="1:56" ht="14.4">
      <c r="A1055" s="110"/>
      <c r="B1055" s="112">
        <v>2</v>
      </c>
      <c r="C1055" s="111" t="s">
        <v>1375</v>
      </c>
      <c r="D1055" s="81"/>
      <c r="E1055" s="82"/>
      <c r="F1055" s="82"/>
      <c r="G1055" s="82"/>
      <c r="H1055" s="83">
        <f>Source!AN228</f>
        <v>1.9</v>
      </c>
      <c r="I1055" s="84">
        <f>ROUND(1.25*1.15,7)</f>
        <v>1.4375</v>
      </c>
      <c r="J1055" s="87">
        <f>ROUND(Source!AE228*Source!I228, 2)</f>
        <v>7.87</v>
      </c>
      <c r="K1055" s="84">
        <f>IF(Source!BS228&lt;&gt; 0, Source!BS228, 1)</f>
        <v>24.22</v>
      </c>
      <c r="L1055" s="88">
        <f>Source!HI228</f>
        <v>191</v>
      </c>
    </row>
    <row r="1056" spans="1:56" ht="14.4">
      <c r="A1056" s="110"/>
      <c r="B1056" s="112">
        <v>4</v>
      </c>
      <c r="C1056" s="111" t="s">
        <v>1408</v>
      </c>
      <c r="D1056" s="81"/>
      <c r="E1056" s="82"/>
      <c r="F1056" s="82"/>
      <c r="G1056" s="82"/>
      <c r="H1056" s="83">
        <f>Source!AL228</f>
        <v>1.97</v>
      </c>
      <c r="I1056" s="84"/>
      <c r="J1056" s="85">
        <f>ROUND(Source!AC228*Source!I228, 2)</f>
        <v>5.67</v>
      </c>
      <c r="K1056" s="84"/>
      <c r="L1056" s="86"/>
    </row>
    <row r="1057" spans="1:56" ht="14.4">
      <c r="A1057" s="110"/>
      <c r="B1057" s="111"/>
      <c r="C1057" s="111" t="s">
        <v>1376</v>
      </c>
      <c r="D1057" s="81" t="s">
        <v>1377</v>
      </c>
      <c r="E1057" s="82">
        <f>Source!AQ228</f>
        <v>8.8699999999999992</v>
      </c>
      <c r="F1057" s="82">
        <f>ROUND(1.15*1.15,7)</f>
        <v>1.3225</v>
      </c>
      <c r="G1057" s="82">
        <f>ROUND(Source!U228, 7)</f>
        <v>33.784056</v>
      </c>
      <c r="H1057" s="83"/>
      <c r="I1057" s="84"/>
      <c r="J1057" s="85"/>
      <c r="K1057" s="84"/>
      <c r="L1057" s="86"/>
    </row>
    <row r="1058" spans="1:56" ht="14.4">
      <c r="A1058" s="110"/>
      <c r="B1058" s="111"/>
      <c r="C1058" s="113" t="s">
        <v>1378</v>
      </c>
      <c r="D1058" s="89" t="s">
        <v>1377</v>
      </c>
      <c r="E1058" s="90">
        <f>Source!AR228</f>
        <v>0.17</v>
      </c>
      <c r="F1058" s="90">
        <f>ROUND(1.25*1.15,7)</f>
        <v>1.4375</v>
      </c>
      <c r="G1058" s="90">
        <f>ROUND(Source!V228, 7)</f>
        <v>0.70379999999999998</v>
      </c>
      <c r="H1058" s="91"/>
      <c r="I1058" s="92"/>
      <c r="J1058" s="93"/>
      <c r="K1058" s="92"/>
      <c r="L1058" s="94"/>
    </row>
    <row r="1059" spans="1:56" ht="14.4">
      <c r="A1059" s="110"/>
      <c r="B1059" s="111"/>
      <c r="C1059" s="111" t="s">
        <v>1379</v>
      </c>
      <c r="D1059" s="81"/>
      <c r="E1059" s="82"/>
      <c r="F1059" s="82"/>
      <c r="G1059" s="82"/>
      <c r="H1059" s="83">
        <f>H1053+H1054+H1056</f>
        <v>246.44</v>
      </c>
      <c r="I1059" s="84"/>
      <c r="J1059" s="85">
        <f>J1053+J1054+J1056</f>
        <v>990.81</v>
      </c>
      <c r="K1059" s="84"/>
      <c r="L1059" s="86"/>
    </row>
    <row r="1060" spans="1:56" ht="14.4">
      <c r="A1060" s="110"/>
      <c r="B1060" s="111"/>
      <c r="C1060" s="111" t="s">
        <v>1380</v>
      </c>
      <c r="D1060" s="81"/>
      <c r="E1060" s="82"/>
      <c r="F1060" s="82"/>
      <c r="G1060" s="82"/>
      <c r="H1060" s="83"/>
      <c r="I1060" s="84"/>
      <c r="J1060" s="85">
        <f>SUM(Q1050:Q1063)+SUM(V1050:V1063)</f>
        <v>318.02</v>
      </c>
      <c r="K1060" s="84"/>
      <c r="L1060" s="86">
        <f>SUM(U1050:U1063)+SUM(W1050:W1063)</f>
        <v>7703</v>
      </c>
    </row>
    <row r="1061" spans="1:56" ht="14.4">
      <c r="A1061" s="110"/>
      <c r="B1061" s="111" t="s">
        <v>1486</v>
      </c>
      <c r="C1061" s="111" t="s">
        <v>1487</v>
      </c>
      <c r="D1061" s="81" t="s">
        <v>1383</v>
      </c>
      <c r="E1061" s="82">
        <f>Source!BZ228</f>
        <v>97</v>
      </c>
      <c r="F1061" s="82">
        <f>ROUND(0.9,7)</f>
        <v>0.9</v>
      </c>
      <c r="G1061" s="82">
        <f>Source!AT228</f>
        <v>87.3</v>
      </c>
      <c r="H1061" s="83"/>
      <c r="I1061" s="84"/>
      <c r="J1061" s="85">
        <f>SUM(AC1050:AC1063)</f>
        <v>277.63</v>
      </c>
      <c r="K1061" s="84"/>
      <c r="L1061" s="86">
        <f>SUM(AD1050:AD1063)</f>
        <v>6725</v>
      </c>
    </row>
    <row r="1062" spans="1:56" ht="14.4">
      <c r="A1062" s="114"/>
      <c r="B1062" s="113" t="s">
        <v>1488</v>
      </c>
      <c r="C1062" s="113" t="s">
        <v>1489</v>
      </c>
      <c r="D1062" s="89" t="s">
        <v>1383</v>
      </c>
      <c r="E1062" s="90">
        <f>Source!CA228</f>
        <v>55</v>
      </c>
      <c r="F1062" s="90">
        <f>ROUND(0.85,7)</f>
        <v>0.85</v>
      </c>
      <c r="G1062" s="90">
        <f>Source!AU228</f>
        <v>46.75</v>
      </c>
      <c r="H1062" s="91"/>
      <c r="I1062" s="92"/>
      <c r="J1062" s="93">
        <f>SUM(AE1050:AE1063)</f>
        <v>148.66999999999999</v>
      </c>
      <c r="K1062" s="92"/>
      <c r="L1062" s="94">
        <f>SUM(AF1050:AF1063)</f>
        <v>3601</v>
      </c>
    </row>
    <row r="1063" spans="1:56" ht="13.8">
      <c r="C1063" s="95" t="s">
        <v>1386</v>
      </c>
      <c r="D1063" s="95"/>
      <c r="E1063" s="95"/>
      <c r="F1063" s="95"/>
      <c r="G1063" s="95"/>
      <c r="H1063" s="95"/>
      <c r="I1063" s="95">
        <f>J1053+J1054+J1056+J1061+J1062</f>
        <v>1417.1100000000001</v>
      </c>
      <c r="J1063" s="95"/>
      <c r="O1063" s="69">
        <f>I1063</f>
        <v>1417.1100000000001</v>
      </c>
      <c r="P1063">
        <f>K1063</f>
        <v>0</v>
      </c>
      <c r="Q1063" s="69">
        <f>J1053</f>
        <v>310.14999999999998</v>
      </c>
      <c r="R1063" s="69">
        <f>J1053</f>
        <v>310.14999999999998</v>
      </c>
      <c r="U1063" s="70">
        <f>L1053</f>
        <v>7512</v>
      </c>
      <c r="V1063" s="69">
        <f>J1055</f>
        <v>7.87</v>
      </c>
      <c r="W1063" s="70">
        <f>L1055</f>
        <v>191</v>
      </c>
      <c r="X1063" s="69">
        <f>J1054</f>
        <v>674.99</v>
      </c>
      <c r="Z1063" s="70">
        <f>L1054</f>
        <v>0</v>
      </c>
      <c r="AB1063" s="69">
        <f>J1056</f>
        <v>5.67</v>
      </c>
      <c r="AN1063">
        <f>IF(Source!BI228&lt;=1,J1053+J1054+J1056+J1061+J1062, 0)</f>
        <v>1417.1100000000001</v>
      </c>
      <c r="AO1063">
        <f>IF(Source!BI228&lt;=1,J1056, 0)</f>
        <v>5.67</v>
      </c>
      <c r="AP1063">
        <f>IF(Source!BI228&lt;=1,J1054, 0)</f>
        <v>674.99</v>
      </c>
      <c r="AQ1063">
        <f>IF(Source!BI228&lt;=1,J1053, 0)</f>
        <v>310.14999999999998</v>
      </c>
      <c r="AX1063">
        <f>IF(Source!BI228=2,J1053+J1054+J1056+J1061+J1062, 0)</f>
        <v>0</v>
      </c>
      <c r="AY1063">
        <f>IF(Source!BI228=2,J1056, 0)</f>
        <v>0</v>
      </c>
      <c r="AZ1063">
        <f>IF(Source!BI228=2,J1054, 0)</f>
        <v>0</v>
      </c>
      <c r="BA1063">
        <f>IF(Source!BI228=2,J1053, 0)</f>
        <v>0</v>
      </c>
    </row>
    <row r="1064" spans="1:56" ht="27.6">
      <c r="A1064" s="110" t="str">
        <f>Source!E229</f>
        <v>114</v>
      </c>
      <c r="B1064" s="111" t="str">
        <f>Source!F229</f>
        <v>113-8072</v>
      </c>
      <c r="C1064" s="111" t="str">
        <f>Source!G229</f>
        <v>Антисептик-антипирен &lt;ПИРИЛАКС-ЛЮКС&gt; для древесины</v>
      </c>
      <c r="D1064" s="81" t="str">
        <f>Source!H229</f>
        <v>кг</v>
      </c>
      <c r="E1064" s="82">
        <f>Source!K229</f>
        <v>132.47999999999999</v>
      </c>
      <c r="F1064" s="82"/>
      <c r="G1064" s="82">
        <f>Source!I229</f>
        <v>132.47999999999999</v>
      </c>
      <c r="H1064" s="83">
        <f>Source!AL229</f>
        <v>19.59</v>
      </c>
      <c r="I1064" s="84"/>
      <c r="J1064" s="85">
        <f>ROUND(Source!AC229*Source!I229, 2)</f>
        <v>2595.2800000000002</v>
      </c>
      <c r="K1064" s="84"/>
      <c r="L1064" s="86"/>
      <c r="AC1064">
        <f>Source!X229</f>
        <v>0</v>
      </c>
      <c r="AD1064">
        <f>Source!HK229</f>
        <v>0</v>
      </c>
      <c r="AE1064">
        <f>Source!Y229</f>
        <v>0</v>
      </c>
      <c r="AF1064">
        <f>Source!HL229</f>
        <v>0</v>
      </c>
      <c r="AS1064">
        <f>IF(Source!BI229&lt;=1,AD1064, 0)</f>
        <v>0</v>
      </c>
      <c r="AT1064">
        <f>IF(Source!BI229&lt;=1,AF1064, 0)</f>
        <v>0</v>
      </c>
      <c r="BC1064">
        <f>IF(Source!BI229=2,AD1064, 0)</f>
        <v>0</v>
      </c>
      <c r="BD1064">
        <f>IF(Source!BI229=2,AF1064, 0)</f>
        <v>0</v>
      </c>
    </row>
    <row r="1065" spans="1:56">
      <c r="A1065" s="71"/>
      <c r="B1065" s="71"/>
      <c r="C1065" s="71"/>
      <c r="D1065" s="71"/>
      <c r="E1065" s="71"/>
      <c r="F1065" s="71"/>
      <c r="G1065" s="71"/>
      <c r="H1065" s="71"/>
      <c r="I1065" s="71"/>
      <c r="J1065" s="71"/>
      <c r="K1065" s="71"/>
      <c r="L1065" s="71"/>
    </row>
    <row r="1066" spans="1:56" ht="13.8">
      <c r="C1066" s="95" t="s">
        <v>1386</v>
      </c>
      <c r="D1066" s="95"/>
      <c r="E1066" s="95"/>
      <c r="F1066" s="95"/>
      <c r="G1066" s="95"/>
      <c r="H1066" s="95"/>
      <c r="I1066" s="95">
        <f>J1064</f>
        <v>2595.2800000000002</v>
      </c>
      <c r="J1066" s="95"/>
      <c r="O1066" s="69">
        <f>I1066</f>
        <v>2595.2800000000002</v>
      </c>
      <c r="P1066">
        <f>K1066</f>
        <v>0</v>
      </c>
      <c r="Q1066">
        <f>0</f>
        <v>0</v>
      </c>
      <c r="R1066">
        <f>0</f>
        <v>0</v>
      </c>
      <c r="U1066">
        <f>0</f>
        <v>0</v>
      </c>
      <c r="V1066">
        <f>0</f>
        <v>0</v>
      </c>
      <c r="W1066">
        <f>0</f>
        <v>0</v>
      </c>
      <c r="X1066">
        <f>0</f>
        <v>0</v>
      </c>
      <c r="Z1066">
        <f>0</f>
        <v>0</v>
      </c>
      <c r="AB1066" s="69">
        <f>I1066</f>
        <v>2595.2800000000002</v>
      </c>
      <c r="AN1066">
        <f>IF(Source!BI229&lt;=1,J1064, 0)</f>
        <v>2595.2800000000002</v>
      </c>
      <c r="AO1066">
        <f>IF(Source!BI229&lt;=1,I1066, 0)</f>
        <v>2595.2800000000002</v>
      </c>
      <c r="AP1066">
        <f>IF(Source!BI229&lt;=1,0, 0)</f>
        <v>0</v>
      </c>
      <c r="AQ1066">
        <f>IF(Source!BI229&lt;=1,0, 0)</f>
        <v>0</v>
      </c>
      <c r="AX1066">
        <f>IF(Source!BI229=2,J1064, 0)</f>
        <v>0</v>
      </c>
      <c r="AY1066">
        <f>IF(Source!BI229=2,I1066, 0)</f>
        <v>0</v>
      </c>
      <c r="AZ1066">
        <f>IF(Source!BI229=2,0, 0)</f>
        <v>0</v>
      </c>
      <c r="BA1066">
        <f>IF(Source!BI229=2,0, 0)</f>
        <v>0</v>
      </c>
    </row>
    <row r="1067" spans="1:56" ht="147">
      <c r="A1067" s="110" t="str">
        <f>Source!E230</f>
        <v>115</v>
      </c>
      <c r="B1067" s="111" t="str">
        <f>Source!F230</f>
        <v>08-07-001-2</v>
      </c>
      <c r="C1067" s="111" t="s">
        <v>1491</v>
      </c>
      <c r="D1067" s="81" t="str">
        <f>Source!H230</f>
        <v>100 м2 вертикальной проекции для наружных лесов</v>
      </c>
      <c r="E1067" s="82">
        <f>Source!K230</f>
        <v>1.4487000000000001</v>
      </c>
      <c r="F1067" s="82"/>
      <c r="G1067" s="82">
        <f>Source!I230</f>
        <v>1.4487000000000001</v>
      </c>
      <c r="H1067" s="83"/>
      <c r="I1067" s="84"/>
      <c r="J1067" s="85"/>
      <c r="K1067" s="84"/>
      <c r="L1067" s="86"/>
      <c r="AC1067">
        <f>Source!X230</f>
        <v>687.31</v>
      </c>
      <c r="AD1067">
        <f>Source!HK230</f>
        <v>16647</v>
      </c>
      <c r="AE1067">
        <f>Source!Y230</f>
        <v>407.18</v>
      </c>
      <c r="AF1067">
        <f>Source!HL230</f>
        <v>9862</v>
      </c>
      <c r="AS1067">
        <f>IF(Source!BI230&lt;=1,AD1067, 0)</f>
        <v>16647</v>
      </c>
      <c r="AT1067">
        <f>IF(Source!BI230&lt;=1,AF1067, 0)</f>
        <v>9862</v>
      </c>
      <c r="BC1067">
        <f>IF(Source!BI230=2,AD1067, 0)</f>
        <v>0</v>
      </c>
      <c r="BD1067">
        <f>IF(Source!BI230=2,AF1067, 0)</f>
        <v>0</v>
      </c>
    </row>
    <row r="1069" spans="1:56">
      <c r="C1069" s="67" t="str">
        <f>"Объем: "&amp;Source!K230&amp;"=144,87/"&amp;"100"</f>
        <v>Объем: 1,4487=144,87/100</v>
      </c>
    </row>
    <row r="1070" spans="1:56" ht="14.4">
      <c r="A1070" s="110"/>
      <c r="B1070" s="112">
        <v>1</v>
      </c>
      <c r="C1070" s="111" t="s">
        <v>1373</v>
      </c>
      <c r="D1070" s="81"/>
      <c r="E1070" s="82"/>
      <c r="F1070" s="82"/>
      <c r="G1070" s="82"/>
      <c r="H1070" s="83">
        <f>Source!AO230</f>
        <v>362.36</v>
      </c>
      <c r="I1070" s="84">
        <f>ROUND(1.15*1.15,7)</f>
        <v>1.3225</v>
      </c>
      <c r="J1070" s="85">
        <f>ROUND(Source!AF230*Source!I230, 2)</f>
        <v>694.25</v>
      </c>
      <c r="K1070" s="84">
        <f>IF(Source!BA230&lt;&gt; 0, Source!BA230, 1)</f>
        <v>24.22</v>
      </c>
      <c r="L1070" s="86">
        <f>Source!HJ230</f>
        <v>16815</v>
      </c>
    </row>
    <row r="1071" spans="1:56" ht="14.4">
      <c r="A1071" s="110"/>
      <c r="B1071" s="112">
        <v>3</v>
      </c>
      <c r="C1071" s="111" t="s">
        <v>1374</v>
      </c>
      <c r="D1071" s="81"/>
      <c r="E1071" s="82"/>
      <c r="F1071" s="82"/>
      <c r="G1071" s="82"/>
      <c r="H1071" s="83">
        <f>Source!AM230</f>
        <v>6.41</v>
      </c>
      <c r="I1071" s="84">
        <f>ROUND(1.25*1.15,7)</f>
        <v>1.4375</v>
      </c>
      <c r="J1071" s="85">
        <f>ROUND(Source!AD230*Source!I230, 2)</f>
        <v>13.35</v>
      </c>
      <c r="K1071" s="84"/>
      <c r="L1071" s="86"/>
    </row>
    <row r="1072" spans="1:56" ht="14.4">
      <c r="A1072" s="110"/>
      <c r="B1072" s="112">
        <v>4</v>
      </c>
      <c r="C1072" s="111" t="s">
        <v>1408</v>
      </c>
      <c r="D1072" s="81"/>
      <c r="E1072" s="82"/>
      <c r="F1072" s="82"/>
      <c r="G1072" s="82"/>
      <c r="H1072" s="83">
        <f>Source!AL230</f>
        <v>310.33999999999997</v>
      </c>
      <c r="I1072" s="84"/>
      <c r="J1072" s="85">
        <f>ROUND(Source!AC230*Source!I230, 2)</f>
        <v>449.59</v>
      </c>
      <c r="K1072" s="84"/>
      <c r="L1072" s="86"/>
    </row>
    <row r="1073" spans="1:56" ht="14.4">
      <c r="A1073" s="110"/>
      <c r="B1073" s="111"/>
      <c r="C1073" s="113" t="s">
        <v>1376</v>
      </c>
      <c r="D1073" s="89" t="s">
        <v>1377</v>
      </c>
      <c r="E1073" s="90">
        <f>Source!AQ230</f>
        <v>43.5</v>
      </c>
      <c r="F1073" s="90">
        <f>ROUND(1.15*1.15,7)</f>
        <v>1.3225</v>
      </c>
      <c r="G1073" s="90">
        <f>ROUND(Source!U230, 7)</f>
        <v>83.341900100000004</v>
      </c>
      <c r="H1073" s="91"/>
      <c r="I1073" s="92"/>
      <c r="J1073" s="93"/>
      <c r="K1073" s="92"/>
      <c r="L1073" s="94"/>
    </row>
    <row r="1074" spans="1:56" ht="14.4">
      <c r="A1074" s="110"/>
      <c r="B1074" s="111"/>
      <c r="C1074" s="111" t="s">
        <v>1379</v>
      </c>
      <c r="D1074" s="81"/>
      <c r="E1074" s="82"/>
      <c r="F1074" s="82"/>
      <c r="G1074" s="82"/>
      <c r="H1074" s="83">
        <f>H1070+H1071+H1072</f>
        <v>679.11</v>
      </c>
      <c r="I1074" s="84"/>
      <c r="J1074" s="85">
        <f>J1070+J1071+J1072</f>
        <v>1157.19</v>
      </c>
      <c r="K1074" s="84"/>
      <c r="L1074" s="86"/>
    </row>
    <row r="1075" spans="1:56" ht="14.4">
      <c r="A1075" s="110"/>
      <c r="B1075" s="111"/>
      <c r="C1075" s="111" t="s">
        <v>1380</v>
      </c>
      <c r="D1075" s="81"/>
      <c r="E1075" s="82"/>
      <c r="F1075" s="82"/>
      <c r="G1075" s="82"/>
      <c r="H1075" s="83"/>
      <c r="I1075" s="84"/>
      <c r="J1075" s="85">
        <f>SUM(Q1067:Q1078)+SUM(V1067:V1078)</f>
        <v>694.25</v>
      </c>
      <c r="K1075" s="84"/>
      <c r="L1075" s="86">
        <f>SUM(U1067:U1078)+SUM(W1067:W1078)</f>
        <v>16815</v>
      </c>
    </row>
    <row r="1076" spans="1:56" ht="14.4">
      <c r="A1076" s="110"/>
      <c r="B1076" s="111" t="s">
        <v>1436</v>
      </c>
      <c r="C1076" s="111" t="s">
        <v>1437</v>
      </c>
      <c r="D1076" s="81" t="s">
        <v>1383</v>
      </c>
      <c r="E1076" s="82">
        <f>Source!BZ230</f>
        <v>110</v>
      </c>
      <c r="F1076" s="82">
        <f>ROUND(0.9,7)</f>
        <v>0.9</v>
      </c>
      <c r="G1076" s="82">
        <f>Source!AT230</f>
        <v>99</v>
      </c>
      <c r="H1076" s="83"/>
      <c r="I1076" s="84"/>
      <c r="J1076" s="85">
        <f>SUM(AC1067:AC1078)</f>
        <v>687.31</v>
      </c>
      <c r="K1076" s="84"/>
      <c r="L1076" s="86">
        <f>SUM(AD1067:AD1078)</f>
        <v>16647</v>
      </c>
    </row>
    <row r="1077" spans="1:56" ht="14.4">
      <c r="A1077" s="114"/>
      <c r="B1077" s="113" t="s">
        <v>1438</v>
      </c>
      <c r="C1077" s="113" t="s">
        <v>1439</v>
      </c>
      <c r="D1077" s="89" t="s">
        <v>1383</v>
      </c>
      <c r="E1077" s="90">
        <f>Source!CA230</f>
        <v>69</v>
      </c>
      <c r="F1077" s="90">
        <f>ROUND(0.85,7)</f>
        <v>0.85</v>
      </c>
      <c r="G1077" s="90">
        <f>Source!AU230</f>
        <v>58.65</v>
      </c>
      <c r="H1077" s="91"/>
      <c r="I1077" s="92"/>
      <c r="J1077" s="93">
        <f>SUM(AE1067:AE1078)</f>
        <v>407.18</v>
      </c>
      <c r="K1077" s="92"/>
      <c r="L1077" s="94">
        <f>SUM(AF1067:AF1078)</f>
        <v>9862</v>
      </c>
    </row>
    <row r="1078" spans="1:56" ht="13.8">
      <c r="C1078" s="95" t="s">
        <v>1386</v>
      </c>
      <c r="D1078" s="95"/>
      <c r="E1078" s="95"/>
      <c r="F1078" s="95"/>
      <c r="G1078" s="95"/>
      <c r="H1078" s="95"/>
      <c r="I1078" s="95">
        <f>J1070+J1071+J1072+J1076+J1077</f>
        <v>2251.6799999999998</v>
      </c>
      <c r="J1078" s="95"/>
      <c r="O1078" s="69">
        <f>I1078</f>
        <v>2251.6799999999998</v>
      </c>
      <c r="P1078">
        <f>K1078</f>
        <v>0</v>
      </c>
      <c r="Q1078" s="69">
        <f>J1070</f>
        <v>694.25</v>
      </c>
      <c r="R1078" s="69">
        <f>J1070</f>
        <v>694.25</v>
      </c>
      <c r="U1078" s="70">
        <f>L1070</f>
        <v>16815</v>
      </c>
      <c r="V1078">
        <f>0</f>
        <v>0</v>
      </c>
      <c r="W1078">
        <f>0</f>
        <v>0</v>
      </c>
      <c r="X1078" s="69">
        <f>J1071</f>
        <v>13.35</v>
      </c>
      <c r="Z1078" s="70">
        <f>L1071</f>
        <v>0</v>
      </c>
      <c r="AB1078" s="69">
        <f>J1072</f>
        <v>449.59</v>
      </c>
      <c r="AN1078">
        <f>IF(Source!BI230&lt;=1,J1070+J1071+J1072+J1076+J1077, 0)</f>
        <v>2251.6799999999998</v>
      </c>
      <c r="AO1078">
        <f>IF(Source!BI230&lt;=1,J1072, 0)</f>
        <v>449.59</v>
      </c>
      <c r="AP1078">
        <f>IF(Source!BI230&lt;=1,J1071, 0)</f>
        <v>13.35</v>
      </c>
      <c r="AQ1078">
        <f>IF(Source!BI230&lt;=1,J1070, 0)</f>
        <v>694.25</v>
      </c>
      <c r="AX1078">
        <f>IF(Source!BI230=2,J1070+J1071+J1072+J1076+J1077, 0)</f>
        <v>0</v>
      </c>
      <c r="AY1078">
        <f>IF(Source!BI230=2,J1072, 0)</f>
        <v>0</v>
      </c>
      <c r="AZ1078">
        <f>IF(Source!BI230=2,J1071, 0)</f>
        <v>0</v>
      </c>
      <c r="BA1078">
        <f>IF(Source!BI230=2,J1070, 0)</f>
        <v>0</v>
      </c>
    </row>
    <row r="1079" spans="1:56" ht="93">
      <c r="A1079" s="110" t="str">
        <f>Source!E231</f>
        <v>116</v>
      </c>
      <c r="B1079" s="111" t="str">
        <f>Source!F231</f>
        <v>46-04-001-4</v>
      </c>
      <c r="C1079" s="111" t="s">
        <v>1430</v>
      </c>
      <c r="D1079" s="81" t="str">
        <f>Source!H231</f>
        <v>1 м3</v>
      </c>
      <c r="E1079" s="82">
        <f>Source!K231</f>
        <v>15</v>
      </c>
      <c r="F1079" s="82"/>
      <c r="G1079" s="82">
        <f>Source!I231</f>
        <v>15</v>
      </c>
      <c r="H1079" s="83"/>
      <c r="I1079" s="84"/>
      <c r="J1079" s="85"/>
      <c r="K1079" s="84"/>
      <c r="L1079" s="86"/>
      <c r="AC1079">
        <f>Source!X231</f>
        <v>1281.23</v>
      </c>
      <c r="AD1079">
        <f>Source!HK231</f>
        <v>31032</v>
      </c>
      <c r="AE1079">
        <f>Source!Y231</f>
        <v>1281.23</v>
      </c>
      <c r="AF1079">
        <f>Source!HL231</f>
        <v>31032</v>
      </c>
      <c r="AS1079">
        <f>IF(Source!BI231&lt;=1,AD1079, 0)</f>
        <v>31032</v>
      </c>
      <c r="AT1079">
        <f>IF(Source!BI231&lt;=1,AF1079, 0)</f>
        <v>31032</v>
      </c>
      <c r="BC1079">
        <f>IF(Source!BI231=2,AD1079, 0)</f>
        <v>0</v>
      </c>
      <c r="BD1079">
        <f>IF(Source!BI231=2,AF1079, 0)</f>
        <v>0</v>
      </c>
    </row>
    <row r="1081" spans="1:56" ht="14.4">
      <c r="A1081" s="110"/>
      <c r="B1081" s="112">
        <v>1</v>
      </c>
      <c r="C1081" s="111" t="s">
        <v>1373</v>
      </c>
      <c r="D1081" s="81"/>
      <c r="E1081" s="82"/>
      <c r="F1081" s="82"/>
      <c r="G1081" s="82"/>
      <c r="H1081" s="83">
        <f>Source!AO231</f>
        <v>70.45</v>
      </c>
      <c r="I1081" s="84">
        <f>ROUND(1.15,7)</f>
        <v>1.1499999999999999</v>
      </c>
      <c r="J1081" s="85">
        <f>ROUND(Source!AF231*Source!I231, 2)</f>
        <v>1215.26</v>
      </c>
      <c r="K1081" s="84">
        <f>IF(Source!BA231&lt;&gt; 0, Source!BA231, 1)</f>
        <v>24.22</v>
      </c>
      <c r="L1081" s="86">
        <f>Source!HJ231</f>
        <v>29434</v>
      </c>
    </row>
    <row r="1082" spans="1:56" ht="14.4">
      <c r="A1082" s="110"/>
      <c r="B1082" s="112">
        <v>3</v>
      </c>
      <c r="C1082" s="111" t="s">
        <v>1374</v>
      </c>
      <c r="D1082" s="81"/>
      <c r="E1082" s="82"/>
      <c r="F1082" s="82"/>
      <c r="G1082" s="82"/>
      <c r="H1082" s="83">
        <f>Source!AM231</f>
        <v>103.7</v>
      </c>
      <c r="I1082" s="84">
        <f>ROUND(1.15,7)</f>
        <v>1.1499999999999999</v>
      </c>
      <c r="J1082" s="85">
        <f>ROUND(Source!AD231*Source!I231, 2)</f>
        <v>1788.83</v>
      </c>
      <c r="K1082" s="84"/>
      <c r="L1082" s="86"/>
    </row>
    <row r="1083" spans="1:56" ht="14.4">
      <c r="A1083" s="110"/>
      <c r="B1083" s="112">
        <v>2</v>
      </c>
      <c r="C1083" s="111" t="s">
        <v>1375</v>
      </c>
      <c r="D1083" s="81"/>
      <c r="E1083" s="82"/>
      <c r="F1083" s="82"/>
      <c r="G1083" s="82"/>
      <c r="H1083" s="83">
        <f>Source!AN231</f>
        <v>11.17</v>
      </c>
      <c r="I1083" s="84">
        <f>ROUND(1.15,7)</f>
        <v>1.1499999999999999</v>
      </c>
      <c r="J1083" s="87">
        <f>ROUND(Source!AE231*Source!I231, 2)</f>
        <v>192.68</v>
      </c>
      <c r="K1083" s="84">
        <f>IF(Source!BS231&lt;&gt; 0, Source!BS231, 1)</f>
        <v>24.22</v>
      </c>
      <c r="L1083" s="88">
        <f>Source!HI231</f>
        <v>4667</v>
      </c>
    </row>
    <row r="1084" spans="1:56" ht="14.4">
      <c r="A1084" s="110"/>
      <c r="B1084" s="111"/>
      <c r="C1084" s="111" t="s">
        <v>1376</v>
      </c>
      <c r="D1084" s="81" t="s">
        <v>1377</v>
      </c>
      <c r="E1084" s="82">
        <f>Source!AQ231</f>
        <v>8.24</v>
      </c>
      <c r="F1084" s="82">
        <f>ROUND(1.15,7)</f>
        <v>1.1499999999999999</v>
      </c>
      <c r="G1084" s="82">
        <f>ROUND(Source!U231, 7)</f>
        <v>142.13999999999999</v>
      </c>
      <c r="H1084" s="83"/>
      <c r="I1084" s="84"/>
      <c r="J1084" s="85"/>
      <c r="K1084" s="84"/>
      <c r="L1084" s="86"/>
    </row>
    <row r="1085" spans="1:56" ht="14.4">
      <c r="A1085" s="110"/>
      <c r="B1085" s="111"/>
      <c r="C1085" s="113" t="s">
        <v>1378</v>
      </c>
      <c r="D1085" s="89" t="s">
        <v>1377</v>
      </c>
      <c r="E1085" s="90">
        <f>Source!AR231</f>
        <v>1.1499999999999999</v>
      </c>
      <c r="F1085" s="90">
        <f>ROUND(1.15,7)</f>
        <v>1.1499999999999999</v>
      </c>
      <c r="G1085" s="90">
        <f>ROUND(Source!V231, 7)</f>
        <v>19.837499999999999</v>
      </c>
      <c r="H1085" s="91"/>
      <c r="I1085" s="92"/>
      <c r="J1085" s="93"/>
      <c r="K1085" s="92"/>
      <c r="L1085" s="94"/>
    </row>
    <row r="1086" spans="1:56" ht="14.4">
      <c r="A1086" s="110"/>
      <c r="B1086" s="111"/>
      <c r="C1086" s="111" t="s">
        <v>1379</v>
      </c>
      <c r="D1086" s="81"/>
      <c r="E1086" s="82"/>
      <c r="F1086" s="82"/>
      <c r="G1086" s="82"/>
      <c r="H1086" s="83">
        <f>H1081+H1082</f>
        <v>174.15</v>
      </c>
      <c r="I1086" s="84"/>
      <c r="J1086" s="85">
        <f>J1081+J1082</f>
        <v>3004.09</v>
      </c>
      <c r="K1086" s="84"/>
      <c r="L1086" s="86"/>
    </row>
    <row r="1087" spans="1:56" ht="14.4">
      <c r="A1087" s="110"/>
      <c r="B1087" s="111"/>
      <c r="C1087" s="111" t="s">
        <v>1380</v>
      </c>
      <c r="D1087" s="81"/>
      <c r="E1087" s="82"/>
      <c r="F1087" s="82"/>
      <c r="G1087" s="82"/>
      <c r="H1087" s="83"/>
      <c r="I1087" s="84"/>
      <c r="J1087" s="85">
        <f>SUM(Q1079:Q1090)+SUM(V1079:V1090)</f>
        <v>1407.94</v>
      </c>
      <c r="K1087" s="84"/>
      <c r="L1087" s="86">
        <f>SUM(U1079:U1090)+SUM(W1079:W1090)</f>
        <v>34101</v>
      </c>
    </row>
    <row r="1088" spans="1:56" ht="69">
      <c r="A1088" s="110"/>
      <c r="B1088" s="111" t="s">
        <v>1431</v>
      </c>
      <c r="C1088" s="111" t="s">
        <v>1432</v>
      </c>
      <c r="D1088" s="81" t="s">
        <v>1383</v>
      </c>
      <c r="E1088" s="82">
        <f>Source!BZ231</f>
        <v>91</v>
      </c>
      <c r="F1088" s="82"/>
      <c r="G1088" s="82">
        <f>Source!AT231</f>
        <v>91</v>
      </c>
      <c r="H1088" s="83"/>
      <c r="I1088" s="84"/>
      <c r="J1088" s="85">
        <f>SUM(AC1079:AC1090)</f>
        <v>1281.23</v>
      </c>
      <c r="K1088" s="84"/>
      <c r="L1088" s="86">
        <f>SUM(AD1079:AD1090)</f>
        <v>31032</v>
      </c>
    </row>
    <row r="1089" spans="1:56" ht="69">
      <c r="A1089" s="114"/>
      <c r="B1089" s="113" t="s">
        <v>1433</v>
      </c>
      <c r="C1089" s="113" t="s">
        <v>1434</v>
      </c>
      <c r="D1089" s="89" t="s">
        <v>1383</v>
      </c>
      <c r="E1089" s="90">
        <f>Source!CA231</f>
        <v>52</v>
      </c>
      <c r="F1089" s="90"/>
      <c r="G1089" s="90">
        <f>Source!AU231</f>
        <v>91</v>
      </c>
      <c r="H1089" s="91"/>
      <c r="I1089" s="92"/>
      <c r="J1089" s="93">
        <f>SUM(AE1079:AE1090)</f>
        <v>1281.23</v>
      </c>
      <c r="K1089" s="92"/>
      <c r="L1089" s="94">
        <f>SUM(AF1079:AF1090)</f>
        <v>31032</v>
      </c>
    </row>
    <row r="1090" spans="1:56" ht="13.8">
      <c r="C1090" s="95" t="s">
        <v>1386</v>
      </c>
      <c r="D1090" s="95"/>
      <c r="E1090" s="95"/>
      <c r="F1090" s="95"/>
      <c r="G1090" s="95"/>
      <c r="H1090" s="95"/>
      <c r="I1090" s="95">
        <f>J1081+J1082+J1088+J1089</f>
        <v>5566.5499999999993</v>
      </c>
      <c r="J1090" s="95"/>
      <c r="O1090" s="69">
        <f>I1090</f>
        <v>5566.5499999999993</v>
      </c>
      <c r="P1090">
        <f>K1090</f>
        <v>0</v>
      </c>
      <c r="Q1090" s="69">
        <f>J1081</f>
        <v>1215.26</v>
      </c>
      <c r="R1090" s="69">
        <f>J1081</f>
        <v>1215.26</v>
      </c>
      <c r="U1090" s="70">
        <f>L1081</f>
        <v>29434</v>
      </c>
      <c r="V1090" s="69">
        <f>J1083</f>
        <v>192.68</v>
      </c>
      <c r="W1090" s="70">
        <f>L1083</f>
        <v>4667</v>
      </c>
      <c r="X1090" s="69">
        <f>J1082</f>
        <v>1788.83</v>
      </c>
      <c r="Z1090" s="70">
        <f>L1082</f>
        <v>0</v>
      </c>
      <c r="AB1090">
        <f>0</f>
        <v>0</v>
      </c>
      <c r="AN1090">
        <f>IF(Source!BI231&lt;=1,J1081+J1082+J1088+J1089, 0)</f>
        <v>5566.5499999999993</v>
      </c>
      <c r="AO1090">
        <f>IF(Source!BI231&lt;=1,0, 0)</f>
        <v>0</v>
      </c>
      <c r="AP1090">
        <f>IF(Source!BI231&lt;=1,J1082, 0)</f>
        <v>1788.83</v>
      </c>
      <c r="AQ1090">
        <f>IF(Source!BI231&lt;=1,J1081, 0)</f>
        <v>1215.26</v>
      </c>
      <c r="AX1090">
        <f>IF(Source!BI231=2,J1081+J1082+J1088+J1089, 0)</f>
        <v>0</v>
      </c>
      <c r="AY1090">
        <f>IF(Source!BI231=2,0, 0)</f>
        <v>0</v>
      </c>
      <c r="AZ1090">
        <f>IF(Source!BI231=2,J1082, 0)</f>
        <v>0</v>
      </c>
      <c r="BA1090">
        <f>IF(Source!BI231=2,J1081, 0)</f>
        <v>0</v>
      </c>
    </row>
    <row r="1091" spans="1:56" ht="174">
      <c r="A1091" s="110" t="str">
        <f>Source!E232</f>
        <v>117</v>
      </c>
      <c r="B1091" s="111" t="str">
        <f>Source!F232</f>
        <v>09-03-014-2</v>
      </c>
      <c r="C1091" s="111" t="s">
        <v>1492</v>
      </c>
      <c r="D1091" s="81" t="str">
        <f>Source!H232</f>
        <v>1 т конструкций</v>
      </c>
      <c r="E1091" s="82">
        <f>Source!K232</f>
        <v>7.8799999999999995E-2</v>
      </c>
      <c r="F1091" s="82"/>
      <c r="G1091" s="82">
        <f>Source!I232</f>
        <v>7.8799999999999995E-2</v>
      </c>
      <c r="H1091" s="83"/>
      <c r="I1091" s="84"/>
      <c r="J1091" s="85"/>
      <c r="K1091" s="84"/>
      <c r="L1091" s="86"/>
      <c r="AC1091">
        <f>Source!X232</f>
        <v>34.07</v>
      </c>
      <c r="AD1091">
        <f>Source!HK232</f>
        <v>825</v>
      </c>
      <c r="AE1091">
        <f>Source!Y232</f>
        <v>21.45</v>
      </c>
      <c r="AF1091">
        <f>Source!HL232</f>
        <v>520</v>
      </c>
      <c r="AS1091">
        <f>IF(Source!BI232&lt;=1,AD1091, 0)</f>
        <v>825</v>
      </c>
      <c r="AT1091">
        <f>IF(Source!BI232&lt;=1,AF1091, 0)</f>
        <v>520</v>
      </c>
      <c r="BC1091">
        <f>IF(Source!BI232=2,AD1091, 0)</f>
        <v>0</v>
      </c>
      <c r="BD1091">
        <f>IF(Source!BI232=2,AF1091, 0)</f>
        <v>0</v>
      </c>
    </row>
    <row r="1093" spans="1:56">
      <c r="C1093" s="67" t="str">
        <f>"Объем: "&amp;Source!K232&amp;"=78,8/"&amp;"1000"</f>
        <v>Объем: 0,0788=78,8/1000</v>
      </c>
    </row>
    <row r="1094" spans="1:56" ht="14.4">
      <c r="A1094" s="110"/>
      <c r="B1094" s="112">
        <v>1</v>
      </c>
      <c r="C1094" s="111" t="s">
        <v>1373</v>
      </c>
      <c r="D1094" s="81"/>
      <c r="E1094" s="82"/>
      <c r="F1094" s="82"/>
      <c r="G1094" s="82"/>
      <c r="H1094" s="83">
        <f>Source!AO232</f>
        <v>584.22</v>
      </c>
      <c r="I1094" s="84">
        <f>ROUND(0.7*1.15,7)</f>
        <v>0.80500000000000005</v>
      </c>
      <c r="J1094" s="85">
        <f>ROUND(Source!AF232*Source!I232, 2)</f>
        <v>37.06</v>
      </c>
      <c r="K1094" s="84">
        <f>IF(Source!BA232&lt;&gt; 0, Source!BA232, 1)</f>
        <v>24.22</v>
      </c>
      <c r="L1094" s="86">
        <f>Source!HJ232</f>
        <v>898</v>
      </c>
    </row>
    <row r="1095" spans="1:56" ht="14.4">
      <c r="A1095" s="110"/>
      <c r="B1095" s="112">
        <v>3</v>
      </c>
      <c r="C1095" s="111" t="s">
        <v>1374</v>
      </c>
      <c r="D1095" s="81"/>
      <c r="E1095" s="82"/>
      <c r="F1095" s="82"/>
      <c r="G1095" s="82"/>
      <c r="H1095" s="83">
        <f>Source!AM232</f>
        <v>717.3</v>
      </c>
      <c r="I1095" s="84">
        <f>ROUND(0.7*1.15,7)</f>
        <v>0.80500000000000005</v>
      </c>
      <c r="J1095" s="85">
        <f>ROUND(Source!AD232*Source!I232, 2)</f>
        <v>45.5</v>
      </c>
      <c r="K1095" s="84"/>
      <c r="L1095" s="86"/>
    </row>
    <row r="1096" spans="1:56" ht="14.4">
      <c r="A1096" s="110"/>
      <c r="B1096" s="112">
        <v>2</v>
      </c>
      <c r="C1096" s="111" t="s">
        <v>1375</v>
      </c>
      <c r="D1096" s="81"/>
      <c r="E1096" s="82"/>
      <c r="F1096" s="82"/>
      <c r="G1096" s="82"/>
      <c r="H1096" s="83">
        <f>Source!AN232</f>
        <v>57.41</v>
      </c>
      <c r="I1096" s="84">
        <f>ROUND(0.7*1.15,7)</f>
        <v>0.80500000000000005</v>
      </c>
      <c r="J1096" s="87">
        <f>ROUND(Source!AE232*Source!I232, 2)</f>
        <v>3.64</v>
      </c>
      <c r="K1096" s="84">
        <f>IF(Source!BS232&lt;&gt; 0, Source!BS232, 1)</f>
        <v>24.22</v>
      </c>
      <c r="L1096" s="88">
        <f>Source!HI232</f>
        <v>88</v>
      </c>
    </row>
    <row r="1097" spans="1:56" ht="14.4">
      <c r="A1097" s="110"/>
      <c r="B1097" s="111"/>
      <c r="C1097" s="111" t="s">
        <v>1376</v>
      </c>
      <c r="D1097" s="81" t="s">
        <v>1377</v>
      </c>
      <c r="E1097" s="82">
        <f>Source!AQ232</f>
        <v>69.22</v>
      </c>
      <c r="F1097" s="82">
        <f>ROUND(0.7*1.15,7)</f>
        <v>0.80500000000000005</v>
      </c>
      <c r="G1097" s="82">
        <f>ROUND(Source!U232, 7)</f>
        <v>4.3909015</v>
      </c>
      <c r="H1097" s="83"/>
      <c r="I1097" s="84"/>
      <c r="J1097" s="85"/>
      <c r="K1097" s="84"/>
      <c r="L1097" s="86"/>
    </row>
    <row r="1098" spans="1:56" ht="14.4">
      <c r="A1098" s="110"/>
      <c r="B1098" s="111"/>
      <c r="C1098" s="113" t="s">
        <v>1378</v>
      </c>
      <c r="D1098" s="89" t="s">
        <v>1377</v>
      </c>
      <c r="E1098" s="90">
        <f>Source!AR232</f>
        <v>4.13</v>
      </c>
      <c r="F1098" s="90">
        <f>ROUND(0.7*1.15,7)</f>
        <v>0.80500000000000005</v>
      </c>
      <c r="G1098" s="90">
        <f>ROUND(Source!V232, 7)</f>
        <v>0.2619824</v>
      </c>
      <c r="H1098" s="91"/>
      <c r="I1098" s="92"/>
      <c r="J1098" s="93"/>
      <c r="K1098" s="92"/>
      <c r="L1098" s="94"/>
    </row>
    <row r="1099" spans="1:56" ht="14.4">
      <c r="A1099" s="110"/>
      <c r="B1099" s="111"/>
      <c r="C1099" s="111" t="s">
        <v>1379</v>
      </c>
      <c r="D1099" s="81"/>
      <c r="E1099" s="82"/>
      <c r="F1099" s="82"/>
      <c r="G1099" s="82"/>
      <c r="H1099" s="83">
        <f>H1094+H1095</f>
        <v>1301.52</v>
      </c>
      <c r="I1099" s="84"/>
      <c r="J1099" s="85">
        <f>J1094+J1095</f>
        <v>82.56</v>
      </c>
      <c r="K1099" s="84"/>
      <c r="L1099" s="86"/>
    </row>
    <row r="1100" spans="1:56" ht="14.4">
      <c r="A1100" s="110"/>
      <c r="B1100" s="111"/>
      <c r="C1100" s="111" t="s">
        <v>1380</v>
      </c>
      <c r="D1100" s="81"/>
      <c r="E1100" s="82"/>
      <c r="F1100" s="82"/>
      <c r="G1100" s="82"/>
      <c r="H1100" s="83"/>
      <c r="I1100" s="84"/>
      <c r="J1100" s="85">
        <f>SUM(Q1091:Q1103)+SUM(V1091:V1103)</f>
        <v>40.700000000000003</v>
      </c>
      <c r="K1100" s="84"/>
      <c r="L1100" s="86">
        <f>SUM(U1091:U1103)+SUM(W1091:W1103)</f>
        <v>986</v>
      </c>
    </row>
    <row r="1101" spans="1:56" ht="27.6">
      <c r="A1101" s="110"/>
      <c r="B1101" s="111" t="s">
        <v>1493</v>
      </c>
      <c r="C1101" s="111" t="s">
        <v>1494</v>
      </c>
      <c r="D1101" s="81" t="s">
        <v>1383</v>
      </c>
      <c r="E1101" s="82">
        <f>Source!BZ232</f>
        <v>93</v>
      </c>
      <c r="F1101" s="82">
        <f>ROUND(0.9,7)</f>
        <v>0.9</v>
      </c>
      <c r="G1101" s="82">
        <f>Source!AT232</f>
        <v>83.7</v>
      </c>
      <c r="H1101" s="83"/>
      <c r="I1101" s="84"/>
      <c r="J1101" s="85">
        <f>SUM(AC1091:AC1103)</f>
        <v>34.07</v>
      </c>
      <c r="K1101" s="84"/>
      <c r="L1101" s="86">
        <f>SUM(AD1091:AD1103)</f>
        <v>825</v>
      </c>
    </row>
    <row r="1102" spans="1:56" ht="27.6">
      <c r="A1102" s="114"/>
      <c r="B1102" s="113" t="s">
        <v>1495</v>
      </c>
      <c r="C1102" s="113" t="s">
        <v>1496</v>
      </c>
      <c r="D1102" s="89" t="s">
        <v>1383</v>
      </c>
      <c r="E1102" s="90">
        <f>Source!CA232</f>
        <v>62</v>
      </c>
      <c r="F1102" s="90">
        <f>ROUND(0.85,7)</f>
        <v>0.85</v>
      </c>
      <c r="G1102" s="90">
        <f>Source!AU232</f>
        <v>52.7</v>
      </c>
      <c r="H1102" s="91"/>
      <c r="I1102" s="92"/>
      <c r="J1102" s="93">
        <f>SUM(AE1091:AE1103)</f>
        <v>21.45</v>
      </c>
      <c r="K1102" s="92"/>
      <c r="L1102" s="94">
        <f>SUM(AF1091:AF1103)</f>
        <v>520</v>
      </c>
    </row>
    <row r="1103" spans="1:56" ht="13.8">
      <c r="C1103" s="95" t="s">
        <v>1386</v>
      </c>
      <c r="D1103" s="95"/>
      <c r="E1103" s="95"/>
      <c r="F1103" s="95"/>
      <c r="G1103" s="95"/>
      <c r="H1103" s="95"/>
      <c r="I1103" s="95">
        <f>J1094+J1095+J1101+J1102</f>
        <v>138.07999999999998</v>
      </c>
      <c r="J1103" s="95"/>
      <c r="O1103" s="69">
        <f>I1103</f>
        <v>138.07999999999998</v>
      </c>
      <c r="P1103">
        <f>K1103</f>
        <v>0</v>
      </c>
      <c r="Q1103" s="69">
        <f>J1094</f>
        <v>37.06</v>
      </c>
      <c r="R1103" s="69">
        <f>J1094</f>
        <v>37.06</v>
      </c>
      <c r="U1103" s="70">
        <f>L1094</f>
        <v>898</v>
      </c>
      <c r="V1103" s="69">
        <f>J1096</f>
        <v>3.64</v>
      </c>
      <c r="W1103" s="70">
        <f>L1096</f>
        <v>88</v>
      </c>
      <c r="X1103" s="69">
        <f>J1095</f>
        <v>45.5</v>
      </c>
      <c r="Z1103" s="70">
        <f>L1095</f>
        <v>0</v>
      </c>
      <c r="AB1103">
        <f>0</f>
        <v>0</v>
      </c>
      <c r="AN1103">
        <f>IF(Source!BI232&lt;=1,J1094+J1095+J1101+J1102, 0)</f>
        <v>138.07999999999998</v>
      </c>
      <c r="AO1103">
        <f>IF(Source!BI232&lt;=1,0, 0)</f>
        <v>0</v>
      </c>
      <c r="AP1103">
        <f>IF(Source!BI232&lt;=1,J1095, 0)</f>
        <v>45.5</v>
      </c>
      <c r="AQ1103">
        <f>IF(Source!BI232&lt;=1,J1094, 0)</f>
        <v>37.06</v>
      </c>
      <c r="AX1103">
        <f>IF(Source!BI232=2,J1094+J1095+J1101+J1102, 0)</f>
        <v>0</v>
      </c>
      <c r="AY1103">
        <f>IF(Source!BI232=2,0, 0)</f>
        <v>0</v>
      </c>
      <c r="AZ1103">
        <f>IF(Source!BI232=2,J1095, 0)</f>
        <v>0</v>
      </c>
      <c r="BA1103">
        <f>IF(Source!BI232=2,J1094, 0)</f>
        <v>0</v>
      </c>
    </row>
    <row r="1104" spans="1:56" ht="93">
      <c r="A1104" s="110" t="str">
        <f>Source!E233</f>
        <v>118</v>
      </c>
      <c r="B1104" s="111" t="str">
        <f>Source!F233</f>
        <v>67-3-1</v>
      </c>
      <c r="C1104" s="111" t="s">
        <v>1497</v>
      </c>
      <c r="D1104" s="81" t="str">
        <f>Source!H233</f>
        <v>100 м</v>
      </c>
      <c r="E1104" s="82">
        <f>Source!K233</f>
        <v>12</v>
      </c>
      <c r="F1104" s="82"/>
      <c r="G1104" s="82">
        <f>Source!I233</f>
        <v>12</v>
      </c>
      <c r="H1104" s="83"/>
      <c r="I1104" s="84"/>
      <c r="J1104" s="85"/>
      <c r="K1104" s="84"/>
      <c r="L1104" s="86"/>
      <c r="AC1104">
        <f>Source!X233</f>
        <v>913.21</v>
      </c>
      <c r="AD1104">
        <f>Source!HK233</f>
        <v>22118</v>
      </c>
      <c r="AE1104">
        <f>Source!Y233</f>
        <v>481.69</v>
      </c>
      <c r="AF1104">
        <f>Source!HL233</f>
        <v>11666</v>
      </c>
      <c r="AS1104">
        <f>IF(Source!BI233&lt;=1,AD1104, 0)</f>
        <v>22118</v>
      </c>
      <c r="AT1104">
        <f>IF(Source!BI233&lt;=1,AF1104, 0)</f>
        <v>11666</v>
      </c>
      <c r="BC1104">
        <f>IF(Source!BI233=2,AD1104, 0)</f>
        <v>0</v>
      </c>
      <c r="BD1104">
        <f>IF(Source!BI233=2,AF1104, 0)</f>
        <v>0</v>
      </c>
    </row>
    <row r="1106" spans="1:56">
      <c r="C1106" s="67" t="str">
        <f>"Объем: "&amp;Source!K233&amp;"=300*"&amp;"4/"&amp;"100"</f>
        <v>Объем: 12=300*4/100</v>
      </c>
    </row>
    <row r="1107" spans="1:56" ht="14.4">
      <c r="A1107" s="110"/>
      <c r="B1107" s="112">
        <v>1</v>
      </c>
      <c r="C1107" s="111" t="s">
        <v>1373</v>
      </c>
      <c r="D1107" s="81"/>
      <c r="E1107" s="82"/>
      <c r="F1107" s="82"/>
      <c r="G1107" s="82"/>
      <c r="H1107" s="83">
        <f>Source!AO233</f>
        <v>72.59</v>
      </c>
      <c r="I1107" s="84">
        <f>ROUND(1.15,7)</f>
        <v>1.1499999999999999</v>
      </c>
      <c r="J1107" s="85">
        <f>ROUND(Source!AF233*Source!I233, 2)</f>
        <v>1001.74</v>
      </c>
      <c r="K1107" s="84">
        <f>IF(Source!BA233&lt;&gt; 0, Source!BA233, 1)</f>
        <v>24.22</v>
      </c>
      <c r="L1107" s="86">
        <f>Source!HJ233</f>
        <v>24262</v>
      </c>
    </row>
    <row r="1108" spans="1:56" ht="14.4">
      <c r="A1108" s="110"/>
      <c r="B1108" s="112">
        <v>3</v>
      </c>
      <c r="C1108" s="111" t="s">
        <v>1374</v>
      </c>
      <c r="D1108" s="81"/>
      <c r="E1108" s="82"/>
      <c r="F1108" s="82"/>
      <c r="G1108" s="82"/>
      <c r="H1108" s="83">
        <f>Source!AM233</f>
        <v>0.31</v>
      </c>
      <c r="I1108" s="84">
        <f>ROUND(1.15,7)</f>
        <v>1.1499999999999999</v>
      </c>
      <c r="J1108" s="85">
        <f>ROUND(Source!AD233*Source!I233, 2)</f>
        <v>4.28</v>
      </c>
      <c r="K1108" s="84"/>
      <c r="L1108" s="86"/>
    </row>
    <row r="1109" spans="1:56" ht="14.4">
      <c r="A1109" s="110"/>
      <c r="B1109" s="112">
        <v>2</v>
      </c>
      <c r="C1109" s="111" t="s">
        <v>1375</v>
      </c>
      <c r="D1109" s="81"/>
      <c r="E1109" s="82"/>
      <c r="F1109" s="82"/>
      <c r="G1109" s="82"/>
      <c r="H1109" s="83">
        <f>Source!AN233</f>
        <v>0.13</v>
      </c>
      <c r="I1109" s="84">
        <f>ROUND(1.15,7)</f>
        <v>1.1499999999999999</v>
      </c>
      <c r="J1109" s="87">
        <f>ROUND(Source!AE233*Source!I233, 2)</f>
        <v>1.79</v>
      </c>
      <c r="K1109" s="84">
        <f>IF(Source!BS233&lt;&gt; 0, Source!BS233, 1)</f>
        <v>24.22</v>
      </c>
      <c r="L1109" s="88">
        <f>Source!HI233</f>
        <v>43</v>
      </c>
    </row>
    <row r="1110" spans="1:56" ht="14.4">
      <c r="A1110" s="110"/>
      <c r="B1110" s="111"/>
      <c r="C1110" s="111" t="s">
        <v>1376</v>
      </c>
      <c r="D1110" s="81" t="s">
        <v>1377</v>
      </c>
      <c r="E1110" s="82">
        <f>Source!AQ233</f>
        <v>9.64</v>
      </c>
      <c r="F1110" s="82">
        <f>ROUND(1.15,7)</f>
        <v>1.1499999999999999</v>
      </c>
      <c r="G1110" s="82">
        <f>ROUND(Source!U233, 7)</f>
        <v>133.03200000000001</v>
      </c>
      <c r="H1110" s="83"/>
      <c r="I1110" s="84"/>
      <c r="J1110" s="85"/>
      <c r="K1110" s="84"/>
      <c r="L1110" s="86"/>
    </row>
    <row r="1111" spans="1:56" ht="14.4">
      <c r="A1111" s="110"/>
      <c r="B1111" s="111"/>
      <c r="C1111" s="113" t="s">
        <v>1378</v>
      </c>
      <c r="D1111" s="89" t="s">
        <v>1377</v>
      </c>
      <c r="E1111" s="90">
        <f>Source!AR233</f>
        <v>0.01</v>
      </c>
      <c r="F1111" s="90">
        <f>ROUND(1.15,7)</f>
        <v>1.1499999999999999</v>
      </c>
      <c r="G1111" s="90">
        <f>ROUND(Source!V233, 7)</f>
        <v>0.13800000000000001</v>
      </c>
      <c r="H1111" s="91"/>
      <c r="I1111" s="92"/>
      <c r="J1111" s="93"/>
      <c r="K1111" s="92"/>
      <c r="L1111" s="94"/>
    </row>
    <row r="1112" spans="1:56" ht="14.4">
      <c r="A1112" s="110"/>
      <c r="B1112" s="111"/>
      <c r="C1112" s="111" t="s">
        <v>1379</v>
      </c>
      <c r="D1112" s="81"/>
      <c r="E1112" s="82"/>
      <c r="F1112" s="82"/>
      <c r="G1112" s="82"/>
      <c r="H1112" s="83">
        <f>H1107+H1108</f>
        <v>72.900000000000006</v>
      </c>
      <c r="I1112" s="84"/>
      <c r="J1112" s="85">
        <f>J1107+J1108</f>
        <v>1006.02</v>
      </c>
      <c r="K1112" s="84"/>
      <c r="L1112" s="86"/>
    </row>
    <row r="1113" spans="1:56" ht="14.4">
      <c r="A1113" s="110"/>
      <c r="B1113" s="111"/>
      <c r="C1113" s="111" t="s">
        <v>1380</v>
      </c>
      <c r="D1113" s="81"/>
      <c r="E1113" s="82"/>
      <c r="F1113" s="82"/>
      <c r="G1113" s="82"/>
      <c r="H1113" s="83"/>
      <c r="I1113" s="84"/>
      <c r="J1113" s="85">
        <f>SUM(Q1104:Q1116)+SUM(V1104:V1116)</f>
        <v>1003.53</v>
      </c>
      <c r="K1113" s="84"/>
      <c r="L1113" s="86">
        <f>SUM(U1104:U1116)+SUM(W1104:W1116)</f>
        <v>24305</v>
      </c>
    </row>
    <row r="1114" spans="1:56" ht="14.4">
      <c r="A1114" s="110"/>
      <c r="B1114" s="111" t="s">
        <v>1498</v>
      </c>
      <c r="C1114" s="111" t="s">
        <v>1499</v>
      </c>
      <c r="D1114" s="81" t="s">
        <v>1383</v>
      </c>
      <c r="E1114" s="82">
        <f>Source!BZ233</f>
        <v>91</v>
      </c>
      <c r="F1114" s="82"/>
      <c r="G1114" s="82">
        <f>Source!AT233</f>
        <v>91</v>
      </c>
      <c r="H1114" s="83"/>
      <c r="I1114" s="84"/>
      <c r="J1114" s="85">
        <f>SUM(AC1104:AC1116)</f>
        <v>913.21</v>
      </c>
      <c r="K1114" s="84"/>
      <c r="L1114" s="86">
        <f>SUM(AD1104:AD1116)</f>
        <v>22118</v>
      </c>
    </row>
    <row r="1115" spans="1:56" ht="14.4">
      <c r="A1115" s="114"/>
      <c r="B1115" s="113" t="s">
        <v>1500</v>
      </c>
      <c r="C1115" s="113" t="s">
        <v>1501</v>
      </c>
      <c r="D1115" s="89" t="s">
        <v>1383</v>
      </c>
      <c r="E1115" s="90">
        <f>Source!CA233</f>
        <v>48</v>
      </c>
      <c r="F1115" s="90"/>
      <c r="G1115" s="90">
        <f>Source!AU233</f>
        <v>48</v>
      </c>
      <c r="H1115" s="91"/>
      <c r="I1115" s="92"/>
      <c r="J1115" s="93">
        <f>SUM(AE1104:AE1116)</f>
        <v>481.69</v>
      </c>
      <c r="K1115" s="92"/>
      <c r="L1115" s="94">
        <f>SUM(AF1104:AF1116)</f>
        <v>11666</v>
      </c>
    </row>
    <row r="1116" spans="1:56" ht="13.8">
      <c r="C1116" s="95" t="s">
        <v>1386</v>
      </c>
      <c r="D1116" s="95"/>
      <c r="E1116" s="95"/>
      <c r="F1116" s="95"/>
      <c r="G1116" s="95"/>
      <c r="H1116" s="95"/>
      <c r="I1116" s="95">
        <f>J1107+J1108+J1114+J1115</f>
        <v>2400.92</v>
      </c>
      <c r="J1116" s="95"/>
      <c r="O1116" s="69">
        <f>I1116</f>
        <v>2400.92</v>
      </c>
      <c r="P1116">
        <f>K1116</f>
        <v>0</v>
      </c>
      <c r="Q1116" s="69">
        <f>J1107</f>
        <v>1001.74</v>
      </c>
      <c r="R1116" s="69">
        <f>J1107</f>
        <v>1001.74</v>
      </c>
      <c r="U1116" s="70">
        <f>L1107</f>
        <v>24262</v>
      </c>
      <c r="V1116" s="69">
        <f>J1109</f>
        <v>1.79</v>
      </c>
      <c r="W1116" s="70">
        <f>L1109</f>
        <v>43</v>
      </c>
      <c r="X1116" s="69">
        <f>J1108</f>
        <v>4.28</v>
      </c>
      <c r="Z1116" s="70">
        <f>L1108</f>
        <v>0</v>
      </c>
      <c r="AB1116">
        <f>0</f>
        <v>0</v>
      </c>
      <c r="AN1116">
        <f>IF(Source!BI233&lt;=1,J1107+J1108+J1114+J1115, 0)</f>
        <v>2400.92</v>
      </c>
      <c r="AO1116">
        <f>IF(Source!BI233&lt;=1,0, 0)</f>
        <v>0</v>
      </c>
      <c r="AP1116">
        <f>IF(Source!BI233&lt;=1,J1108, 0)</f>
        <v>4.28</v>
      </c>
      <c r="AQ1116">
        <f>IF(Source!BI233&lt;=1,J1107, 0)</f>
        <v>1001.74</v>
      </c>
      <c r="AX1116">
        <f>IF(Source!BI233=2,J1107+J1108+J1114+J1115, 0)</f>
        <v>0</v>
      </c>
      <c r="AY1116">
        <f>IF(Source!BI233=2,0, 0)</f>
        <v>0</v>
      </c>
      <c r="AZ1116">
        <f>IF(Source!BI233=2,J1108, 0)</f>
        <v>0</v>
      </c>
      <c r="BA1116">
        <f>IF(Source!BI233=2,J1107, 0)</f>
        <v>0</v>
      </c>
    </row>
    <row r="1117" spans="1:56" ht="187.8">
      <c r="A1117" s="110" t="str">
        <f>Source!E234</f>
        <v>119</v>
      </c>
      <c r="B1117" s="111" t="str">
        <f>Source!F234</f>
        <v>16-04-002-2</v>
      </c>
      <c r="C1117" s="111" t="s">
        <v>1502</v>
      </c>
      <c r="D1117" s="81" t="str">
        <f>Source!H234</f>
        <v>100 м трубопровода</v>
      </c>
      <c r="E1117" s="82">
        <f>Source!K234</f>
        <v>3.6</v>
      </c>
      <c r="F1117" s="82"/>
      <c r="G1117" s="82">
        <f>Source!I234</f>
        <v>3.6</v>
      </c>
      <c r="H1117" s="83"/>
      <c r="I1117" s="84"/>
      <c r="J1117" s="85"/>
      <c r="K1117" s="84"/>
      <c r="L1117" s="86"/>
      <c r="AC1117">
        <f>Source!X234</f>
        <v>2775.22</v>
      </c>
      <c r="AD1117">
        <f>Source!HK234</f>
        <v>67215</v>
      </c>
      <c r="AE1117">
        <f>Source!Y234</f>
        <v>1559.63</v>
      </c>
      <c r="AF1117">
        <f>Source!HL234</f>
        <v>37774</v>
      </c>
      <c r="AS1117">
        <f>IF(Source!BI234&lt;=1,AD1117, 0)</f>
        <v>67215</v>
      </c>
      <c r="AT1117">
        <f>IF(Source!BI234&lt;=1,AF1117, 0)</f>
        <v>37774</v>
      </c>
      <c r="BC1117">
        <f>IF(Source!BI234=2,AD1117, 0)</f>
        <v>0</v>
      </c>
      <c r="BD1117">
        <f>IF(Source!BI234=2,AF1117, 0)</f>
        <v>0</v>
      </c>
    </row>
    <row r="1119" spans="1:56">
      <c r="C1119" s="67" t="str">
        <f>"Объем: "&amp;Source!K234&amp;"=90*"&amp;"4/"&amp;"100"</f>
        <v>Объем: 3,6=90*4/100</v>
      </c>
    </row>
    <row r="1120" spans="1:56" ht="14.4">
      <c r="A1120" s="110"/>
      <c r="B1120" s="112">
        <v>1</v>
      </c>
      <c r="C1120" s="111" t="s">
        <v>1373</v>
      </c>
      <c r="D1120" s="81"/>
      <c r="E1120" s="82"/>
      <c r="F1120" s="82"/>
      <c r="G1120" s="82"/>
      <c r="H1120" s="83">
        <f>Source!AO234</f>
        <v>1432.05</v>
      </c>
      <c r="I1120" s="84">
        <f>ROUND(0.4*1.15,7)</f>
        <v>0.46</v>
      </c>
      <c r="J1120" s="85">
        <f>ROUND(Source!AF234*Source!I234, 2)</f>
        <v>2371.4699999999998</v>
      </c>
      <c r="K1120" s="84">
        <f>IF(Source!BA234&lt;&gt; 0, Source!BA234, 1)</f>
        <v>24.22</v>
      </c>
      <c r="L1120" s="86">
        <f>Source!HJ234</f>
        <v>57437</v>
      </c>
    </row>
    <row r="1121" spans="1:56" ht="14.4">
      <c r="A1121" s="110"/>
      <c r="B1121" s="112">
        <v>3</v>
      </c>
      <c r="C1121" s="111" t="s">
        <v>1374</v>
      </c>
      <c r="D1121" s="81"/>
      <c r="E1121" s="82"/>
      <c r="F1121" s="82"/>
      <c r="G1121" s="82"/>
      <c r="H1121" s="83">
        <f>Source!AM234</f>
        <v>808.04</v>
      </c>
      <c r="I1121" s="84">
        <f>ROUND(0.4*1.15,7)</f>
        <v>0.46</v>
      </c>
      <c r="J1121" s="85">
        <f>ROUND(Source!AD234*Source!I234, 2)</f>
        <v>1338.11</v>
      </c>
      <c r="K1121" s="84"/>
      <c r="L1121" s="86"/>
    </row>
    <row r="1122" spans="1:56" ht="14.4">
      <c r="A1122" s="110"/>
      <c r="B1122" s="112">
        <v>2</v>
      </c>
      <c r="C1122" s="111" t="s">
        <v>1375</v>
      </c>
      <c r="D1122" s="81"/>
      <c r="E1122" s="82"/>
      <c r="F1122" s="82"/>
      <c r="G1122" s="82"/>
      <c r="H1122" s="83">
        <f>Source!AN234</f>
        <v>106.85</v>
      </c>
      <c r="I1122" s="84">
        <f>ROUND(0.4*1.15,7)</f>
        <v>0.46</v>
      </c>
      <c r="J1122" s="87">
        <f>ROUND(Source!AE234*Source!I234, 2)</f>
        <v>176.94</v>
      </c>
      <c r="K1122" s="84">
        <f>IF(Source!BS234&lt;&gt; 0, Source!BS234, 1)</f>
        <v>24.22</v>
      </c>
      <c r="L1122" s="88">
        <f>Source!HI234</f>
        <v>4285</v>
      </c>
    </row>
    <row r="1123" spans="1:56" ht="14.4">
      <c r="A1123" s="110"/>
      <c r="B1123" s="111"/>
      <c r="C1123" s="111" t="s">
        <v>1376</v>
      </c>
      <c r="D1123" s="81" t="s">
        <v>1377</v>
      </c>
      <c r="E1123" s="82">
        <f>Source!AQ234</f>
        <v>149.63999999999999</v>
      </c>
      <c r="F1123" s="82">
        <f>ROUND(0.4*1.15,7)</f>
        <v>0.46</v>
      </c>
      <c r="G1123" s="82">
        <f>ROUND(Source!U234, 7)</f>
        <v>247.80384000000001</v>
      </c>
      <c r="H1123" s="83"/>
      <c r="I1123" s="84"/>
      <c r="J1123" s="85"/>
      <c r="K1123" s="84"/>
      <c r="L1123" s="86"/>
    </row>
    <row r="1124" spans="1:56" ht="14.4">
      <c r="A1124" s="110"/>
      <c r="B1124" s="111"/>
      <c r="C1124" s="113" t="s">
        <v>1378</v>
      </c>
      <c r="D1124" s="89" t="s">
        <v>1377</v>
      </c>
      <c r="E1124" s="90">
        <f>Source!AR234</f>
        <v>8.1999999999999993</v>
      </c>
      <c r="F1124" s="90">
        <f>ROUND(0.4*1.15,7)</f>
        <v>0.46</v>
      </c>
      <c r="G1124" s="90">
        <f>ROUND(Source!V234, 7)</f>
        <v>13.5792</v>
      </c>
      <c r="H1124" s="91"/>
      <c r="I1124" s="92"/>
      <c r="J1124" s="93"/>
      <c r="K1124" s="92"/>
      <c r="L1124" s="94"/>
    </row>
    <row r="1125" spans="1:56" ht="14.4">
      <c r="A1125" s="110"/>
      <c r="B1125" s="111"/>
      <c r="C1125" s="111" t="s">
        <v>1379</v>
      </c>
      <c r="D1125" s="81"/>
      <c r="E1125" s="82"/>
      <c r="F1125" s="82"/>
      <c r="G1125" s="82"/>
      <c r="H1125" s="83">
        <f>H1120+H1121</f>
        <v>2240.09</v>
      </c>
      <c r="I1125" s="84"/>
      <c r="J1125" s="85">
        <f>J1120+J1121</f>
        <v>3709.58</v>
      </c>
      <c r="K1125" s="84"/>
      <c r="L1125" s="86"/>
    </row>
    <row r="1126" spans="1:56" ht="14.4">
      <c r="A1126" s="110"/>
      <c r="B1126" s="111"/>
      <c r="C1126" s="111" t="s">
        <v>1380</v>
      </c>
      <c r="D1126" s="81"/>
      <c r="E1126" s="82"/>
      <c r="F1126" s="82"/>
      <c r="G1126" s="82"/>
      <c r="H1126" s="83"/>
      <c r="I1126" s="84"/>
      <c r="J1126" s="85">
        <f>SUM(Q1117:Q1129)+SUM(V1117:V1129)</f>
        <v>2548.41</v>
      </c>
      <c r="K1126" s="84"/>
      <c r="L1126" s="86">
        <f>SUM(U1117:U1129)+SUM(W1117:W1129)</f>
        <v>61722</v>
      </c>
    </row>
    <row r="1127" spans="1:56" ht="69">
      <c r="A1127" s="110"/>
      <c r="B1127" s="111" t="s">
        <v>1503</v>
      </c>
      <c r="C1127" s="111" t="s">
        <v>1504</v>
      </c>
      <c r="D1127" s="81" t="s">
        <v>1383</v>
      </c>
      <c r="E1127" s="82">
        <f>Source!BZ234</f>
        <v>121</v>
      </c>
      <c r="F1127" s="82">
        <f>ROUND(0.9,7)</f>
        <v>0.9</v>
      </c>
      <c r="G1127" s="82">
        <f>Source!AT234</f>
        <v>108.9</v>
      </c>
      <c r="H1127" s="83"/>
      <c r="I1127" s="84"/>
      <c r="J1127" s="85">
        <f>SUM(AC1117:AC1129)</f>
        <v>2775.22</v>
      </c>
      <c r="K1127" s="84"/>
      <c r="L1127" s="86">
        <f>SUM(AD1117:AD1129)</f>
        <v>67215</v>
      </c>
    </row>
    <row r="1128" spans="1:56" ht="69">
      <c r="A1128" s="114"/>
      <c r="B1128" s="113" t="s">
        <v>1505</v>
      </c>
      <c r="C1128" s="113" t="s">
        <v>1506</v>
      </c>
      <c r="D1128" s="89" t="s">
        <v>1383</v>
      </c>
      <c r="E1128" s="90">
        <f>Source!CA234</f>
        <v>72</v>
      </c>
      <c r="F1128" s="90">
        <f>ROUND(0.85,7)</f>
        <v>0.85</v>
      </c>
      <c r="G1128" s="90">
        <f>Source!AU234</f>
        <v>61.2</v>
      </c>
      <c r="H1128" s="91"/>
      <c r="I1128" s="92"/>
      <c r="J1128" s="93">
        <f>SUM(AE1117:AE1129)</f>
        <v>1559.63</v>
      </c>
      <c r="K1128" s="92"/>
      <c r="L1128" s="94">
        <f>SUM(AF1117:AF1129)</f>
        <v>37774</v>
      </c>
    </row>
    <row r="1129" spans="1:56" ht="13.8">
      <c r="C1129" s="95" t="s">
        <v>1386</v>
      </c>
      <c r="D1129" s="95"/>
      <c r="E1129" s="95"/>
      <c r="F1129" s="95"/>
      <c r="G1129" s="95"/>
      <c r="H1129" s="95"/>
      <c r="I1129" s="95">
        <f>J1120+J1121+J1127+J1128</f>
        <v>8044.4299999999994</v>
      </c>
      <c r="J1129" s="95"/>
      <c r="O1129" s="69">
        <f>I1129</f>
        <v>8044.4299999999994</v>
      </c>
      <c r="P1129">
        <f>K1129</f>
        <v>0</v>
      </c>
      <c r="Q1129" s="69">
        <f>J1120</f>
        <v>2371.4699999999998</v>
      </c>
      <c r="R1129" s="69">
        <f>J1120</f>
        <v>2371.4699999999998</v>
      </c>
      <c r="U1129" s="70">
        <f>L1120</f>
        <v>57437</v>
      </c>
      <c r="V1129" s="69">
        <f>J1122</f>
        <v>176.94</v>
      </c>
      <c r="W1129" s="70">
        <f>L1122</f>
        <v>4285</v>
      </c>
      <c r="X1129" s="69">
        <f>J1121</f>
        <v>1338.11</v>
      </c>
      <c r="Z1129" s="70">
        <f>L1121</f>
        <v>0</v>
      </c>
      <c r="AB1129">
        <f>0</f>
        <v>0</v>
      </c>
      <c r="AN1129">
        <f>IF(Source!BI234&lt;=1,J1120+J1121+J1127+J1128, 0)</f>
        <v>8044.4299999999994</v>
      </c>
      <c r="AO1129">
        <f>IF(Source!BI234&lt;=1,0, 0)</f>
        <v>0</v>
      </c>
      <c r="AP1129">
        <f>IF(Source!BI234&lt;=1,J1121, 0)</f>
        <v>1338.11</v>
      </c>
      <c r="AQ1129">
        <f>IF(Source!BI234&lt;=1,J1120, 0)</f>
        <v>2371.4699999999998</v>
      </c>
      <c r="AX1129">
        <f>IF(Source!BI234=2,J1120+J1121+J1127+J1128, 0)</f>
        <v>0</v>
      </c>
      <c r="AY1129">
        <f>IF(Source!BI234=2,0, 0)</f>
        <v>0</v>
      </c>
      <c r="AZ1129">
        <f>IF(Source!BI234=2,J1121, 0)</f>
        <v>0</v>
      </c>
      <c r="BA1129">
        <f>IF(Source!BI234=2,J1120, 0)</f>
        <v>0</v>
      </c>
    </row>
    <row r="1130" spans="1:56" ht="160.19999999999999">
      <c r="A1130" s="110" t="str">
        <f>Source!E235</f>
        <v>120</v>
      </c>
      <c r="B1130" s="111" t="str">
        <f>Source!F235</f>
        <v>16-04-001-1</v>
      </c>
      <c r="C1130" s="111" t="s">
        <v>1507</v>
      </c>
      <c r="D1130" s="81" t="str">
        <f>Source!H235</f>
        <v>100 м трубопровода</v>
      </c>
      <c r="E1130" s="82">
        <f>Source!K235</f>
        <v>1.8</v>
      </c>
      <c r="F1130" s="82"/>
      <c r="G1130" s="82">
        <f>Source!I235</f>
        <v>1.8</v>
      </c>
      <c r="H1130" s="83"/>
      <c r="I1130" s="84"/>
      <c r="J1130" s="85"/>
      <c r="K1130" s="84"/>
      <c r="L1130" s="86"/>
      <c r="AC1130">
        <f>Source!X235</f>
        <v>554.58000000000004</v>
      </c>
      <c r="AD1130">
        <f>Source!HK235</f>
        <v>13432</v>
      </c>
      <c r="AE1130">
        <f>Source!Y235</f>
        <v>311.67</v>
      </c>
      <c r="AF1130">
        <f>Source!HL235</f>
        <v>7548</v>
      </c>
      <c r="AS1130">
        <f>IF(Source!BI235&lt;=1,AD1130, 0)</f>
        <v>13432</v>
      </c>
      <c r="AT1130">
        <f>IF(Source!BI235&lt;=1,AF1130, 0)</f>
        <v>7548</v>
      </c>
      <c r="BC1130">
        <f>IF(Source!BI235=2,AD1130, 0)</f>
        <v>0</v>
      </c>
      <c r="BD1130">
        <f>IF(Source!BI235=2,AF1130, 0)</f>
        <v>0</v>
      </c>
    </row>
    <row r="1132" spans="1:56">
      <c r="C1132" s="67" t="str">
        <f>"Объем: "&amp;Source!K235&amp;"=45*"&amp;"4/"&amp;"100"</f>
        <v>Объем: 1,8=45*4/100</v>
      </c>
    </row>
    <row r="1133" spans="1:56" ht="14.4">
      <c r="A1133" s="110"/>
      <c r="B1133" s="112">
        <v>1</v>
      </c>
      <c r="C1133" s="111" t="s">
        <v>1373</v>
      </c>
      <c r="D1133" s="81"/>
      <c r="E1133" s="82"/>
      <c r="F1133" s="82"/>
      <c r="G1133" s="82"/>
      <c r="H1133" s="83">
        <f>Source!AO235</f>
        <v>614.78</v>
      </c>
      <c r="I1133" s="84">
        <f>ROUND(0.4*1.15,7)</f>
        <v>0.46</v>
      </c>
      <c r="J1133" s="85">
        <f>ROUND(Source!AF235*Source!I235, 2)</f>
        <v>509.04</v>
      </c>
      <c r="K1133" s="84">
        <f>IF(Source!BA235&lt;&gt; 0, Source!BA235, 1)</f>
        <v>24.22</v>
      </c>
      <c r="L1133" s="86">
        <f>Source!HJ235</f>
        <v>12329</v>
      </c>
    </row>
    <row r="1134" spans="1:56" ht="14.4">
      <c r="A1134" s="110"/>
      <c r="B1134" s="112">
        <v>3</v>
      </c>
      <c r="C1134" s="111" t="s">
        <v>1374</v>
      </c>
      <c r="D1134" s="81"/>
      <c r="E1134" s="82"/>
      <c r="F1134" s="82"/>
      <c r="G1134" s="82"/>
      <c r="H1134" s="83">
        <f>Source!AM235</f>
        <v>2.86</v>
      </c>
      <c r="I1134" s="84">
        <f>ROUND(0.4*1.15,7)</f>
        <v>0.46</v>
      </c>
      <c r="J1134" s="85">
        <f>ROUND(Source!AD235*Source!I235, 2)</f>
        <v>2.37</v>
      </c>
      <c r="K1134" s="84"/>
      <c r="L1134" s="86"/>
    </row>
    <row r="1135" spans="1:56" ht="14.4">
      <c r="A1135" s="110"/>
      <c r="B1135" s="112">
        <v>2</v>
      </c>
      <c r="C1135" s="111" t="s">
        <v>1375</v>
      </c>
      <c r="D1135" s="81"/>
      <c r="E1135" s="82"/>
      <c r="F1135" s="82"/>
      <c r="G1135" s="82"/>
      <c r="H1135" s="83">
        <f>Source!AN235</f>
        <v>0.26</v>
      </c>
      <c r="I1135" s="84">
        <f>ROUND(0.4*1.15,7)</f>
        <v>0.46</v>
      </c>
      <c r="J1135" s="87">
        <f>ROUND(Source!AE235*Source!I235, 2)</f>
        <v>0.22</v>
      </c>
      <c r="K1135" s="84">
        <f>IF(Source!BS235&lt;&gt; 0, Source!BS235, 1)</f>
        <v>24.22</v>
      </c>
      <c r="L1135" s="88">
        <f>Source!HI235</f>
        <v>5</v>
      </c>
    </row>
    <row r="1136" spans="1:56" ht="14.4">
      <c r="A1136" s="110"/>
      <c r="B1136" s="111"/>
      <c r="C1136" s="111" t="s">
        <v>1376</v>
      </c>
      <c r="D1136" s="81" t="s">
        <v>1377</v>
      </c>
      <c r="E1136" s="82">
        <f>Source!AQ235</f>
        <v>64.239999999999995</v>
      </c>
      <c r="F1136" s="82">
        <f>ROUND(0.4*1.15,7)</f>
        <v>0.46</v>
      </c>
      <c r="G1136" s="82">
        <f>ROUND(Source!U235, 7)</f>
        <v>53.190719999999999</v>
      </c>
      <c r="H1136" s="83"/>
      <c r="I1136" s="84"/>
      <c r="J1136" s="85"/>
      <c r="K1136" s="84"/>
      <c r="L1136" s="86"/>
    </row>
    <row r="1137" spans="1:56" ht="14.4">
      <c r="A1137" s="110"/>
      <c r="B1137" s="111"/>
      <c r="C1137" s="113" t="s">
        <v>1378</v>
      </c>
      <c r="D1137" s="89" t="s">
        <v>1377</v>
      </c>
      <c r="E1137" s="90">
        <f>Source!AR235</f>
        <v>0.02</v>
      </c>
      <c r="F1137" s="90">
        <f>ROUND(0.4*1.15,7)</f>
        <v>0.46</v>
      </c>
      <c r="G1137" s="90">
        <f>ROUND(Source!V235, 7)</f>
        <v>1.6559999999999998E-2</v>
      </c>
      <c r="H1137" s="91"/>
      <c r="I1137" s="92"/>
      <c r="J1137" s="93"/>
      <c r="K1137" s="92"/>
      <c r="L1137" s="94"/>
    </row>
    <row r="1138" spans="1:56" ht="14.4">
      <c r="A1138" s="110"/>
      <c r="B1138" s="111"/>
      <c r="C1138" s="111" t="s">
        <v>1379</v>
      </c>
      <c r="D1138" s="81"/>
      <c r="E1138" s="82"/>
      <c r="F1138" s="82"/>
      <c r="G1138" s="82"/>
      <c r="H1138" s="83">
        <f>H1133+H1134</f>
        <v>617.64</v>
      </c>
      <c r="I1138" s="84"/>
      <c r="J1138" s="85">
        <f>J1133+J1134</f>
        <v>511.41</v>
      </c>
      <c r="K1138" s="84"/>
      <c r="L1138" s="86"/>
    </row>
    <row r="1139" spans="1:56" ht="14.4">
      <c r="A1139" s="110"/>
      <c r="B1139" s="111"/>
      <c r="C1139" s="111" t="s">
        <v>1380</v>
      </c>
      <c r="D1139" s="81"/>
      <c r="E1139" s="82"/>
      <c r="F1139" s="82"/>
      <c r="G1139" s="82"/>
      <c r="H1139" s="83"/>
      <c r="I1139" s="84"/>
      <c r="J1139" s="85">
        <f>SUM(Q1130:Q1142)+SUM(V1130:V1142)</f>
        <v>509.26000000000005</v>
      </c>
      <c r="K1139" s="84"/>
      <c r="L1139" s="86">
        <f>SUM(U1130:U1142)+SUM(W1130:W1142)</f>
        <v>12334</v>
      </c>
    </row>
    <row r="1140" spans="1:56" ht="69">
      <c r="A1140" s="110"/>
      <c r="B1140" s="111" t="s">
        <v>1503</v>
      </c>
      <c r="C1140" s="111" t="s">
        <v>1504</v>
      </c>
      <c r="D1140" s="81" t="s">
        <v>1383</v>
      </c>
      <c r="E1140" s="82">
        <f>Source!BZ235</f>
        <v>121</v>
      </c>
      <c r="F1140" s="82">
        <f>ROUND(0.9,7)</f>
        <v>0.9</v>
      </c>
      <c r="G1140" s="82">
        <f>Source!AT235</f>
        <v>108.9</v>
      </c>
      <c r="H1140" s="83"/>
      <c r="I1140" s="84"/>
      <c r="J1140" s="85">
        <f>SUM(AC1130:AC1142)</f>
        <v>554.58000000000004</v>
      </c>
      <c r="K1140" s="84"/>
      <c r="L1140" s="86">
        <f>SUM(AD1130:AD1142)</f>
        <v>13432</v>
      </c>
    </row>
    <row r="1141" spans="1:56" ht="69">
      <c r="A1141" s="114"/>
      <c r="B1141" s="113" t="s">
        <v>1505</v>
      </c>
      <c r="C1141" s="113" t="s">
        <v>1506</v>
      </c>
      <c r="D1141" s="89" t="s">
        <v>1383</v>
      </c>
      <c r="E1141" s="90">
        <f>Source!CA235</f>
        <v>72</v>
      </c>
      <c r="F1141" s="90">
        <f>ROUND(0.85,7)</f>
        <v>0.85</v>
      </c>
      <c r="G1141" s="90">
        <f>Source!AU235</f>
        <v>61.2</v>
      </c>
      <c r="H1141" s="91"/>
      <c r="I1141" s="92"/>
      <c r="J1141" s="93">
        <f>SUM(AE1130:AE1142)</f>
        <v>311.67</v>
      </c>
      <c r="K1141" s="92"/>
      <c r="L1141" s="94">
        <f>SUM(AF1130:AF1142)</f>
        <v>7548</v>
      </c>
    </row>
    <row r="1142" spans="1:56" ht="13.8">
      <c r="C1142" s="95" t="s">
        <v>1386</v>
      </c>
      <c r="D1142" s="95"/>
      <c r="E1142" s="95"/>
      <c r="F1142" s="95"/>
      <c r="G1142" s="95"/>
      <c r="H1142" s="95"/>
      <c r="I1142" s="95">
        <f>J1133+J1134+J1140+J1141</f>
        <v>1377.66</v>
      </c>
      <c r="J1142" s="95"/>
      <c r="O1142" s="69">
        <f>I1142</f>
        <v>1377.66</v>
      </c>
      <c r="P1142">
        <f>K1142</f>
        <v>0</v>
      </c>
      <c r="Q1142" s="69">
        <f>J1133</f>
        <v>509.04</v>
      </c>
      <c r="R1142" s="69">
        <f>J1133</f>
        <v>509.04</v>
      </c>
      <c r="U1142" s="70">
        <f>L1133</f>
        <v>12329</v>
      </c>
      <c r="V1142" s="69">
        <f>J1135</f>
        <v>0.22</v>
      </c>
      <c r="W1142" s="70">
        <f>L1135</f>
        <v>5</v>
      </c>
      <c r="X1142" s="69">
        <f>J1134</f>
        <v>2.37</v>
      </c>
      <c r="Z1142" s="70">
        <f>L1134</f>
        <v>0</v>
      </c>
      <c r="AB1142">
        <f>0</f>
        <v>0</v>
      </c>
      <c r="AN1142">
        <f>IF(Source!BI235&lt;=1,J1133+J1134+J1140+J1141, 0)</f>
        <v>1377.66</v>
      </c>
      <c r="AO1142">
        <f>IF(Source!BI235&lt;=1,0, 0)</f>
        <v>0</v>
      </c>
      <c r="AP1142">
        <f>IF(Source!BI235&lt;=1,J1134, 0)</f>
        <v>2.37</v>
      </c>
      <c r="AQ1142">
        <f>IF(Source!BI235&lt;=1,J1133, 0)</f>
        <v>509.04</v>
      </c>
      <c r="AX1142">
        <f>IF(Source!BI235=2,J1133+J1134+J1140+J1141, 0)</f>
        <v>0</v>
      </c>
      <c r="AY1142">
        <f>IF(Source!BI235=2,0, 0)</f>
        <v>0</v>
      </c>
      <c r="AZ1142">
        <f>IF(Source!BI235=2,J1134, 0)</f>
        <v>0</v>
      </c>
      <c r="BA1142">
        <f>IF(Source!BI235=2,J1133, 0)</f>
        <v>0</v>
      </c>
    </row>
    <row r="1143" spans="1:56" ht="160.19999999999999">
      <c r="A1143" s="110" t="str">
        <f>Source!E236</f>
        <v>121</v>
      </c>
      <c r="B1143" s="111" t="str">
        <f>Source!F236</f>
        <v>16-04-001-2</v>
      </c>
      <c r="C1143" s="111" t="s">
        <v>1508</v>
      </c>
      <c r="D1143" s="81" t="str">
        <f>Source!H236</f>
        <v>100 м трубопровода</v>
      </c>
      <c r="E1143" s="82">
        <f>Source!K236</f>
        <v>2</v>
      </c>
      <c r="F1143" s="82"/>
      <c r="G1143" s="82">
        <f>Source!I236</f>
        <v>2</v>
      </c>
      <c r="H1143" s="83"/>
      <c r="I1143" s="84"/>
      <c r="J1143" s="85"/>
      <c r="K1143" s="84"/>
      <c r="L1143" s="86"/>
      <c r="AC1143">
        <f>Source!X236</f>
        <v>591.27</v>
      </c>
      <c r="AD1143">
        <f>Source!HK236</f>
        <v>14321</v>
      </c>
      <c r="AE1143">
        <f>Source!Y236</f>
        <v>332.29</v>
      </c>
      <c r="AF1143">
        <f>Source!HL236</f>
        <v>8048</v>
      </c>
      <c r="AS1143">
        <f>IF(Source!BI236&lt;=1,AD1143, 0)</f>
        <v>14321</v>
      </c>
      <c r="AT1143">
        <f>IF(Source!BI236&lt;=1,AF1143, 0)</f>
        <v>8048</v>
      </c>
      <c r="BC1143">
        <f>IF(Source!BI236=2,AD1143, 0)</f>
        <v>0</v>
      </c>
      <c r="BD1143">
        <f>IF(Source!BI236=2,AF1143, 0)</f>
        <v>0</v>
      </c>
    </row>
    <row r="1145" spans="1:56">
      <c r="C1145" s="67" t="str">
        <f>"Объем: "&amp;Source!K236&amp;"=50*"&amp;"4/"&amp;"100"</f>
        <v>Объем: 2=50*4/100</v>
      </c>
    </row>
    <row r="1146" spans="1:56" ht="14.4">
      <c r="A1146" s="110"/>
      <c r="B1146" s="112">
        <v>1</v>
      </c>
      <c r="C1146" s="111" t="s">
        <v>1373</v>
      </c>
      <c r="D1146" s="81"/>
      <c r="E1146" s="82"/>
      <c r="F1146" s="82"/>
      <c r="G1146" s="82"/>
      <c r="H1146" s="83">
        <f>Source!AO236</f>
        <v>589.51</v>
      </c>
      <c r="I1146" s="84">
        <f>ROUND(0.4*1.15,7)</f>
        <v>0.46</v>
      </c>
      <c r="J1146" s="85">
        <f>ROUND(Source!AF236*Source!I236, 2)</f>
        <v>542.35</v>
      </c>
      <c r="K1146" s="84">
        <f>IF(Source!BA236&lt;&gt; 0, Source!BA236, 1)</f>
        <v>24.22</v>
      </c>
      <c r="L1146" s="86">
        <f>Source!HJ236</f>
        <v>13136</v>
      </c>
    </row>
    <row r="1147" spans="1:56" ht="14.4">
      <c r="A1147" s="110"/>
      <c r="B1147" s="112">
        <v>3</v>
      </c>
      <c r="C1147" s="111" t="s">
        <v>1374</v>
      </c>
      <c r="D1147" s="81"/>
      <c r="E1147" s="82"/>
      <c r="F1147" s="82"/>
      <c r="G1147" s="82"/>
      <c r="H1147" s="83">
        <f>Source!AM236</f>
        <v>6.58</v>
      </c>
      <c r="I1147" s="84">
        <f>ROUND(0.4*1.15,7)</f>
        <v>0.46</v>
      </c>
      <c r="J1147" s="85">
        <f>ROUND(Source!AD236*Source!I236, 2)</f>
        <v>6.05</v>
      </c>
      <c r="K1147" s="84"/>
      <c r="L1147" s="86"/>
    </row>
    <row r="1148" spans="1:56" ht="14.4">
      <c r="A1148" s="110"/>
      <c r="B1148" s="112">
        <v>2</v>
      </c>
      <c r="C1148" s="111" t="s">
        <v>1375</v>
      </c>
      <c r="D1148" s="81"/>
      <c r="E1148" s="82"/>
      <c r="F1148" s="82"/>
      <c r="G1148" s="82"/>
      <c r="H1148" s="83">
        <f>Source!AN236</f>
        <v>0.65</v>
      </c>
      <c r="I1148" s="84">
        <f>ROUND(0.4*1.15,7)</f>
        <v>0.46</v>
      </c>
      <c r="J1148" s="87">
        <f>ROUND(Source!AE236*Source!I236, 2)</f>
        <v>0.6</v>
      </c>
      <c r="K1148" s="84">
        <f>IF(Source!BS236&lt;&gt; 0, Source!BS236, 1)</f>
        <v>24.22</v>
      </c>
      <c r="L1148" s="88">
        <f>Source!HI236</f>
        <v>15</v>
      </c>
    </row>
    <row r="1149" spans="1:56" ht="14.4">
      <c r="A1149" s="110"/>
      <c r="B1149" s="111"/>
      <c r="C1149" s="111" t="s">
        <v>1376</v>
      </c>
      <c r="D1149" s="81" t="s">
        <v>1377</v>
      </c>
      <c r="E1149" s="82">
        <f>Source!AQ236</f>
        <v>61.6</v>
      </c>
      <c r="F1149" s="82">
        <f>ROUND(0.4*1.15,7)</f>
        <v>0.46</v>
      </c>
      <c r="G1149" s="82">
        <f>ROUND(Source!U236, 7)</f>
        <v>56.671999999999997</v>
      </c>
      <c r="H1149" s="83"/>
      <c r="I1149" s="84"/>
      <c r="J1149" s="85"/>
      <c r="K1149" s="84"/>
      <c r="L1149" s="86"/>
    </row>
    <row r="1150" spans="1:56" ht="14.4">
      <c r="A1150" s="110"/>
      <c r="B1150" s="111"/>
      <c r="C1150" s="113" t="s">
        <v>1378</v>
      </c>
      <c r="D1150" s="89" t="s">
        <v>1377</v>
      </c>
      <c r="E1150" s="90">
        <f>Source!AR236</f>
        <v>0.05</v>
      </c>
      <c r="F1150" s="90">
        <f>ROUND(0.4*1.15,7)</f>
        <v>0.46</v>
      </c>
      <c r="G1150" s="90">
        <f>ROUND(Source!V236, 7)</f>
        <v>4.5999999999999999E-2</v>
      </c>
      <c r="H1150" s="91"/>
      <c r="I1150" s="92"/>
      <c r="J1150" s="93"/>
      <c r="K1150" s="92"/>
      <c r="L1150" s="94"/>
    </row>
    <row r="1151" spans="1:56" ht="14.4">
      <c r="A1151" s="110"/>
      <c r="B1151" s="111"/>
      <c r="C1151" s="111" t="s">
        <v>1379</v>
      </c>
      <c r="D1151" s="81"/>
      <c r="E1151" s="82"/>
      <c r="F1151" s="82"/>
      <c r="G1151" s="82"/>
      <c r="H1151" s="83">
        <f>H1146+H1147</f>
        <v>596.09</v>
      </c>
      <c r="I1151" s="84"/>
      <c r="J1151" s="85">
        <f>J1146+J1147</f>
        <v>548.4</v>
      </c>
      <c r="K1151" s="84"/>
      <c r="L1151" s="86"/>
    </row>
    <row r="1152" spans="1:56" ht="14.4">
      <c r="A1152" s="110"/>
      <c r="B1152" s="111"/>
      <c r="C1152" s="111" t="s">
        <v>1380</v>
      </c>
      <c r="D1152" s="81"/>
      <c r="E1152" s="82"/>
      <c r="F1152" s="82"/>
      <c r="G1152" s="82"/>
      <c r="H1152" s="83"/>
      <c r="I1152" s="84"/>
      <c r="J1152" s="85">
        <f>SUM(Q1143:Q1155)+SUM(V1143:V1155)</f>
        <v>542.95000000000005</v>
      </c>
      <c r="K1152" s="84"/>
      <c r="L1152" s="86">
        <f>SUM(U1143:U1155)+SUM(W1143:W1155)</f>
        <v>13151</v>
      </c>
    </row>
    <row r="1153" spans="1:56" ht="69">
      <c r="A1153" s="110"/>
      <c r="B1153" s="111" t="s">
        <v>1503</v>
      </c>
      <c r="C1153" s="111" t="s">
        <v>1504</v>
      </c>
      <c r="D1153" s="81" t="s">
        <v>1383</v>
      </c>
      <c r="E1153" s="82">
        <f>Source!BZ236</f>
        <v>121</v>
      </c>
      <c r="F1153" s="82">
        <f>ROUND(0.9,7)</f>
        <v>0.9</v>
      </c>
      <c r="G1153" s="82">
        <f>Source!AT236</f>
        <v>108.9</v>
      </c>
      <c r="H1153" s="83"/>
      <c r="I1153" s="84"/>
      <c r="J1153" s="85">
        <f>SUM(AC1143:AC1155)</f>
        <v>591.27</v>
      </c>
      <c r="K1153" s="84"/>
      <c r="L1153" s="86">
        <f>SUM(AD1143:AD1155)</f>
        <v>14321</v>
      </c>
    </row>
    <row r="1154" spans="1:56" ht="69">
      <c r="A1154" s="114"/>
      <c r="B1154" s="113" t="s">
        <v>1505</v>
      </c>
      <c r="C1154" s="113" t="s">
        <v>1506</v>
      </c>
      <c r="D1154" s="89" t="s">
        <v>1383</v>
      </c>
      <c r="E1154" s="90">
        <f>Source!CA236</f>
        <v>72</v>
      </c>
      <c r="F1154" s="90">
        <f>ROUND(0.85,7)</f>
        <v>0.85</v>
      </c>
      <c r="G1154" s="90">
        <f>Source!AU236</f>
        <v>61.2</v>
      </c>
      <c r="H1154" s="91"/>
      <c r="I1154" s="92"/>
      <c r="J1154" s="93">
        <f>SUM(AE1143:AE1155)</f>
        <v>332.29</v>
      </c>
      <c r="K1154" s="92"/>
      <c r="L1154" s="94">
        <f>SUM(AF1143:AF1155)</f>
        <v>8048</v>
      </c>
    </row>
    <row r="1155" spans="1:56" ht="13.8">
      <c r="C1155" s="95" t="s">
        <v>1386</v>
      </c>
      <c r="D1155" s="95"/>
      <c r="E1155" s="95"/>
      <c r="F1155" s="95"/>
      <c r="G1155" s="95"/>
      <c r="H1155" s="95"/>
      <c r="I1155" s="95">
        <f>J1146+J1147+J1153+J1154</f>
        <v>1471.96</v>
      </c>
      <c r="J1155" s="95"/>
      <c r="O1155" s="69">
        <f>I1155</f>
        <v>1471.96</v>
      </c>
      <c r="P1155">
        <f>K1155</f>
        <v>0</v>
      </c>
      <c r="Q1155" s="69">
        <f>J1146</f>
        <v>542.35</v>
      </c>
      <c r="R1155" s="69">
        <f>J1146</f>
        <v>542.35</v>
      </c>
      <c r="U1155" s="70">
        <f>L1146</f>
        <v>13136</v>
      </c>
      <c r="V1155" s="69">
        <f>J1148</f>
        <v>0.6</v>
      </c>
      <c r="W1155" s="70">
        <f>L1148</f>
        <v>15</v>
      </c>
      <c r="X1155" s="69">
        <f>J1147</f>
        <v>6.05</v>
      </c>
      <c r="Z1155" s="70">
        <f>L1147</f>
        <v>0</v>
      </c>
      <c r="AB1155">
        <f>0</f>
        <v>0</v>
      </c>
      <c r="AN1155">
        <f>IF(Source!BI236&lt;=1,J1146+J1147+J1153+J1154, 0)</f>
        <v>1471.96</v>
      </c>
      <c r="AO1155">
        <f>IF(Source!BI236&lt;=1,0, 0)</f>
        <v>0</v>
      </c>
      <c r="AP1155">
        <f>IF(Source!BI236&lt;=1,J1147, 0)</f>
        <v>6.05</v>
      </c>
      <c r="AQ1155">
        <f>IF(Source!BI236&lt;=1,J1146, 0)</f>
        <v>542.35</v>
      </c>
      <c r="AX1155">
        <f>IF(Source!BI236=2,J1146+J1147+J1153+J1154, 0)</f>
        <v>0</v>
      </c>
      <c r="AY1155">
        <f>IF(Source!BI236=2,0, 0)</f>
        <v>0</v>
      </c>
      <c r="AZ1155">
        <f>IF(Source!BI236=2,J1147, 0)</f>
        <v>0</v>
      </c>
      <c r="BA1155">
        <f>IF(Source!BI236=2,J1146, 0)</f>
        <v>0</v>
      </c>
    </row>
    <row r="1156" spans="1:56" ht="120.6">
      <c r="A1156" s="110" t="str">
        <f>Source!E237</f>
        <v>122</v>
      </c>
      <c r="B1156" s="111" t="str">
        <f>Source!F237</f>
        <v>46-04-006-3</v>
      </c>
      <c r="C1156" s="111" t="s">
        <v>1509</v>
      </c>
      <c r="D1156" s="81" t="str">
        <f>Source!H237</f>
        <v>100 м2</v>
      </c>
      <c r="E1156" s="82">
        <f>Source!K237</f>
        <v>0.32500000000000001</v>
      </c>
      <c r="F1156" s="82"/>
      <c r="G1156" s="82">
        <f>Source!I237</f>
        <v>0.32500000000000001</v>
      </c>
      <c r="H1156" s="83"/>
      <c r="I1156" s="84"/>
      <c r="J1156" s="85"/>
      <c r="K1156" s="84"/>
      <c r="L1156" s="86"/>
      <c r="AC1156">
        <f>Source!X237</f>
        <v>102.96</v>
      </c>
      <c r="AD1156">
        <f>Source!HK237</f>
        <v>2493</v>
      </c>
      <c r="AE1156">
        <f>Source!Y237</f>
        <v>102.96</v>
      </c>
      <c r="AF1156">
        <f>Source!HL237</f>
        <v>2493</v>
      </c>
      <c r="AS1156">
        <f>IF(Source!BI237&lt;=1,AD1156, 0)</f>
        <v>2493</v>
      </c>
      <c r="AT1156">
        <f>IF(Source!BI237&lt;=1,AF1156, 0)</f>
        <v>2493</v>
      </c>
      <c r="BC1156">
        <f>IF(Source!BI237=2,AD1156, 0)</f>
        <v>0</v>
      </c>
      <c r="BD1156">
        <f>IF(Source!BI237=2,AF1156, 0)</f>
        <v>0</v>
      </c>
    </row>
    <row r="1158" spans="1:56">
      <c r="C1158" s="67" t="str">
        <f>"Объем: "&amp;Source!K237&amp;"=32,5/"&amp;"100"</f>
        <v>Объем: 0,325=32,5/100</v>
      </c>
    </row>
    <row r="1159" spans="1:56" ht="14.4">
      <c r="A1159" s="110"/>
      <c r="B1159" s="112">
        <v>1</v>
      </c>
      <c r="C1159" s="111" t="s">
        <v>1373</v>
      </c>
      <c r="D1159" s="81"/>
      <c r="E1159" s="82"/>
      <c r="F1159" s="82"/>
      <c r="G1159" s="82"/>
      <c r="H1159" s="83">
        <f>Source!AO237</f>
        <v>213.6</v>
      </c>
      <c r="I1159" s="84">
        <f>ROUND(1.15,7)</f>
        <v>1.1499999999999999</v>
      </c>
      <c r="J1159" s="85">
        <f>ROUND(Source!AF237*Source!I237, 2)</f>
        <v>79.83</v>
      </c>
      <c r="K1159" s="84">
        <f>IF(Source!BA237&lt;&gt; 0, Source!BA237, 1)</f>
        <v>24.22</v>
      </c>
      <c r="L1159" s="86">
        <f>Source!HJ237</f>
        <v>1933</v>
      </c>
    </row>
    <row r="1160" spans="1:56" ht="14.4">
      <c r="A1160" s="110"/>
      <c r="B1160" s="112">
        <v>3</v>
      </c>
      <c r="C1160" s="111" t="s">
        <v>1374</v>
      </c>
      <c r="D1160" s="81"/>
      <c r="E1160" s="82"/>
      <c r="F1160" s="82"/>
      <c r="G1160" s="82"/>
      <c r="H1160" s="83">
        <f>Source!AM237</f>
        <v>211.01</v>
      </c>
      <c r="I1160" s="84">
        <f>ROUND(1.15,7)</f>
        <v>1.1499999999999999</v>
      </c>
      <c r="J1160" s="85">
        <f>ROUND(Source!AD237*Source!I237, 2)</f>
        <v>78.86</v>
      </c>
      <c r="K1160" s="84"/>
      <c r="L1160" s="86"/>
    </row>
    <row r="1161" spans="1:56" ht="14.4">
      <c r="A1161" s="110"/>
      <c r="B1161" s="112">
        <v>2</v>
      </c>
      <c r="C1161" s="111" t="s">
        <v>1375</v>
      </c>
      <c r="D1161" s="81"/>
      <c r="E1161" s="82"/>
      <c r="F1161" s="82"/>
      <c r="G1161" s="82"/>
      <c r="H1161" s="83">
        <f>Source!AN237</f>
        <v>89.13</v>
      </c>
      <c r="I1161" s="84">
        <f>ROUND(1.15,7)</f>
        <v>1.1499999999999999</v>
      </c>
      <c r="J1161" s="87">
        <f>ROUND(Source!AE237*Source!I237, 2)</f>
        <v>33.31</v>
      </c>
      <c r="K1161" s="84">
        <f>IF(Source!BS237&lt;&gt; 0, Source!BS237, 1)</f>
        <v>24.22</v>
      </c>
      <c r="L1161" s="88">
        <f>Source!HI237</f>
        <v>807</v>
      </c>
    </row>
    <row r="1162" spans="1:56" ht="14.4">
      <c r="A1162" s="110"/>
      <c r="B1162" s="111"/>
      <c r="C1162" s="111" t="s">
        <v>1376</v>
      </c>
      <c r="D1162" s="81" t="s">
        <v>1377</v>
      </c>
      <c r="E1162" s="82">
        <f>Source!AQ237</f>
        <v>29.3</v>
      </c>
      <c r="F1162" s="82">
        <f>ROUND(1.15,7)</f>
        <v>1.1499999999999999</v>
      </c>
      <c r="G1162" s="82">
        <f>ROUND(Source!U237, 7)</f>
        <v>10.950875</v>
      </c>
      <c r="H1162" s="83"/>
      <c r="I1162" s="84"/>
      <c r="J1162" s="85"/>
      <c r="K1162" s="84"/>
      <c r="L1162" s="86"/>
    </row>
    <row r="1163" spans="1:56" ht="14.4">
      <c r="A1163" s="110"/>
      <c r="B1163" s="111"/>
      <c r="C1163" s="113" t="s">
        <v>1378</v>
      </c>
      <c r="D1163" s="89" t="s">
        <v>1377</v>
      </c>
      <c r="E1163" s="90">
        <f>Source!AR237</f>
        <v>6.84</v>
      </c>
      <c r="F1163" s="90">
        <f>ROUND(1.15,7)</f>
        <v>1.1499999999999999</v>
      </c>
      <c r="G1163" s="90">
        <f>ROUND(Source!V237, 7)</f>
        <v>2.5564499999999999</v>
      </c>
      <c r="H1163" s="91"/>
      <c r="I1163" s="92"/>
      <c r="J1163" s="93"/>
      <c r="K1163" s="92"/>
      <c r="L1163" s="94"/>
    </row>
    <row r="1164" spans="1:56" ht="14.4">
      <c r="A1164" s="110"/>
      <c r="B1164" s="111"/>
      <c r="C1164" s="111" t="s">
        <v>1379</v>
      </c>
      <c r="D1164" s="81"/>
      <c r="E1164" s="82"/>
      <c r="F1164" s="82"/>
      <c r="G1164" s="82"/>
      <c r="H1164" s="83">
        <f>H1159+H1160</f>
        <v>424.61</v>
      </c>
      <c r="I1164" s="84"/>
      <c r="J1164" s="85">
        <f>J1159+J1160</f>
        <v>158.69</v>
      </c>
      <c r="K1164" s="84"/>
      <c r="L1164" s="86"/>
    </row>
    <row r="1165" spans="1:56" ht="14.4">
      <c r="A1165" s="110"/>
      <c r="B1165" s="111"/>
      <c r="C1165" s="111" t="s">
        <v>1380</v>
      </c>
      <c r="D1165" s="81"/>
      <c r="E1165" s="82"/>
      <c r="F1165" s="82"/>
      <c r="G1165" s="82"/>
      <c r="H1165" s="83"/>
      <c r="I1165" s="84"/>
      <c r="J1165" s="85">
        <f>SUM(Q1156:Q1168)+SUM(V1156:V1168)</f>
        <v>113.14</v>
      </c>
      <c r="K1165" s="84"/>
      <c r="L1165" s="86">
        <f>SUM(U1156:U1168)+SUM(W1156:W1168)</f>
        <v>2740</v>
      </c>
    </row>
    <row r="1166" spans="1:56" ht="69">
      <c r="A1166" s="110"/>
      <c r="B1166" s="111" t="s">
        <v>1431</v>
      </c>
      <c r="C1166" s="111" t="s">
        <v>1432</v>
      </c>
      <c r="D1166" s="81" t="s">
        <v>1383</v>
      </c>
      <c r="E1166" s="82">
        <f>Source!BZ237</f>
        <v>91</v>
      </c>
      <c r="F1166" s="82"/>
      <c r="G1166" s="82">
        <f>Source!AT237</f>
        <v>91</v>
      </c>
      <c r="H1166" s="83"/>
      <c r="I1166" s="84"/>
      <c r="J1166" s="85">
        <f>SUM(AC1156:AC1168)</f>
        <v>102.96</v>
      </c>
      <c r="K1166" s="84"/>
      <c r="L1166" s="86">
        <f>SUM(AD1156:AD1168)</f>
        <v>2493</v>
      </c>
    </row>
    <row r="1167" spans="1:56" ht="69">
      <c r="A1167" s="114"/>
      <c r="B1167" s="113" t="s">
        <v>1433</v>
      </c>
      <c r="C1167" s="113" t="s">
        <v>1434</v>
      </c>
      <c r="D1167" s="89" t="s">
        <v>1383</v>
      </c>
      <c r="E1167" s="90">
        <f>Source!CA237</f>
        <v>52</v>
      </c>
      <c r="F1167" s="90"/>
      <c r="G1167" s="90">
        <f>Source!AU237</f>
        <v>91</v>
      </c>
      <c r="H1167" s="91"/>
      <c r="I1167" s="92"/>
      <c r="J1167" s="93">
        <f>SUM(AE1156:AE1168)</f>
        <v>102.96</v>
      </c>
      <c r="K1167" s="92"/>
      <c r="L1167" s="94">
        <f>SUM(AF1156:AF1168)</f>
        <v>2493</v>
      </c>
    </row>
    <row r="1168" spans="1:56" ht="13.8">
      <c r="C1168" s="95" t="s">
        <v>1386</v>
      </c>
      <c r="D1168" s="95"/>
      <c r="E1168" s="95"/>
      <c r="F1168" s="95"/>
      <c r="G1168" s="95"/>
      <c r="H1168" s="95"/>
      <c r="I1168" s="95">
        <f>J1159+J1160+J1166+J1167</f>
        <v>364.60999999999996</v>
      </c>
      <c r="J1168" s="95"/>
      <c r="O1168" s="69">
        <f>I1168</f>
        <v>364.60999999999996</v>
      </c>
      <c r="P1168">
        <f>K1168</f>
        <v>0</v>
      </c>
      <c r="Q1168" s="69">
        <f>J1159</f>
        <v>79.83</v>
      </c>
      <c r="R1168" s="69">
        <f>J1159</f>
        <v>79.83</v>
      </c>
      <c r="U1168" s="70">
        <f>L1159</f>
        <v>1933</v>
      </c>
      <c r="V1168" s="69">
        <f>J1161</f>
        <v>33.31</v>
      </c>
      <c r="W1168" s="70">
        <f>L1161</f>
        <v>807</v>
      </c>
      <c r="X1168" s="69">
        <f>J1160</f>
        <v>78.86</v>
      </c>
      <c r="Z1168" s="70">
        <f>L1160</f>
        <v>0</v>
      </c>
      <c r="AB1168">
        <f>0</f>
        <v>0</v>
      </c>
      <c r="AN1168">
        <f>IF(Source!BI237&lt;=1,J1159+J1160+J1166+J1167, 0)</f>
        <v>364.60999999999996</v>
      </c>
      <c r="AO1168">
        <f>IF(Source!BI237&lt;=1,0, 0)</f>
        <v>0</v>
      </c>
      <c r="AP1168">
        <f>IF(Source!BI237&lt;=1,J1160, 0)</f>
        <v>78.86</v>
      </c>
      <c r="AQ1168">
        <f>IF(Source!BI237&lt;=1,J1159, 0)</f>
        <v>79.83</v>
      </c>
      <c r="AX1168">
        <f>IF(Source!BI237=2,J1159+J1160+J1166+J1167, 0)</f>
        <v>0</v>
      </c>
      <c r="AY1168">
        <f>IF(Source!BI237=2,0, 0)</f>
        <v>0</v>
      </c>
      <c r="AZ1168">
        <f>IF(Source!BI237=2,J1160, 0)</f>
        <v>0</v>
      </c>
      <c r="BA1168">
        <f>IF(Source!BI237=2,J1159, 0)</f>
        <v>0</v>
      </c>
    </row>
    <row r="1169" spans="1:56" ht="106.8">
      <c r="A1169" s="110" t="str">
        <f>Source!E238</f>
        <v>123</v>
      </c>
      <c r="B1169" s="111" t="str">
        <f>Source!F238</f>
        <v>57-2-3</v>
      </c>
      <c r="C1169" s="111" t="s">
        <v>1510</v>
      </c>
      <c r="D1169" s="81" t="str">
        <f>Source!H238</f>
        <v>100 м2 покрытия</v>
      </c>
      <c r="E1169" s="82">
        <f>Source!K238</f>
        <v>1.3360000000000001</v>
      </c>
      <c r="F1169" s="82"/>
      <c r="G1169" s="82">
        <f>Source!I238</f>
        <v>1.3360000000000001</v>
      </c>
      <c r="H1169" s="83"/>
      <c r="I1169" s="84"/>
      <c r="J1169" s="85"/>
      <c r="K1169" s="84"/>
      <c r="L1169" s="86"/>
      <c r="AC1169">
        <f>Source!X238</f>
        <v>811.95</v>
      </c>
      <c r="AD1169">
        <f>Source!HK238</f>
        <v>19665</v>
      </c>
      <c r="AE1169">
        <f>Source!Y238</f>
        <v>447.03</v>
      </c>
      <c r="AF1169">
        <f>Source!HL238</f>
        <v>10827</v>
      </c>
      <c r="AS1169">
        <f>IF(Source!BI238&lt;=1,AD1169, 0)</f>
        <v>19665</v>
      </c>
      <c r="AT1169">
        <f>IF(Source!BI238&lt;=1,AF1169, 0)</f>
        <v>10827</v>
      </c>
      <c r="BC1169">
        <f>IF(Source!BI238=2,AD1169, 0)</f>
        <v>0</v>
      </c>
      <c r="BD1169">
        <f>IF(Source!BI238=2,AF1169, 0)</f>
        <v>0</v>
      </c>
    </row>
    <row r="1171" spans="1:56">
      <c r="C1171" s="67" t="str">
        <f>"Объем: "&amp;Source!K238&amp;"=33,4*"&amp;"4/"&amp;"100"</f>
        <v>Объем: 1,336=33,4*4/100</v>
      </c>
    </row>
    <row r="1172" spans="1:56" ht="14.4">
      <c r="A1172" s="110"/>
      <c r="B1172" s="112">
        <v>1</v>
      </c>
      <c r="C1172" s="111" t="s">
        <v>1373</v>
      </c>
      <c r="D1172" s="81"/>
      <c r="E1172" s="82"/>
      <c r="F1172" s="82"/>
      <c r="G1172" s="82"/>
      <c r="H1172" s="83">
        <f>Source!AO238</f>
        <v>575.03</v>
      </c>
      <c r="I1172" s="84">
        <f>ROUND(1.15,7)</f>
        <v>1.1499999999999999</v>
      </c>
      <c r="J1172" s="85">
        <f>ROUND(Source!AF238*Source!I238, 2)</f>
        <v>883.48</v>
      </c>
      <c r="K1172" s="84">
        <f>IF(Source!BA238&lt;&gt; 0, Source!BA238, 1)</f>
        <v>24.22</v>
      </c>
      <c r="L1172" s="86">
        <f>Source!HJ238</f>
        <v>21398</v>
      </c>
    </row>
    <row r="1173" spans="1:56" ht="14.4">
      <c r="A1173" s="110"/>
      <c r="B1173" s="112">
        <v>3</v>
      </c>
      <c r="C1173" s="111" t="s">
        <v>1374</v>
      </c>
      <c r="D1173" s="81"/>
      <c r="E1173" s="82"/>
      <c r="F1173" s="82"/>
      <c r="G1173" s="82"/>
      <c r="H1173" s="83">
        <f>Source!AM238</f>
        <v>44.42</v>
      </c>
      <c r="I1173" s="84">
        <f>ROUND(1.15,7)</f>
        <v>1.1499999999999999</v>
      </c>
      <c r="J1173" s="85">
        <f>ROUND(Source!AD238*Source!I238, 2)</f>
        <v>68.25</v>
      </c>
      <c r="K1173" s="84"/>
      <c r="L1173" s="86"/>
    </row>
    <row r="1174" spans="1:56" ht="14.4">
      <c r="A1174" s="110"/>
      <c r="B1174" s="112">
        <v>2</v>
      </c>
      <c r="C1174" s="111" t="s">
        <v>1375</v>
      </c>
      <c r="D1174" s="81"/>
      <c r="E1174" s="82"/>
      <c r="F1174" s="82"/>
      <c r="G1174" s="82"/>
      <c r="H1174" s="83">
        <f>Source!AN238</f>
        <v>18.760000000000002</v>
      </c>
      <c r="I1174" s="84">
        <f>ROUND(1.15,7)</f>
        <v>1.1499999999999999</v>
      </c>
      <c r="J1174" s="87">
        <f>ROUND(Source!AE238*Source!I238, 2)</f>
        <v>28.82</v>
      </c>
      <c r="K1174" s="84">
        <f>IF(Source!BS238&lt;&gt; 0, Source!BS238, 1)</f>
        <v>24.22</v>
      </c>
      <c r="L1174" s="88">
        <f>Source!HI238</f>
        <v>698</v>
      </c>
    </row>
    <row r="1175" spans="1:56" ht="14.4">
      <c r="A1175" s="110"/>
      <c r="B1175" s="111"/>
      <c r="C1175" s="111" t="s">
        <v>1376</v>
      </c>
      <c r="D1175" s="81" t="s">
        <v>1377</v>
      </c>
      <c r="E1175" s="82">
        <f>Source!AQ238</f>
        <v>69.87</v>
      </c>
      <c r="F1175" s="82">
        <f>ROUND(1.15,7)</f>
        <v>1.1499999999999999</v>
      </c>
      <c r="G1175" s="82">
        <f>ROUND(Source!U238, 7)</f>
        <v>107.348268</v>
      </c>
      <c r="H1175" s="83"/>
      <c r="I1175" s="84"/>
      <c r="J1175" s="85"/>
      <c r="K1175" s="84"/>
      <c r="L1175" s="86"/>
    </row>
    <row r="1176" spans="1:56" ht="14.4">
      <c r="A1176" s="110"/>
      <c r="B1176" s="111"/>
      <c r="C1176" s="113" t="s">
        <v>1378</v>
      </c>
      <c r="D1176" s="89" t="s">
        <v>1377</v>
      </c>
      <c r="E1176" s="90">
        <f>Source!AR238</f>
        <v>1.44</v>
      </c>
      <c r="F1176" s="90">
        <f>ROUND(1.15,7)</f>
        <v>1.1499999999999999</v>
      </c>
      <c r="G1176" s="90">
        <f>ROUND(Source!V238, 7)</f>
        <v>2.2124160000000002</v>
      </c>
      <c r="H1176" s="91"/>
      <c r="I1176" s="92"/>
      <c r="J1176" s="93"/>
      <c r="K1176" s="92"/>
      <c r="L1176" s="94"/>
    </row>
    <row r="1177" spans="1:56" ht="14.4">
      <c r="A1177" s="110"/>
      <c r="B1177" s="111"/>
      <c r="C1177" s="111" t="s">
        <v>1379</v>
      </c>
      <c r="D1177" s="81"/>
      <c r="E1177" s="82"/>
      <c r="F1177" s="82"/>
      <c r="G1177" s="82"/>
      <c r="H1177" s="83">
        <f>H1172+H1173</f>
        <v>619.44999999999993</v>
      </c>
      <c r="I1177" s="84"/>
      <c r="J1177" s="85">
        <f>J1172+J1173</f>
        <v>951.73</v>
      </c>
      <c r="K1177" s="84"/>
      <c r="L1177" s="86"/>
    </row>
    <row r="1178" spans="1:56" ht="14.4">
      <c r="A1178" s="110"/>
      <c r="B1178" s="111"/>
      <c r="C1178" s="111" t="s">
        <v>1380</v>
      </c>
      <c r="D1178" s="81"/>
      <c r="E1178" s="82"/>
      <c r="F1178" s="82"/>
      <c r="G1178" s="82"/>
      <c r="H1178" s="83"/>
      <c r="I1178" s="84"/>
      <c r="J1178" s="85">
        <f>SUM(Q1169:Q1181)+SUM(V1169:V1181)</f>
        <v>912.30000000000007</v>
      </c>
      <c r="K1178" s="84"/>
      <c r="L1178" s="86">
        <f>SUM(U1169:U1181)+SUM(W1169:W1181)</f>
        <v>22096</v>
      </c>
    </row>
    <row r="1179" spans="1:56" ht="14.4">
      <c r="A1179" s="110"/>
      <c r="B1179" s="111" t="s">
        <v>1511</v>
      </c>
      <c r="C1179" s="111" t="s">
        <v>1512</v>
      </c>
      <c r="D1179" s="81" t="s">
        <v>1383</v>
      </c>
      <c r="E1179" s="82">
        <f>Source!BZ238</f>
        <v>89</v>
      </c>
      <c r="F1179" s="82"/>
      <c r="G1179" s="82">
        <f>Source!AT238</f>
        <v>89</v>
      </c>
      <c r="H1179" s="83"/>
      <c r="I1179" s="84"/>
      <c r="J1179" s="85">
        <f>SUM(AC1169:AC1181)</f>
        <v>811.95</v>
      </c>
      <c r="K1179" s="84"/>
      <c r="L1179" s="86">
        <f>SUM(AD1169:AD1181)</f>
        <v>19665</v>
      </c>
    </row>
    <row r="1180" spans="1:56" ht="14.4">
      <c r="A1180" s="114"/>
      <c r="B1180" s="113" t="s">
        <v>1513</v>
      </c>
      <c r="C1180" s="113" t="s">
        <v>1514</v>
      </c>
      <c r="D1180" s="89" t="s">
        <v>1383</v>
      </c>
      <c r="E1180" s="90">
        <f>Source!CA238</f>
        <v>49</v>
      </c>
      <c r="F1180" s="90"/>
      <c r="G1180" s="90">
        <f>Source!AU238</f>
        <v>49</v>
      </c>
      <c r="H1180" s="91"/>
      <c r="I1180" s="92"/>
      <c r="J1180" s="93">
        <f>SUM(AE1169:AE1181)</f>
        <v>447.03</v>
      </c>
      <c r="K1180" s="92"/>
      <c r="L1180" s="94">
        <f>SUM(AF1169:AF1181)</f>
        <v>10827</v>
      </c>
    </row>
    <row r="1181" spans="1:56" ht="13.8">
      <c r="C1181" s="95" t="s">
        <v>1386</v>
      </c>
      <c r="D1181" s="95"/>
      <c r="E1181" s="95"/>
      <c r="F1181" s="95"/>
      <c r="G1181" s="95"/>
      <c r="H1181" s="95"/>
      <c r="I1181" s="95">
        <f>J1172+J1173+J1179+J1180</f>
        <v>2210.71</v>
      </c>
      <c r="J1181" s="95"/>
      <c r="O1181" s="69">
        <f>I1181</f>
        <v>2210.71</v>
      </c>
      <c r="P1181">
        <f>K1181</f>
        <v>0</v>
      </c>
      <c r="Q1181" s="69">
        <f>J1172</f>
        <v>883.48</v>
      </c>
      <c r="R1181" s="69">
        <f>J1172</f>
        <v>883.48</v>
      </c>
      <c r="U1181" s="70">
        <f>L1172</f>
        <v>21398</v>
      </c>
      <c r="V1181" s="69">
        <f>J1174</f>
        <v>28.82</v>
      </c>
      <c r="W1181" s="70">
        <f>L1174</f>
        <v>698</v>
      </c>
      <c r="X1181" s="69">
        <f>J1173</f>
        <v>68.25</v>
      </c>
      <c r="Z1181" s="70">
        <f>L1173</f>
        <v>0</v>
      </c>
      <c r="AB1181">
        <f>0</f>
        <v>0</v>
      </c>
      <c r="AN1181">
        <f>IF(Source!BI238&lt;=1,J1172+J1173+J1179+J1180, 0)</f>
        <v>2210.71</v>
      </c>
      <c r="AO1181">
        <f>IF(Source!BI238&lt;=1,0, 0)</f>
        <v>0</v>
      </c>
      <c r="AP1181">
        <f>IF(Source!BI238&lt;=1,J1173, 0)</f>
        <v>68.25</v>
      </c>
      <c r="AQ1181">
        <f>IF(Source!BI238&lt;=1,J1172, 0)</f>
        <v>883.48</v>
      </c>
      <c r="AX1181">
        <f>IF(Source!BI238=2,J1172+J1173+J1179+J1180, 0)</f>
        <v>0</v>
      </c>
      <c r="AY1181">
        <f>IF(Source!BI238=2,0, 0)</f>
        <v>0</v>
      </c>
      <c r="AZ1181">
        <f>IF(Source!BI238=2,J1173, 0)</f>
        <v>0</v>
      </c>
      <c r="BA1181">
        <f>IF(Source!BI238=2,J1172, 0)</f>
        <v>0</v>
      </c>
    </row>
    <row r="1182" spans="1:56" ht="106.8">
      <c r="A1182" s="110" t="str">
        <f>Source!E239</f>
        <v>124</v>
      </c>
      <c r="B1182" s="111" t="str">
        <f>Source!F239</f>
        <v>46-01-004-3</v>
      </c>
      <c r="C1182" s="111" t="s">
        <v>1515</v>
      </c>
      <c r="D1182" s="81" t="str">
        <f>Source!H239</f>
        <v>1 Т</v>
      </c>
      <c r="E1182" s="82">
        <f>Source!K239</f>
        <v>0.15</v>
      </c>
      <c r="F1182" s="82"/>
      <c r="G1182" s="82">
        <f>Source!I239</f>
        <v>0.15</v>
      </c>
      <c r="H1182" s="83"/>
      <c r="I1182" s="84"/>
      <c r="J1182" s="85"/>
      <c r="K1182" s="84"/>
      <c r="L1182" s="86"/>
      <c r="AC1182">
        <f>Source!X239</f>
        <v>302.11</v>
      </c>
      <c r="AD1182">
        <f>Source!HK239</f>
        <v>7317</v>
      </c>
      <c r="AE1182">
        <f>Source!Y239</f>
        <v>302.11</v>
      </c>
      <c r="AF1182">
        <f>Source!HL239</f>
        <v>7317</v>
      </c>
      <c r="AS1182">
        <f>IF(Source!BI239&lt;=1,AD1182, 0)</f>
        <v>7317</v>
      </c>
      <c r="AT1182">
        <f>IF(Source!BI239&lt;=1,AF1182, 0)</f>
        <v>7317</v>
      </c>
      <c r="BC1182">
        <f>IF(Source!BI239=2,AD1182, 0)</f>
        <v>0</v>
      </c>
      <c r="BD1182">
        <f>IF(Source!BI239=2,AF1182, 0)</f>
        <v>0</v>
      </c>
    </row>
    <row r="1184" spans="1:56">
      <c r="C1184" s="67" t="str">
        <f>"Объем: "&amp;Source!K239&amp;"=150/"&amp;"1000"</f>
        <v>Объем: 0,15=150/1000</v>
      </c>
    </row>
    <row r="1185" spans="1:56" ht="14.4">
      <c r="A1185" s="110"/>
      <c r="B1185" s="112">
        <v>1</v>
      </c>
      <c r="C1185" s="111" t="s">
        <v>1373</v>
      </c>
      <c r="D1185" s="81"/>
      <c r="E1185" s="82"/>
      <c r="F1185" s="82"/>
      <c r="G1185" s="82"/>
      <c r="H1185" s="83">
        <f>Source!AO239</f>
        <v>1690.41</v>
      </c>
      <c r="I1185" s="84">
        <f>ROUND(1.15,7)</f>
        <v>1.1499999999999999</v>
      </c>
      <c r="J1185" s="85">
        <f>ROUND(Source!AF239*Source!I239, 2)</f>
        <v>291.60000000000002</v>
      </c>
      <c r="K1185" s="84">
        <f>IF(Source!BA239&lt;&gt; 0, Source!BA239, 1)</f>
        <v>24.22</v>
      </c>
      <c r="L1185" s="86">
        <f>Source!HJ239</f>
        <v>7063</v>
      </c>
    </row>
    <row r="1186" spans="1:56" ht="14.4">
      <c r="A1186" s="110"/>
      <c r="B1186" s="112">
        <v>3</v>
      </c>
      <c r="C1186" s="111" t="s">
        <v>1374</v>
      </c>
      <c r="D1186" s="81"/>
      <c r="E1186" s="82"/>
      <c r="F1186" s="82"/>
      <c r="G1186" s="82"/>
      <c r="H1186" s="83">
        <f>Source!AM239</f>
        <v>113.86</v>
      </c>
      <c r="I1186" s="84">
        <f>ROUND(1.15,7)</f>
        <v>1.1499999999999999</v>
      </c>
      <c r="J1186" s="85">
        <f>ROUND(Source!AD239*Source!I239, 2)</f>
        <v>19.64</v>
      </c>
      <c r="K1186" s="84"/>
      <c r="L1186" s="86"/>
    </row>
    <row r="1187" spans="1:56" ht="14.4">
      <c r="A1187" s="110"/>
      <c r="B1187" s="112">
        <v>2</v>
      </c>
      <c r="C1187" s="111" t="s">
        <v>1375</v>
      </c>
      <c r="D1187" s="81"/>
      <c r="E1187" s="82"/>
      <c r="F1187" s="82"/>
      <c r="G1187" s="82"/>
      <c r="H1187" s="83">
        <f>Source!AN239</f>
        <v>9.9</v>
      </c>
      <c r="I1187" s="84">
        <f>ROUND(1.15,7)</f>
        <v>1.1499999999999999</v>
      </c>
      <c r="J1187" s="87">
        <f>ROUND(Source!AE239*Source!I239, 2)</f>
        <v>1.71</v>
      </c>
      <c r="K1187" s="84">
        <f>IF(Source!BS239&lt;&gt; 0, Source!BS239, 1)</f>
        <v>24.22</v>
      </c>
      <c r="L1187" s="88">
        <f>Source!HI239</f>
        <v>41</v>
      </c>
    </row>
    <row r="1188" spans="1:56" ht="14.4">
      <c r="A1188" s="110"/>
      <c r="B1188" s="112">
        <v>4</v>
      </c>
      <c r="C1188" s="111" t="s">
        <v>1408</v>
      </c>
      <c r="D1188" s="81"/>
      <c r="E1188" s="82"/>
      <c r="F1188" s="82"/>
      <c r="G1188" s="82"/>
      <c r="H1188" s="83">
        <f>Source!AL239</f>
        <v>6879.06</v>
      </c>
      <c r="I1188" s="84"/>
      <c r="J1188" s="85">
        <f>ROUND(Source!AC239*Source!I239, 2)</f>
        <v>1031.8599999999999</v>
      </c>
      <c r="K1188" s="84"/>
      <c r="L1188" s="86"/>
    </row>
    <row r="1189" spans="1:56" ht="14.4">
      <c r="A1189" s="110"/>
      <c r="B1189" s="111"/>
      <c r="C1189" s="111" t="s">
        <v>1376</v>
      </c>
      <c r="D1189" s="81" t="s">
        <v>1377</v>
      </c>
      <c r="E1189" s="82">
        <f>Source!AQ239</f>
        <v>202.93</v>
      </c>
      <c r="F1189" s="82">
        <f>ROUND(1.15,7)</f>
        <v>1.1499999999999999</v>
      </c>
      <c r="G1189" s="82">
        <f>ROUND(Source!U239, 7)</f>
        <v>35.005425000000002</v>
      </c>
      <c r="H1189" s="83"/>
      <c r="I1189" s="84"/>
      <c r="J1189" s="85"/>
      <c r="K1189" s="84"/>
      <c r="L1189" s="86"/>
    </row>
    <row r="1190" spans="1:56" ht="14.4">
      <c r="A1190" s="110"/>
      <c r="B1190" s="111"/>
      <c r="C1190" s="113" t="s">
        <v>1378</v>
      </c>
      <c r="D1190" s="89" t="s">
        <v>1377</v>
      </c>
      <c r="E1190" s="90">
        <f>Source!AR239</f>
        <v>0.76</v>
      </c>
      <c r="F1190" s="90">
        <f>ROUND(1.15,7)</f>
        <v>1.1499999999999999</v>
      </c>
      <c r="G1190" s="90">
        <f>ROUND(Source!V239, 7)</f>
        <v>0.13109999999999999</v>
      </c>
      <c r="H1190" s="91"/>
      <c r="I1190" s="92"/>
      <c r="J1190" s="93"/>
      <c r="K1190" s="92"/>
      <c r="L1190" s="94"/>
    </row>
    <row r="1191" spans="1:56" ht="14.4">
      <c r="A1191" s="110"/>
      <c r="B1191" s="111"/>
      <c r="C1191" s="111" t="s">
        <v>1379</v>
      </c>
      <c r="D1191" s="81"/>
      <c r="E1191" s="82"/>
      <c r="F1191" s="82"/>
      <c r="G1191" s="82"/>
      <c r="H1191" s="83">
        <f>H1185+H1186+H1188</f>
        <v>8683.33</v>
      </c>
      <c r="I1191" s="84"/>
      <c r="J1191" s="85">
        <f>J1185+J1186+J1188</f>
        <v>1343.1</v>
      </c>
      <c r="K1191" s="84"/>
      <c r="L1191" s="86"/>
    </row>
    <row r="1192" spans="1:56" ht="14.4">
      <c r="A1192" s="110"/>
      <c r="B1192" s="111"/>
      <c r="C1192" s="111" t="s">
        <v>1380</v>
      </c>
      <c r="D1192" s="81"/>
      <c r="E1192" s="82"/>
      <c r="F1192" s="82"/>
      <c r="G1192" s="82"/>
      <c r="H1192" s="83"/>
      <c r="I1192" s="84"/>
      <c r="J1192" s="85">
        <f>SUM(Q1182:Q1195)+SUM(V1182:V1195)</f>
        <v>293.31</v>
      </c>
      <c r="K1192" s="84"/>
      <c r="L1192" s="86">
        <f>SUM(U1182:U1195)+SUM(W1182:W1195)</f>
        <v>7104</v>
      </c>
    </row>
    <row r="1193" spans="1:56" ht="55.2">
      <c r="A1193" s="110"/>
      <c r="B1193" s="111" t="s">
        <v>1452</v>
      </c>
      <c r="C1193" s="111" t="s">
        <v>1453</v>
      </c>
      <c r="D1193" s="81" t="s">
        <v>1383</v>
      </c>
      <c r="E1193" s="82">
        <f>Source!BZ239</f>
        <v>103</v>
      </c>
      <c r="F1193" s="82"/>
      <c r="G1193" s="82">
        <f>Source!AT239</f>
        <v>103</v>
      </c>
      <c r="H1193" s="83"/>
      <c r="I1193" s="84"/>
      <c r="J1193" s="85">
        <f>SUM(AC1182:AC1195)</f>
        <v>302.11</v>
      </c>
      <c r="K1193" s="84"/>
      <c r="L1193" s="86">
        <f>SUM(AD1182:AD1195)</f>
        <v>7317</v>
      </c>
    </row>
    <row r="1194" spans="1:56" ht="55.2">
      <c r="A1194" s="114"/>
      <c r="B1194" s="113" t="s">
        <v>1454</v>
      </c>
      <c r="C1194" s="113" t="s">
        <v>1455</v>
      </c>
      <c r="D1194" s="89" t="s">
        <v>1383</v>
      </c>
      <c r="E1194" s="90">
        <f>Source!CA239</f>
        <v>59</v>
      </c>
      <c r="F1194" s="90"/>
      <c r="G1194" s="90">
        <f>Source!AU239</f>
        <v>103</v>
      </c>
      <c r="H1194" s="91"/>
      <c r="I1194" s="92"/>
      <c r="J1194" s="93">
        <f>SUM(AE1182:AE1195)</f>
        <v>302.11</v>
      </c>
      <c r="K1194" s="92"/>
      <c r="L1194" s="94">
        <f>SUM(AF1182:AF1195)</f>
        <v>7317</v>
      </c>
    </row>
    <row r="1195" spans="1:56" ht="13.8">
      <c r="C1195" s="95" t="s">
        <v>1386</v>
      </c>
      <c r="D1195" s="95"/>
      <c r="E1195" s="95"/>
      <c r="F1195" s="95"/>
      <c r="G1195" s="95"/>
      <c r="H1195" s="95"/>
      <c r="I1195" s="95">
        <f>J1185+J1186+J1188+J1193+J1194</f>
        <v>1947.3200000000002</v>
      </c>
      <c r="J1195" s="95"/>
      <c r="O1195" s="69">
        <f>I1195</f>
        <v>1947.3200000000002</v>
      </c>
      <c r="P1195">
        <f>K1195</f>
        <v>0</v>
      </c>
      <c r="Q1195" s="69">
        <f>J1185</f>
        <v>291.60000000000002</v>
      </c>
      <c r="R1195" s="69">
        <f>J1185</f>
        <v>291.60000000000002</v>
      </c>
      <c r="U1195" s="70">
        <f>L1185</f>
        <v>7063</v>
      </c>
      <c r="V1195" s="69">
        <f>J1187</f>
        <v>1.71</v>
      </c>
      <c r="W1195" s="70">
        <f>L1187</f>
        <v>41</v>
      </c>
      <c r="X1195" s="69">
        <f>J1186</f>
        <v>19.64</v>
      </c>
      <c r="Z1195" s="70">
        <f>L1186</f>
        <v>0</v>
      </c>
      <c r="AB1195" s="69">
        <f>J1188</f>
        <v>1031.8599999999999</v>
      </c>
      <c r="AN1195">
        <f>IF(Source!BI239&lt;=1,J1185+J1186+J1188+J1193+J1194, 0)</f>
        <v>1947.3200000000002</v>
      </c>
      <c r="AO1195">
        <f>IF(Source!BI239&lt;=1,J1188, 0)</f>
        <v>1031.8599999999999</v>
      </c>
      <c r="AP1195">
        <f>IF(Source!BI239&lt;=1,J1186, 0)</f>
        <v>19.64</v>
      </c>
      <c r="AQ1195">
        <f>IF(Source!BI239&lt;=1,J1185, 0)</f>
        <v>291.60000000000002</v>
      </c>
      <c r="AX1195">
        <f>IF(Source!BI239=2,J1185+J1186+J1188+J1193+J1194, 0)</f>
        <v>0</v>
      </c>
      <c r="AY1195">
        <f>IF(Source!BI239=2,J1188, 0)</f>
        <v>0</v>
      </c>
      <c r="AZ1195">
        <f>IF(Source!BI239=2,J1186, 0)</f>
        <v>0</v>
      </c>
      <c r="BA1195">
        <f>IF(Source!BI239=2,J1185, 0)</f>
        <v>0</v>
      </c>
    </row>
    <row r="1196" spans="1:56" ht="133.19999999999999">
      <c r="A1196" s="110" t="str">
        <f>Source!E240</f>
        <v>125</v>
      </c>
      <c r="B1196" s="111" t="str">
        <f>Source!F240</f>
        <v>13-03-002-4</v>
      </c>
      <c r="C1196" s="111" t="s">
        <v>1516</v>
      </c>
      <c r="D1196" s="81" t="str">
        <f>Source!H240</f>
        <v>100 м2 окрашиваемой поверхности</v>
      </c>
      <c r="E1196" s="82">
        <f>Source!K240</f>
        <v>0.13</v>
      </c>
      <c r="F1196" s="82"/>
      <c r="G1196" s="82">
        <f>Source!I240</f>
        <v>0.13</v>
      </c>
      <c r="H1196" s="83"/>
      <c r="I1196" s="84"/>
      <c r="J1196" s="85"/>
      <c r="K1196" s="84"/>
      <c r="L1196" s="86"/>
      <c r="AC1196">
        <f>Source!X240</f>
        <v>7.96</v>
      </c>
      <c r="AD1196">
        <f>Source!HK240</f>
        <v>192</v>
      </c>
      <c r="AE1196">
        <f>Source!Y240</f>
        <v>4.08</v>
      </c>
      <c r="AF1196">
        <f>Source!HL240</f>
        <v>98</v>
      </c>
      <c r="AS1196">
        <f>IF(Source!BI240&lt;=1,AD1196, 0)</f>
        <v>192</v>
      </c>
      <c r="AT1196">
        <f>IF(Source!BI240&lt;=1,AF1196, 0)</f>
        <v>98</v>
      </c>
      <c r="BC1196">
        <f>IF(Source!BI240=2,AD1196, 0)</f>
        <v>0</v>
      </c>
      <c r="BD1196">
        <f>IF(Source!BI240=2,AF1196, 0)</f>
        <v>0</v>
      </c>
    </row>
    <row r="1198" spans="1:56">
      <c r="C1198" s="67" t="str">
        <f>"Объем: "&amp;Source!K240&amp;"=13/"&amp;"100"</f>
        <v>Объем: 0,13=13/100</v>
      </c>
    </row>
    <row r="1199" spans="1:56" ht="14.4">
      <c r="A1199" s="110"/>
      <c r="B1199" s="112">
        <v>1</v>
      </c>
      <c r="C1199" s="111" t="s">
        <v>1373</v>
      </c>
      <c r="D1199" s="81"/>
      <c r="E1199" s="82"/>
      <c r="F1199" s="82"/>
      <c r="G1199" s="82"/>
      <c r="H1199" s="83">
        <f>Source!AO240</f>
        <v>54.59</v>
      </c>
      <c r="I1199" s="84">
        <f>ROUND(1.15*1.15,7)</f>
        <v>1.3225</v>
      </c>
      <c r="J1199" s="85">
        <f>ROUND(Source!AF240*Source!I240, 2)</f>
        <v>9.39</v>
      </c>
      <c r="K1199" s="84">
        <f>IF(Source!BA240&lt;&gt; 0, Source!BA240, 1)</f>
        <v>24.22</v>
      </c>
      <c r="L1199" s="86">
        <f>Source!HJ240</f>
        <v>227</v>
      </c>
    </row>
    <row r="1200" spans="1:56" ht="14.4">
      <c r="A1200" s="110"/>
      <c r="B1200" s="112">
        <v>3</v>
      </c>
      <c r="C1200" s="111" t="s">
        <v>1374</v>
      </c>
      <c r="D1200" s="81"/>
      <c r="E1200" s="82"/>
      <c r="F1200" s="82"/>
      <c r="G1200" s="82"/>
      <c r="H1200" s="83">
        <f>Source!AM240</f>
        <v>9.5500000000000007</v>
      </c>
      <c r="I1200" s="84">
        <f>ROUND(1.15*1.25,7)</f>
        <v>1.4375</v>
      </c>
      <c r="J1200" s="85">
        <f>ROUND(Source!AD240*Source!I240, 2)</f>
        <v>1.78</v>
      </c>
      <c r="K1200" s="84"/>
      <c r="L1200" s="86"/>
    </row>
    <row r="1201" spans="1:56" ht="14.4">
      <c r="A1201" s="110"/>
      <c r="B1201" s="112">
        <v>2</v>
      </c>
      <c r="C1201" s="111" t="s">
        <v>1375</v>
      </c>
      <c r="D1201" s="81"/>
      <c r="E1201" s="82"/>
      <c r="F1201" s="82"/>
      <c r="G1201" s="82"/>
      <c r="H1201" s="83">
        <f>Source!AN240</f>
        <v>0.1</v>
      </c>
      <c r="I1201" s="84">
        <f>ROUND(1.15*1.25,7)</f>
        <v>1.4375</v>
      </c>
      <c r="J1201" s="87">
        <f>ROUND(Source!AE240*Source!I240, 2)</f>
        <v>0.02</v>
      </c>
      <c r="K1201" s="84">
        <f>IF(Source!BS240&lt;&gt; 0, Source!BS240, 1)</f>
        <v>24.22</v>
      </c>
      <c r="L1201" s="88">
        <f>Source!HI240</f>
        <v>0</v>
      </c>
    </row>
    <row r="1202" spans="1:56" ht="14.4">
      <c r="A1202" s="110"/>
      <c r="B1202" s="112">
        <v>4</v>
      </c>
      <c r="C1202" s="111" t="s">
        <v>1408</v>
      </c>
      <c r="D1202" s="81"/>
      <c r="E1202" s="82"/>
      <c r="F1202" s="82"/>
      <c r="G1202" s="82"/>
      <c r="H1202" s="83">
        <f>Source!AL240</f>
        <v>149.44999999999999</v>
      </c>
      <c r="I1202" s="84"/>
      <c r="J1202" s="85">
        <f>ROUND(Source!AC240*Source!I240, 2)</f>
        <v>19.43</v>
      </c>
      <c r="K1202" s="84"/>
      <c r="L1202" s="86"/>
    </row>
    <row r="1203" spans="1:56" ht="14.4">
      <c r="A1203" s="110"/>
      <c r="B1203" s="111"/>
      <c r="C1203" s="111" t="s">
        <v>1376</v>
      </c>
      <c r="D1203" s="81" t="s">
        <v>1377</v>
      </c>
      <c r="E1203" s="82">
        <f>Source!AQ240</f>
        <v>5.31</v>
      </c>
      <c r="F1203" s="82">
        <f>ROUND(1.15*1.15,7)</f>
        <v>1.3225</v>
      </c>
      <c r="G1203" s="82">
        <f>ROUND(Source!U240, 7)</f>
        <v>0.91292180000000001</v>
      </c>
      <c r="H1203" s="83"/>
      <c r="I1203" s="84"/>
      <c r="J1203" s="85"/>
      <c r="K1203" s="84"/>
      <c r="L1203" s="86"/>
    </row>
    <row r="1204" spans="1:56" ht="14.4">
      <c r="A1204" s="110"/>
      <c r="B1204" s="111"/>
      <c r="C1204" s="113" t="s">
        <v>1378</v>
      </c>
      <c r="D1204" s="89" t="s">
        <v>1377</v>
      </c>
      <c r="E1204" s="90">
        <f>Source!AR240</f>
        <v>0.01</v>
      </c>
      <c r="F1204" s="90">
        <f>ROUND(1.15*1.25,7)</f>
        <v>1.4375</v>
      </c>
      <c r="G1204" s="90">
        <f>ROUND(Source!V240, 7)</f>
        <v>1.8688000000000001E-3</v>
      </c>
      <c r="H1204" s="91"/>
      <c r="I1204" s="92"/>
      <c r="J1204" s="93"/>
      <c r="K1204" s="92"/>
      <c r="L1204" s="94"/>
    </row>
    <row r="1205" spans="1:56" ht="14.4">
      <c r="A1205" s="110"/>
      <c r="B1205" s="111"/>
      <c r="C1205" s="111" t="s">
        <v>1379</v>
      </c>
      <c r="D1205" s="81"/>
      <c r="E1205" s="82"/>
      <c r="F1205" s="82"/>
      <c r="G1205" s="82"/>
      <c r="H1205" s="83">
        <f>H1199+H1200+H1202</f>
        <v>213.58999999999997</v>
      </c>
      <c r="I1205" s="84"/>
      <c r="J1205" s="85">
        <f>J1199+J1200+J1202</f>
        <v>30.6</v>
      </c>
      <c r="K1205" s="84"/>
      <c r="L1205" s="86"/>
    </row>
    <row r="1206" spans="1:56" ht="14.4">
      <c r="A1206" s="110"/>
      <c r="B1206" s="111"/>
      <c r="C1206" s="111" t="s">
        <v>1380</v>
      </c>
      <c r="D1206" s="81"/>
      <c r="E1206" s="82"/>
      <c r="F1206" s="82"/>
      <c r="G1206" s="82"/>
      <c r="H1206" s="83"/>
      <c r="I1206" s="84"/>
      <c r="J1206" s="85">
        <f>SUM(Q1196:Q1209)+SUM(V1196:V1209)</f>
        <v>9.41</v>
      </c>
      <c r="K1206" s="84"/>
      <c r="L1206" s="86">
        <f>SUM(U1196:U1209)+SUM(W1196:W1209)</f>
        <v>227</v>
      </c>
    </row>
    <row r="1207" spans="1:56" ht="27.6">
      <c r="A1207" s="110"/>
      <c r="B1207" s="111" t="s">
        <v>1517</v>
      </c>
      <c r="C1207" s="111" t="s">
        <v>1518</v>
      </c>
      <c r="D1207" s="81" t="s">
        <v>1383</v>
      </c>
      <c r="E1207" s="82">
        <f>Source!BZ240</f>
        <v>94</v>
      </c>
      <c r="F1207" s="82">
        <f>ROUND(0.9,7)</f>
        <v>0.9</v>
      </c>
      <c r="G1207" s="82">
        <f>Source!AT240</f>
        <v>84.6</v>
      </c>
      <c r="H1207" s="83"/>
      <c r="I1207" s="84"/>
      <c r="J1207" s="85">
        <f>SUM(AC1196:AC1209)</f>
        <v>7.96</v>
      </c>
      <c r="K1207" s="84"/>
      <c r="L1207" s="86">
        <f>SUM(AD1196:AD1209)</f>
        <v>192</v>
      </c>
    </row>
    <row r="1208" spans="1:56" ht="27.6">
      <c r="A1208" s="114"/>
      <c r="B1208" s="113" t="s">
        <v>1519</v>
      </c>
      <c r="C1208" s="113" t="s">
        <v>1520</v>
      </c>
      <c r="D1208" s="89" t="s">
        <v>1383</v>
      </c>
      <c r="E1208" s="90">
        <f>Source!CA240</f>
        <v>51</v>
      </c>
      <c r="F1208" s="90">
        <f>ROUND(0.85,7)</f>
        <v>0.85</v>
      </c>
      <c r="G1208" s="90">
        <f>Source!AU240</f>
        <v>43.35</v>
      </c>
      <c r="H1208" s="91"/>
      <c r="I1208" s="92"/>
      <c r="J1208" s="93">
        <f>SUM(AE1196:AE1209)</f>
        <v>4.08</v>
      </c>
      <c r="K1208" s="92"/>
      <c r="L1208" s="94">
        <f>SUM(AF1196:AF1209)</f>
        <v>98</v>
      </c>
    </row>
    <row r="1209" spans="1:56" ht="13.8">
      <c r="C1209" s="95" t="s">
        <v>1386</v>
      </c>
      <c r="D1209" s="95"/>
      <c r="E1209" s="95"/>
      <c r="F1209" s="95"/>
      <c r="G1209" s="95"/>
      <c r="H1209" s="95"/>
      <c r="I1209" s="95">
        <f>J1199+J1200+J1202+J1207+J1208</f>
        <v>42.64</v>
      </c>
      <c r="J1209" s="95"/>
      <c r="O1209" s="69">
        <f>I1209</f>
        <v>42.64</v>
      </c>
      <c r="P1209">
        <f>K1209</f>
        <v>0</v>
      </c>
      <c r="Q1209" s="69">
        <f>J1199</f>
        <v>9.39</v>
      </c>
      <c r="R1209" s="69">
        <f>J1199</f>
        <v>9.39</v>
      </c>
      <c r="U1209" s="70">
        <f>L1199</f>
        <v>227</v>
      </c>
      <c r="V1209" s="69">
        <f>J1201</f>
        <v>0.02</v>
      </c>
      <c r="W1209" s="70">
        <f>L1201</f>
        <v>0</v>
      </c>
      <c r="X1209" s="69">
        <f>J1200</f>
        <v>1.78</v>
      </c>
      <c r="Z1209" s="70">
        <f>L1200</f>
        <v>0</v>
      </c>
      <c r="AB1209" s="69">
        <f>J1202</f>
        <v>19.43</v>
      </c>
      <c r="AN1209">
        <f>IF(Source!BI240&lt;=1,J1199+J1200+J1202+J1207+J1208, 0)</f>
        <v>42.64</v>
      </c>
      <c r="AO1209">
        <f>IF(Source!BI240&lt;=1,J1202, 0)</f>
        <v>19.43</v>
      </c>
      <c r="AP1209">
        <f>IF(Source!BI240&lt;=1,J1200, 0)</f>
        <v>1.78</v>
      </c>
      <c r="AQ1209">
        <f>IF(Source!BI240&lt;=1,J1199, 0)</f>
        <v>9.39</v>
      </c>
      <c r="AX1209">
        <f>IF(Source!BI240=2,J1199+J1200+J1202+J1207+J1208, 0)</f>
        <v>0</v>
      </c>
      <c r="AY1209">
        <f>IF(Source!BI240=2,J1202, 0)</f>
        <v>0</v>
      </c>
      <c r="AZ1209">
        <f>IF(Source!BI240=2,J1200, 0)</f>
        <v>0</v>
      </c>
      <c r="BA1209">
        <f>IF(Source!BI240=2,J1199, 0)</f>
        <v>0</v>
      </c>
    </row>
    <row r="1210" spans="1:56" ht="133.19999999999999">
      <c r="A1210" s="110" t="str">
        <f>Source!E241</f>
        <v>126</v>
      </c>
      <c r="B1210" s="111" t="str">
        <f>Source!F241</f>
        <v>06-01-015-7</v>
      </c>
      <c r="C1210" s="111" t="s">
        <v>1521</v>
      </c>
      <c r="D1210" s="81" t="str">
        <f>Source!H241</f>
        <v>1 Т</v>
      </c>
      <c r="E1210" s="82">
        <f>Source!K241</f>
        <v>3.2000000000000002E-3</v>
      </c>
      <c r="F1210" s="82"/>
      <c r="G1210" s="82">
        <f>Source!I241</f>
        <v>3.2000000000000002E-3</v>
      </c>
      <c r="H1210" s="83"/>
      <c r="I1210" s="84"/>
      <c r="J1210" s="85"/>
      <c r="K1210" s="84"/>
      <c r="L1210" s="86"/>
      <c r="AC1210">
        <f>Source!X241</f>
        <v>7.35</v>
      </c>
      <c r="AD1210">
        <f>Source!HK241</f>
        <v>178</v>
      </c>
      <c r="AE1210">
        <f>Source!Y241</f>
        <v>3.95</v>
      </c>
      <c r="AF1210">
        <f>Source!HL241</f>
        <v>96</v>
      </c>
      <c r="AS1210">
        <f>IF(Source!BI241&lt;=1,AD1210, 0)</f>
        <v>178</v>
      </c>
      <c r="AT1210">
        <f>IF(Source!BI241&lt;=1,AF1210, 0)</f>
        <v>96</v>
      </c>
      <c r="BC1210">
        <f>IF(Source!BI241=2,AD1210, 0)</f>
        <v>0</v>
      </c>
      <c r="BD1210">
        <f>IF(Source!BI241=2,AF1210, 0)</f>
        <v>0</v>
      </c>
    </row>
    <row r="1212" spans="1:56">
      <c r="C1212" s="67" t="str">
        <f>"Объем: "&amp;Source!K241&amp;"=3,2/"&amp;"1000"</f>
        <v>Объем: 0,0032=3,2/1000</v>
      </c>
    </row>
    <row r="1213" spans="1:56" ht="14.4">
      <c r="A1213" s="110"/>
      <c r="B1213" s="112">
        <v>1</v>
      </c>
      <c r="C1213" s="111" t="s">
        <v>1373</v>
      </c>
      <c r="D1213" s="81"/>
      <c r="E1213" s="82"/>
      <c r="F1213" s="82"/>
      <c r="G1213" s="82"/>
      <c r="H1213" s="83">
        <f>Source!AO241</f>
        <v>1890.58</v>
      </c>
      <c r="I1213" s="84">
        <f>ROUND(1.15*1.15,7)</f>
        <v>1.3225</v>
      </c>
      <c r="J1213" s="85">
        <f>ROUND(Source!AF241*Source!I241, 2)</f>
        <v>8</v>
      </c>
      <c r="K1213" s="84">
        <f>IF(Source!BA241&lt;&gt; 0, Source!BA241, 1)</f>
        <v>24.22</v>
      </c>
      <c r="L1213" s="86">
        <f>Source!HJ241</f>
        <v>194</v>
      </c>
    </row>
    <row r="1214" spans="1:56" ht="14.4">
      <c r="A1214" s="110"/>
      <c r="B1214" s="112">
        <v>3</v>
      </c>
      <c r="C1214" s="111" t="s">
        <v>1374</v>
      </c>
      <c r="D1214" s="81"/>
      <c r="E1214" s="82"/>
      <c r="F1214" s="82"/>
      <c r="G1214" s="82"/>
      <c r="H1214" s="83">
        <f>Source!AM241</f>
        <v>35.51</v>
      </c>
      <c r="I1214" s="84">
        <f>ROUND(1.25*1.15,7)</f>
        <v>1.4375</v>
      </c>
      <c r="J1214" s="85">
        <f>ROUND(Source!AD241*Source!I241, 2)</f>
        <v>0.16</v>
      </c>
      <c r="K1214" s="84"/>
      <c r="L1214" s="86"/>
    </row>
    <row r="1215" spans="1:56" ht="14.4">
      <c r="A1215" s="110"/>
      <c r="B1215" s="112">
        <v>2</v>
      </c>
      <c r="C1215" s="111" t="s">
        <v>1375</v>
      </c>
      <c r="D1215" s="81"/>
      <c r="E1215" s="82"/>
      <c r="F1215" s="82"/>
      <c r="G1215" s="82"/>
      <c r="H1215" s="83">
        <f>Source!AN241</f>
        <v>1.95</v>
      </c>
      <c r="I1215" s="84">
        <f>ROUND(1.25*1.15,7)</f>
        <v>1.4375</v>
      </c>
      <c r="J1215" s="87">
        <f>ROUND(Source!AE241*Source!I241, 2)</f>
        <v>0.01</v>
      </c>
      <c r="K1215" s="84">
        <f>IF(Source!BS241&lt;&gt; 0, Source!BS241, 1)</f>
        <v>24.22</v>
      </c>
      <c r="L1215" s="88">
        <f>Source!HI241</f>
        <v>0</v>
      </c>
    </row>
    <row r="1216" spans="1:56" ht="14.4">
      <c r="A1216" s="110"/>
      <c r="B1216" s="112">
        <v>4</v>
      </c>
      <c r="C1216" s="111" t="s">
        <v>1408</v>
      </c>
      <c r="D1216" s="81"/>
      <c r="E1216" s="82"/>
      <c r="F1216" s="82"/>
      <c r="G1216" s="82"/>
      <c r="H1216" s="83">
        <f>Source!AL241</f>
        <v>7391.71</v>
      </c>
      <c r="I1216" s="84"/>
      <c r="J1216" s="85">
        <f>ROUND(Source!AC241*Source!I241, 2)</f>
        <v>23.65</v>
      </c>
      <c r="K1216" s="84"/>
      <c r="L1216" s="86"/>
    </row>
    <row r="1217" spans="1:56" ht="14.4">
      <c r="A1217" s="110"/>
      <c r="B1217" s="111"/>
      <c r="C1217" s="111" t="s">
        <v>1376</v>
      </c>
      <c r="D1217" s="81" t="s">
        <v>1377</v>
      </c>
      <c r="E1217" s="82">
        <f>Source!AQ241</f>
        <v>215.82</v>
      </c>
      <c r="F1217" s="82">
        <f>ROUND(1.15*1.15,7)</f>
        <v>1.3225</v>
      </c>
      <c r="G1217" s="82">
        <f>ROUND(Source!U241, 7)</f>
        <v>0.9133502</v>
      </c>
      <c r="H1217" s="83"/>
      <c r="I1217" s="84"/>
      <c r="J1217" s="85"/>
      <c r="K1217" s="84"/>
      <c r="L1217" s="86"/>
    </row>
    <row r="1218" spans="1:56" ht="14.4">
      <c r="A1218" s="110"/>
      <c r="B1218" s="111"/>
      <c r="C1218" s="113" t="s">
        <v>1378</v>
      </c>
      <c r="D1218" s="89" t="s">
        <v>1377</v>
      </c>
      <c r="E1218" s="90">
        <f>Source!AR241</f>
        <v>0.15</v>
      </c>
      <c r="F1218" s="90">
        <f>ROUND(1.25*1.15,7)</f>
        <v>1.4375</v>
      </c>
      <c r="G1218" s="90">
        <f>ROUND(Source!V241, 7)</f>
        <v>6.8999999999999997E-4</v>
      </c>
      <c r="H1218" s="91"/>
      <c r="I1218" s="92"/>
      <c r="J1218" s="93"/>
      <c r="K1218" s="92"/>
      <c r="L1218" s="94"/>
    </row>
    <row r="1219" spans="1:56" ht="14.4">
      <c r="A1219" s="110"/>
      <c r="B1219" s="111"/>
      <c r="C1219" s="111" t="s">
        <v>1379</v>
      </c>
      <c r="D1219" s="81"/>
      <c r="E1219" s="82"/>
      <c r="F1219" s="82"/>
      <c r="G1219" s="82"/>
      <c r="H1219" s="83">
        <f>H1213+H1214+H1216</f>
        <v>9317.7999999999993</v>
      </c>
      <c r="I1219" s="84"/>
      <c r="J1219" s="85">
        <f>J1213+J1214+J1216</f>
        <v>31.81</v>
      </c>
      <c r="K1219" s="84"/>
      <c r="L1219" s="86"/>
    </row>
    <row r="1220" spans="1:56" ht="14.4">
      <c r="A1220" s="110"/>
      <c r="B1220" s="111"/>
      <c r="C1220" s="111" t="s">
        <v>1380</v>
      </c>
      <c r="D1220" s="81"/>
      <c r="E1220" s="82"/>
      <c r="F1220" s="82"/>
      <c r="G1220" s="82"/>
      <c r="H1220" s="83"/>
      <c r="I1220" s="84"/>
      <c r="J1220" s="85">
        <f>SUM(Q1210:Q1223)+SUM(V1210:V1223)</f>
        <v>8.01</v>
      </c>
      <c r="K1220" s="84"/>
      <c r="L1220" s="86">
        <f>SUM(U1210:U1223)+SUM(W1210:W1223)</f>
        <v>194</v>
      </c>
    </row>
    <row r="1221" spans="1:56" ht="41.4">
      <c r="A1221" s="110"/>
      <c r="B1221" s="111" t="s">
        <v>1522</v>
      </c>
      <c r="C1221" s="111" t="s">
        <v>1523</v>
      </c>
      <c r="D1221" s="81" t="s">
        <v>1383</v>
      </c>
      <c r="E1221" s="82">
        <f>Source!BZ241</f>
        <v>102</v>
      </c>
      <c r="F1221" s="82">
        <f>ROUND(0.9,7)</f>
        <v>0.9</v>
      </c>
      <c r="G1221" s="82">
        <f>Source!AT241</f>
        <v>91.8</v>
      </c>
      <c r="H1221" s="83"/>
      <c r="I1221" s="84"/>
      <c r="J1221" s="85">
        <f>SUM(AC1210:AC1223)</f>
        <v>7.35</v>
      </c>
      <c r="K1221" s="84"/>
      <c r="L1221" s="86">
        <f>SUM(AD1210:AD1223)</f>
        <v>178</v>
      </c>
    </row>
    <row r="1222" spans="1:56" ht="41.4">
      <c r="A1222" s="114"/>
      <c r="B1222" s="113" t="s">
        <v>1524</v>
      </c>
      <c r="C1222" s="113" t="s">
        <v>1525</v>
      </c>
      <c r="D1222" s="89" t="s">
        <v>1383</v>
      </c>
      <c r="E1222" s="90">
        <f>Source!CA241</f>
        <v>58</v>
      </c>
      <c r="F1222" s="90">
        <f>ROUND(0.85,7)</f>
        <v>0.85</v>
      </c>
      <c r="G1222" s="90">
        <f>Source!AU241</f>
        <v>49.3</v>
      </c>
      <c r="H1222" s="91"/>
      <c r="I1222" s="92"/>
      <c r="J1222" s="93">
        <f>SUM(AE1210:AE1223)</f>
        <v>3.95</v>
      </c>
      <c r="K1222" s="92"/>
      <c r="L1222" s="94">
        <f>SUM(AF1210:AF1223)</f>
        <v>96</v>
      </c>
    </row>
    <row r="1223" spans="1:56" ht="13.8">
      <c r="C1223" s="95" t="s">
        <v>1386</v>
      </c>
      <c r="D1223" s="95"/>
      <c r="E1223" s="95"/>
      <c r="F1223" s="95"/>
      <c r="G1223" s="95"/>
      <c r="H1223" s="95"/>
      <c r="I1223" s="95">
        <f>J1213+J1214+J1216+J1221+J1222</f>
        <v>43.11</v>
      </c>
      <c r="J1223" s="95"/>
      <c r="O1223" s="69">
        <f>I1223</f>
        <v>43.11</v>
      </c>
      <c r="P1223">
        <f>K1223</f>
        <v>0</v>
      </c>
      <c r="Q1223" s="69">
        <f>J1213</f>
        <v>8</v>
      </c>
      <c r="R1223" s="69">
        <f>J1213</f>
        <v>8</v>
      </c>
      <c r="U1223" s="70">
        <f>L1213</f>
        <v>194</v>
      </c>
      <c r="V1223" s="69">
        <f>J1215</f>
        <v>0.01</v>
      </c>
      <c r="W1223" s="70">
        <f>L1215</f>
        <v>0</v>
      </c>
      <c r="X1223" s="69">
        <f>J1214</f>
        <v>0.16</v>
      </c>
      <c r="Z1223" s="70">
        <f>L1214</f>
        <v>0</v>
      </c>
      <c r="AB1223" s="69">
        <f>J1216</f>
        <v>23.65</v>
      </c>
      <c r="AN1223">
        <f>IF(Source!BI241&lt;=1,J1213+J1214+J1216+J1221+J1222, 0)</f>
        <v>43.11</v>
      </c>
      <c r="AO1223">
        <f>IF(Source!BI241&lt;=1,J1216, 0)</f>
        <v>23.65</v>
      </c>
      <c r="AP1223">
        <f>IF(Source!BI241&lt;=1,J1214, 0)</f>
        <v>0.16</v>
      </c>
      <c r="AQ1223">
        <f>IF(Source!BI241&lt;=1,J1213, 0)</f>
        <v>8</v>
      </c>
      <c r="AX1223">
        <f>IF(Source!BI241=2,J1213+J1214+J1216+J1221+J1222, 0)</f>
        <v>0</v>
      </c>
      <c r="AY1223">
        <f>IF(Source!BI241=2,J1216, 0)</f>
        <v>0</v>
      </c>
      <c r="AZ1223">
        <f>IF(Source!BI241=2,J1214, 0)</f>
        <v>0</v>
      </c>
      <c r="BA1223">
        <f>IF(Source!BI241=2,J1213, 0)</f>
        <v>0</v>
      </c>
    </row>
    <row r="1224" spans="1:56" ht="134.4">
      <c r="A1224" s="110" t="str">
        <f>Source!E242</f>
        <v>127</v>
      </c>
      <c r="B1224" s="111" t="str">
        <f>Source!F242</f>
        <v>46-03-017-1</v>
      </c>
      <c r="C1224" s="111" t="s">
        <v>1526</v>
      </c>
      <c r="D1224" s="81" t="str">
        <f>Source!H242</f>
        <v>1 м3 заделки</v>
      </c>
      <c r="E1224" s="82">
        <f>Source!K242</f>
        <v>0.91</v>
      </c>
      <c r="F1224" s="82"/>
      <c r="G1224" s="82">
        <f>Source!I242</f>
        <v>0.91</v>
      </c>
      <c r="H1224" s="83"/>
      <c r="I1224" s="84"/>
      <c r="J1224" s="85"/>
      <c r="K1224" s="84"/>
      <c r="L1224" s="86"/>
      <c r="AC1224">
        <f>Source!X242</f>
        <v>464.35</v>
      </c>
      <c r="AD1224">
        <f>Source!HK242</f>
        <v>11247</v>
      </c>
      <c r="AE1224">
        <f>Source!Y242</f>
        <v>464.35</v>
      </c>
      <c r="AF1224">
        <f>Source!HL242</f>
        <v>11247</v>
      </c>
      <c r="AS1224">
        <f>IF(Source!BI242&lt;=1,AD1224, 0)</f>
        <v>11247</v>
      </c>
      <c r="AT1224">
        <f>IF(Source!BI242&lt;=1,AF1224, 0)</f>
        <v>11247</v>
      </c>
      <c r="BC1224">
        <f>IF(Source!BI242=2,AD1224, 0)</f>
        <v>0</v>
      </c>
      <c r="BD1224">
        <f>IF(Source!BI242=2,AF1224, 0)</f>
        <v>0</v>
      </c>
    </row>
    <row r="1226" spans="1:56">
      <c r="C1226" s="67" t="str">
        <f>"Объем: "&amp;Source!K242&amp;"=0,01+"&amp;"0,9"</f>
        <v>Объем: 0,91=0,01+0,9</v>
      </c>
    </row>
    <row r="1227" spans="1:56" ht="14.4">
      <c r="A1227" s="110"/>
      <c r="B1227" s="112">
        <v>1</v>
      </c>
      <c r="C1227" s="111" t="s">
        <v>1373</v>
      </c>
      <c r="D1227" s="81"/>
      <c r="E1227" s="82"/>
      <c r="F1227" s="82"/>
      <c r="G1227" s="82"/>
      <c r="H1227" s="83">
        <f>Source!AO242</f>
        <v>430.8</v>
      </c>
      <c r="I1227" s="84">
        <f>ROUND(1.15,7)</f>
        <v>1.1499999999999999</v>
      </c>
      <c r="J1227" s="85">
        <f>ROUND(Source!AF242*Source!I242, 2)</f>
        <v>450.83</v>
      </c>
      <c r="K1227" s="84">
        <f>IF(Source!BA242&lt;&gt; 0, Source!BA242, 1)</f>
        <v>24.22</v>
      </c>
      <c r="L1227" s="86">
        <f>Source!HJ242</f>
        <v>10919</v>
      </c>
    </row>
    <row r="1228" spans="1:56" ht="14.4">
      <c r="A1228" s="110"/>
      <c r="B1228" s="112">
        <v>3</v>
      </c>
      <c r="C1228" s="111" t="s">
        <v>1374</v>
      </c>
      <c r="D1228" s="81"/>
      <c r="E1228" s="82"/>
      <c r="F1228" s="82"/>
      <c r="G1228" s="82"/>
      <c r="H1228" s="83">
        <f>Source!AM242</f>
        <v>22.74</v>
      </c>
      <c r="I1228" s="84">
        <f>ROUND(1.15,7)</f>
        <v>1.1499999999999999</v>
      </c>
      <c r="J1228" s="85">
        <f>ROUND(Source!AD242*Source!I242, 2)</f>
        <v>23.8</v>
      </c>
      <c r="K1228" s="84"/>
      <c r="L1228" s="86"/>
    </row>
    <row r="1229" spans="1:56" ht="14.4">
      <c r="A1229" s="110"/>
      <c r="B1229" s="112">
        <v>4</v>
      </c>
      <c r="C1229" s="111" t="s">
        <v>1408</v>
      </c>
      <c r="D1229" s="81"/>
      <c r="E1229" s="82"/>
      <c r="F1229" s="82"/>
      <c r="G1229" s="82"/>
      <c r="H1229" s="83">
        <f>Source!AL242</f>
        <v>1315.55</v>
      </c>
      <c r="I1229" s="84"/>
      <c r="J1229" s="85">
        <f>ROUND(Source!AC242*Source!I242, 2)</f>
        <v>1197.1500000000001</v>
      </c>
      <c r="K1229" s="84"/>
      <c r="L1229" s="86"/>
    </row>
    <row r="1230" spans="1:56" ht="14.4">
      <c r="A1230" s="110"/>
      <c r="B1230" s="111"/>
      <c r="C1230" s="113" t="s">
        <v>1376</v>
      </c>
      <c r="D1230" s="89" t="s">
        <v>1377</v>
      </c>
      <c r="E1230" s="90">
        <f>Source!AQ242</f>
        <v>55.16</v>
      </c>
      <c r="F1230" s="90">
        <f>ROUND(1.15,7)</f>
        <v>1.1499999999999999</v>
      </c>
      <c r="G1230" s="90">
        <f>ROUND(Source!U242, 7)</f>
        <v>57.724939999999997</v>
      </c>
      <c r="H1230" s="91"/>
      <c r="I1230" s="92"/>
      <c r="J1230" s="93"/>
      <c r="K1230" s="92"/>
      <c r="L1230" s="94"/>
    </row>
    <row r="1231" spans="1:56" ht="14.4">
      <c r="A1231" s="110"/>
      <c r="B1231" s="111"/>
      <c r="C1231" s="111" t="s">
        <v>1379</v>
      </c>
      <c r="D1231" s="81"/>
      <c r="E1231" s="82"/>
      <c r="F1231" s="82"/>
      <c r="G1231" s="82"/>
      <c r="H1231" s="83">
        <f>H1227+H1228+H1229</f>
        <v>1769.09</v>
      </c>
      <c r="I1231" s="84"/>
      <c r="J1231" s="85">
        <f>J1227+J1228+J1229</f>
        <v>1671.7800000000002</v>
      </c>
      <c r="K1231" s="84"/>
      <c r="L1231" s="86"/>
    </row>
    <row r="1232" spans="1:56" ht="14.4">
      <c r="A1232" s="110"/>
      <c r="B1232" s="111"/>
      <c r="C1232" s="111" t="s">
        <v>1380</v>
      </c>
      <c r="D1232" s="81"/>
      <c r="E1232" s="82"/>
      <c r="F1232" s="82"/>
      <c r="G1232" s="82"/>
      <c r="H1232" s="83"/>
      <c r="I1232" s="84"/>
      <c r="J1232" s="85">
        <f>SUM(Q1224:Q1235)+SUM(V1224:V1235)</f>
        <v>450.83</v>
      </c>
      <c r="K1232" s="84"/>
      <c r="L1232" s="86">
        <f>SUM(U1224:U1235)+SUM(W1224:W1235)</f>
        <v>10919</v>
      </c>
    </row>
    <row r="1233" spans="1:56" ht="55.2">
      <c r="A1233" s="110"/>
      <c r="B1233" s="111" t="s">
        <v>1452</v>
      </c>
      <c r="C1233" s="111" t="s">
        <v>1453</v>
      </c>
      <c r="D1233" s="81" t="s">
        <v>1383</v>
      </c>
      <c r="E1233" s="82">
        <f>Source!BZ242</f>
        <v>103</v>
      </c>
      <c r="F1233" s="82"/>
      <c r="G1233" s="82">
        <f>Source!AT242</f>
        <v>103</v>
      </c>
      <c r="H1233" s="83"/>
      <c r="I1233" s="84"/>
      <c r="J1233" s="85">
        <f>SUM(AC1224:AC1235)</f>
        <v>464.35</v>
      </c>
      <c r="K1233" s="84"/>
      <c r="L1233" s="86">
        <f>SUM(AD1224:AD1235)</f>
        <v>11247</v>
      </c>
    </row>
    <row r="1234" spans="1:56" ht="55.2">
      <c r="A1234" s="114"/>
      <c r="B1234" s="113" t="s">
        <v>1454</v>
      </c>
      <c r="C1234" s="113" t="s">
        <v>1455</v>
      </c>
      <c r="D1234" s="89" t="s">
        <v>1383</v>
      </c>
      <c r="E1234" s="90">
        <f>Source!CA242</f>
        <v>59</v>
      </c>
      <c r="F1234" s="90"/>
      <c r="G1234" s="90">
        <f>Source!AU242</f>
        <v>103</v>
      </c>
      <c r="H1234" s="91"/>
      <c r="I1234" s="92"/>
      <c r="J1234" s="93">
        <f>SUM(AE1224:AE1235)</f>
        <v>464.35</v>
      </c>
      <c r="K1234" s="92"/>
      <c r="L1234" s="94">
        <f>SUM(AF1224:AF1235)</f>
        <v>11247</v>
      </c>
    </row>
    <row r="1235" spans="1:56" ht="13.8">
      <c r="C1235" s="95" t="s">
        <v>1386</v>
      </c>
      <c r="D1235" s="95"/>
      <c r="E1235" s="95"/>
      <c r="F1235" s="95"/>
      <c r="G1235" s="95"/>
      <c r="H1235" s="95"/>
      <c r="I1235" s="95">
        <f>J1227+J1228+J1229+J1233+J1234</f>
        <v>2600.48</v>
      </c>
      <c r="J1235" s="95"/>
      <c r="O1235" s="69">
        <f>I1235</f>
        <v>2600.48</v>
      </c>
      <c r="P1235">
        <f>K1235</f>
        <v>0</v>
      </c>
      <c r="Q1235" s="69">
        <f>J1227</f>
        <v>450.83</v>
      </c>
      <c r="R1235" s="69">
        <f>J1227</f>
        <v>450.83</v>
      </c>
      <c r="U1235" s="70">
        <f>L1227</f>
        <v>10919</v>
      </c>
      <c r="V1235">
        <f>0</f>
        <v>0</v>
      </c>
      <c r="W1235">
        <f>0</f>
        <v>0</v>
      </c>
      <c r="X1235" s="69">
        <f>J1228</f>
        <v>23.8</v>
      </c>
      <c r="Z1235" s="70">
        <f>L1228</f>
        <v>0</v>
      </c>
      <c r="AB1235" s="69">
        <f>J1229</f>
        <v>1197.1500000000001</v>
      </c>
      <c r="AN1235">
        <f>IF(Source!BI242&lt;=1,J1227+J1228+J1229+J1233+J1234, 0)</f>
        <v>2600.48</v>
      </c>
      <c r="AO1235">
        <f>IF(Source!BI242&lt;=1,J1229, 0)</f>
        <v>1197.1500000000001</v>
      </c>
      <c r="AP1235">
        <f>IF(Source!BI242&lt;=1,J1228, 0)</f>
        <v>23.8</v>
      </c>
      <c r="AQ1235">
        <f>IF(Source!BI242&lt;=1,J1227, 0)</f>
        <v>450.83</v>
      </c>
      <c r="AX1235">
        <f>IF(Source!BI242=2,J1227+J1228+J1229+J1233+J1234, 0)</f>
        <v>0</v>
      </c>
      <c r="AY1235">
        <f>IF(Source!BI242=2,J1229, 0)</f>
        <v>0</v>
      </c>
      <c r="AZ1235">
        <f>IF(Source!BI242=2,J1228, 0)</f>
        <v>0</v>
      </c>
      <c r="BA1235">
        <f>IF(Source!BI242=2,J1227, 0)</f>
        <v>0</v>
      </c>
    </row>
    <row r="1236" spans="1:56" ht="27.6">
      <c r="A1236" s="110" t="str">
        <f>Source!E243</f>
        <v>128</v>
      </c>
      <c r="B1236" s="111" t="str">
        <f>Source!F243</f>
        <v>401-0066</v>
      </c>
      <c r="C1236" s="111" t="str">
        <f>Source!G243</f>
        <v>Бетон тяжелый, крупность заполнителя 20 мм, класс В15 (М200)</v>
      </c>
      <c r="D1236" s="81" t="str">
        <f>Source!H243</f>
        <v>м3</v>
      </c>
      <c r="E1236" s="82">
        <f>Source!K243</f>
        <v>-0.94640000000000002</v>
      </c>
      <c r="F1236" s="82"/>
      <c r="G1236" s="82">
        <f>Source!I243</f>
        <v>-0.94640000000000002</v>
      </c>
      <c r="H1236" s="83">
        <f>Source!AL243</f>
        <v>781.01</v>
      </c>
      <c r="I1236" s="84"/>
      <c r="J1236" s="85">
        <f>ROUND(Source!AC243*Source!I243, 2)</f>
        <v>-739.15</v>
      </c>
      <c r="K1236" s="84"/>
      <c r="L1236" s="86"/>
      <c r="AC1236">
        <f>Source!X243</f>
        <v>0</v>
      </c>
      <c r="AD1236">
        <f>Source!HK243</f>
        <v>0</v>
      </c>
      <c r="AE1236">
        <f>Source!Y243</f>
        <v>0</v>
      </c>
      <c r="AF1236">
        <f>Source!HL243</f>
        <v>0</v>
      </c>
      <c r="AS1236">
        <f>IF(Source!BI243&lt;=1,AD1236, 0)</f>
        <v>0</v>
      </c>
      <c r="AT1236">
        <f>IF(Source!BI243&lt;=1,AF1236, 0)</f>
        <v>0</v>
      </c>
      <c r="BC1236">
        <f>IF(Source!BI243=2,AD1236, 0)</f>
        <v>0</v>
      </c>
      <c r="BD1236">
        <f>IF(Source!BI243=2,AF1236, 0)</f>
        <v>0</v>
      </c>
    </row>
    <row r="1238" spans="1:56">
      <c r="A1238" s="71"/>
      <c r="B1238" s="71"/>
      <c r="C1238" s="72" t="str">
        <f>"Объем: "&amp;Source!K243&amp;"="&amp;Source!I242&amp;"*"&amp;"-"&amp;"1,04"</f>
        <v>Объем: -0,9464=0,91*-1,04</v>
      </c>
      <c r="D1238" s="71"/>
      <c r="E1238" s="71"/>
      <c r="F1238" s="71"/>
      <c r="G1238" s="71"/>
      <c r="H1238" s="71"/>
      <c r="I1238" s="71"/>
      <c r="J1238" s="71"/>
      <c r="K1238" s="71"/>
      <c r="L1238" s="71"/>
    </row>
    <row r="1239" spans="1:56" ht="13.8">
      <c r="C1239" s="95" t="s">
        <v>1386</v>
      </c>
      <c r="D1239" s="95"/>
      <c r="E1239" s="95"/>
      <c r="F1239" s="95"/>
      <c r="G1239" s="95"/>
      <c r="H1239" s="95"/>
      <c r="I1239" s="95">
        <f>J1236</f>
        <v>-739.15</v>
      </c>
      <c r="J1239" s="95"/>
      <c r="O1239" s="69">
        <f>I1239</f>
        <v>-739.15</v>
      </c>
      <c r="P1239">
        <f>K1239</f>
        <v>0</v>
      </c>
      <c r="Q1239">
        <f>0</f>
        <v>0</v>
      </c>
      <c r="R1239">
        <f>0</f>
        <v>0</v>
      </c>
      <c r="U1239">
        <f>0</f>
        <v>0</v>
      </c>
      <c r="V1239">
        <f>0</f>
        <v>0</v>
      </c>
      <c r="W1239">
        <f>0</f>
        <v>0</v>
      </c>
      <c r="X1239">
        <f>0</f>
        <v>0</v>
      </c>
      <c r="Z1239">
        <f>0</f>
        <v>0</v>
      </c>
      <c r="AB1239" s="69">
        <f>I1239</f>
        <v>-739.15</v>
      </c>
      <c r="AN1239">
        <f>IF(Source!BI243&lt;=1,J1236, 0)</f>
        <v>-739.15</v>
      </c>
      <c r="AO1239">
        <f>IF(Source!BI243&lt;=1,I1239, 0)</f>
        <v>-739.15</v>
      </c>
      <c r="AP1239">
        <f>IF(Source!BI243&lt;=1,0, 0)</f>
        <v>0</v>
      </c>
      <c r="AQ1239">
        <f>IF(Source!BI243&lt;=1,0, 0)</f>
        <v>0</v>
      </c>
      <c r="AX1239">
        <f>IF(Source!BI243=2,J1236, 0)</f>
        <v>0</v>
      </c>
      <c r="AY1239">
        <f>IF(Source!BI243=2,I1239, 0)</f>
        <v>0</v>
      </c>
      <c r="AZ1239">
        <f>IF(Source!BI243=2,0, 0)</f>
        <v>0</v>
      </c>
      <c r="BA1239">
        <f>IF(Source!BI243=2,0, 0)</f>
        <v>0</v>
      </c>
    </row>
    <row r="1240" spans="1:56" ht="27.6">
      <c r="A1240" s="110" t="str">
        <f>Source!E244</f>
        <v>129</v>
      </c>
      <c r="B1240" s="111" t="str">
        <f>Source!F244</f>
        <v>402-0003</v>
      </c>
      <c r="C1240" s="111" t="str">
        <f>Source!G244</f>
        <v>Раствор готовый кладочный цементный марки 75</v>
      </c>
      <c r="D1240" s="81" t="str">
        <f>Source!H244</f>
        <v>м3</v>
      </c>
      <c r="E1240" s="82">
        <f>Source!K244</f>
        <v>0.94640000000000002</v>
      </c>
      <c r="F1240" s="82"/>
      <c r="G1240" s="82">
        <f>Source!I244</f>
        <v>0.94640000000000002</v>
      </c>
      <c r="H1240" s="83">
        <f>Source!AL244</f>
        <v>497.64</v>
      </c>
      <c r="I1240" s="84"/>
      <c r="J1240" s="85">
        <f>ROUND(Source!AC244*Source!I244, 2)</f>
        <v>470.97</v>
      </c>
      <c r="K1240" s="84"/>
      <c r="L1240" s="86"/>
      <c r="AC1240">
        <f>Source!X244</f>
        <v>0</v>
      </c>
      <c r="AD1240">
        <f>Source!HK244</f>
        <v>0</v>
      </c>
      <c r="AE1240">
        <f>Source!Y244</f>
        <v>0</v>
      </c>
      <c r="AF1240">
        <f>Source!HL244</f>
        <v>0</v>
      </c>
      <c r="AS1240">
        <f>IF(Source!BI244&lt;=1,AD1240, 0)</f>
        <v>0</v>
      </c>
      <c r="AT1240">
        <f>IF(Source!BI244&lt;=1,AF1240, 0)</f>
        <v>0</v>
      </c>
      <c r="BC1240">
        <f>IF(Source!BI244=2,AD1240, 0)</f>
        <v>0</v>
      </c>
      <c r="BD1240">
        <f>IF(Source!BI244=2,AF1240, 0)</f>
        <v>0</v>
      </c>
    </row>
    <row r="1241" spans="1:56">
      <c r="A1241" s="71"/>
      <c r="B1241" s="71"/>
      <c r="C1241" s="71"/>
      <c r="D1241" s="71"/>
      <c r="E1241" s="71"/>
      <c r="F1241" s="71"/>
      <c r="G1241" s="71"/>
      <c r="H1241" s="71"/>
      <c r="I1241" s="71"/>
      <c r="J1241" s="71"/>
      <c r="K1241" s="71"/>
      <c r="L1241" s="71"/>
    </row>
    <row r="1242" spans="1:56" ht="13.8">
      <c r="C1242" s="95" t="s">
        <v>1386</v>
      </c>
      <c r="D1242" s="95"/>
      <c r="E1242" s="95"/>
      <c r="F1242" s="95"/>
      <c r="G1242" s="95"/>
      <c r="H1242" s="95"/>
      <c r="I1242" s="95">
        <f>J1240</f>
        <v>470.97</v>
      </c>
      <c r="J1242" s="95"/>
      <c r="O1242" s="69">
        <f>I1242</f>
        <v>470.97</v>
      </c>
      <c r="P1242">
        <f>K1242</f>
        <v>0</v>
      </c>
      <c r="Q1242">
        <f>0</f>
        <v>0</v>
      </c>
      <c r="R1242">
        <f>0</f>
        <v>0</v>
      </c>
      <c r="U1242">
        <f>0</f>
        <v>0</v>
      </c>
      <c r="V1242">
        <f>0</f>
        <v>0</v>
      </c>
      <c r="W1242">
        <f>0</f>
        <v>0</v>
      </c>
      <c r="X1242">
        <f>0</f>
        <v>0</v>
      </c>
      <c r="Z1242">
        <f>0</f>
        <v>0</v>
      </c>
      <c r="AB1242" s="69">
        <f>I1242</f>
        <v>470.97</v>
      </c>
      <c r="AN1242">
        <f>IF(Source!BI244&lt;=1,J1240, 0)</f>
        <v>470.97</v>
      </c>
      <c r="AO1242">
        <f>IF(Source!BI244&lt;=1,I1242, 0)</f>
        <v>470.97</v>
      </c>
      <c r="AP1242">
        <f>IF(Source!BI244&lt;=1,0, 0)</f>
        <v>0</v>
      </c>
      <c r="AQ1242">
        <f>IF(Source!BI244&lt;=1,0, 0)</f>
        <v>0</v>
      </c>
      <c r="AX1242">
        <f>IF(Source!BI244=2,J1240, 0)</f>
        <v>0</v>
      </c>
      <c r="AY1242">
        <f>IF(Source!BI244=2,I1242, 0)</f>
        <v>0</v>
      </c>
      <c r="AZ1242">
        <f>IF(Source!BI244=2,0, 0)</f>
        <v>0</v>
      </c>
      <c r="BA1242">
        <f>IF(Source!BI244=2,0, 0)</f>
        <v>0</v>
      </c>
    </row>
    <row r="1243" spans="1:56" ht="120.6">
      <c r="A1243" s="110" t="str">
        <f>Source!E245</f>
        <v>130</v>
      </c>
      <c r="B1243" s="111" t="str">
        <f>Source!F245</f>
        <v>69-2-1</v>
      </c>
      <c r="C1243" s="111" t="s">
        <v>1527</v>
      </c>
      <c r="D1243" s="81" t="str">
        <f>Source!H245</f>
        <v>100 отверстий</v>
      </c>
      <c r="E1243" s="82">
        <f>Source!K245</f>
        <v>4</v>
      </c>
      <c r="F1243" s="82"/>
      <c r="G1243" s="82">
        <f>Source!I245</f>
        <v>4</v>
      </c>
      <c r="H1243" s="83"/>
      <c r="I1243" s="84"/>
      <c r="J1243" s="85"/>
      <c r="K1243" s="84"/>
      <c r="L1243" s="86"/>
      <c r="AC1243">
        <f>Source!X245</f>
        <v>191.2</v>
      </c>
      <c r="AD1243">
        <f>Source!HK245</f>
        <v>4631</v>
      </c>
      <c r="AE1243">
        <f>Source!Y245</f>
        <v>91.45</v>
      </c>
      <c r="AF1243">
        <f>Source!HL245</f>
        <v>2215</v>
      </c>
      <c r="AS1243">
        <f>IF(Source!BI245&lt;=1,AD1243, 0)</f>
        <v>4631</v>
      </c>
      <c r="AT1243">
        <f>IF(Source!BI245&lt;=1,AF1243, 0)</f>
        <v>2215</v>
      </c>
      <c r="BC1243">
        <f>IF(Source!BI245=2,AD1243, 0)</f>
        <v>0</v>
      </c>
      <c r="BD1243">
        <f>IF(Source!BI245=2,AF1243, 0)</f>
        <v>0</v>
      </c>
    </row>
    <row r="1245" spans="1:56">
      <c r="C1245" s="67" t="str">
        <f>"Объем: "&amp;Source!K245&amp;"=400/"&amp;"100"</f>
        <v>Объем: 4=400/100</v>
      </c>
    </row>
    <row r="1246" spans="1:56" ht="14.4">
      <c r="A1246" s="110"/>
      <c r="B1246" s="112">
        <v>1</v>
      </c>
      <c r="C1246" s="111" t="s">
        <v>1373</v>
      </c>
      <c r="D1246" s="81"/>
      <c r="E1246" s="82"/>
      <c r="F1246" s="82"/>
      <c r="G1246" s="82"/>
      <c r="H1246" s="83">
        <f>Source!AO245</f>
        <v>45.18</v>
      </c>
      <c r="I1246" s="84">
        <f>ROUND(1.15,7)</f>
        <v>1.1499999999999999</v>
      </c>
      <c r="J1246" s="85">
        <f>ROUND(Source!AF245*Source!I245, 2)</f>
        <v>207.83</v>
      </c>
      <c r="K1246" s="84">
        <f>IF(Source!BA245&lt;&gt; 0, Source!BA245, 1)</f>
        <v>24.22</v>
      </c>
      <c r="L1246" s="86">
        <f>Source!HJ245</f>
        <v>5034</v>
      </c>
    </row>
    <row r="1247" spans="1:56" ht="14.4">
      <c r="A1247" s="110"/>
      <c r="B1247" s="112">
        <v>3</v>
      </c>
      <c r="C1247" s="111" t="s">
        <v>1374</v>
      </c>
      <c r="D1247" s="81"/>
      <c r="E1247" s="82"/>
      <c r="F1247" s="82"/>
      <c r="G1247" s="82"/>
      <c r="H1247" s="83">
        <f>Source!AM245</f>
        <v>10.28</v>
      </c>
      <c r="I1247" s="84">
        <f>ROUND(1.15,7)</f>
        <v>1.1499999999999999</v>
      </c>
      <c r="J1247" s="85">
        <f>ROUND(Source!AD245*Source!I245, 2)</f>
        <v>47.29</v>
      </c>
      <c r="K1247" s="84"/>
      <c r="L1247" s="86"/>
    </row>
    <row r="1248" spans="1:56" ht="14.4">
      <c r="A1248" s="110"/>
      <c r="B1248" s="111"/>
      <c r="C1248" s="113" t="s">
        <v>1376</v>
      </c>
      <c r="D1248" s="89" t="s">
        <v>1377</v>
      </c>
      <c r="E1248" s="90">
        <f>Source!AQ245</f>
        <v>5.49</v>
      </c>
      <c r="F1248" s="90">
        <f>ROUND(1.15,7)</f>
        <v>1.1499999999999999</v>
      </c>
      <c r="G1248" s="90">
        <f>ROUND(Source!U245, 7)</f>
        <v>25.254000000000001</v>
      </c>
      <c r="H1248" s="91"/>
      <c r="I1248" s="92"/>
      <c r="J1248" s="93"/>
      <c r="K1248" s="92"/>
      <c r="L1248" s="94"/>
    </row>
    <row r="1249" spans="1:56" ht="14.4">
      <c r="A1249" s="110"/>
      <c r="B1249" s="111"/>
      <c r="C1249" s="111" t="s">
        <v>1379</v>
      </c>
      <c r="D1249" s="81"/>
      <c r="E1249" s="82"/>
      <c r="F1249" s="82"/>
      <c r="G1249" s="82"/>
      <c r="H1249" s="83">
        <f>H1246+H1247</f>
        <v>55.46</v>
      </c>
      <c r="I1249" s="84"/>
      <c r="J1249" s="85">
        <f>J1246+J1247</f>
        <v>255.12</v>
      </c>
      <c r="K1249" s="84"/>
      <c r="L1249" s="86"/>
    </row>
    <row r="1250" spans="1:56" ht="14.4">
      <c r="A1250" s="110"/>
      <c r="B1250" s="111"/>
      <c r="C1250" s="111" t="s">
        <v>1380</v>
      </c>
      <c r="D1250" s="81"/>
      <c r="E1250" s="82"/>
      <c r="F1250" s="82"/>
      <c r="G1250" s="82"/>
      <c r="H1250" s="83"/>
      <c r="I1250" s="84"/>
      <c r="J1250" s="85">
        <f>SUM(Q1243:Q1253)+SUM(V1243:V1253)</f>
        <v>207.83</v>
      </c>
      <c r="K1250" s="84"/>
      <c r="L1250" s="86">
        <f>SUM(U1243:U1253)+SUM(W1243:W1253)</f>
        <v>5034</v>
      </c>
    </row>
    <row r="1251" spans="1:56" ht="27.6">
      <c r="A1251" s="110"/>
      <c r="B1251" s="111" t="s">
        <v>1466</v>
      </c>
      <c r="C1251" s="111" t="s">
        <v>1467</v>
      </c>
      <c r="D1251" s="81" t="s">
        <v>1383</v>
      </c>
      <c r="E1251" s="82">
        <f>Source!BZ245</f>
        <v>92</v>
      </c>
      <c r="F1251" s="82"/>
      <c r="G1251" s="82">
        <f>Source!AT245</f>
        <v>92</v>
      </c>
      <c r="H1251" s="83"/>
      <c r="I1251" s="84"/>
      <c r="J1251" s="85">
        <f>SUM(AC1243:AC1253)</f>
        <v>191.2</v>
      </c>
      <c r="K1251" s="84"/>
      <c r="L1251" s="86">
        <f>SUM(AD1243:AD1253)</f>
        <v>4631</v>
      </c>
    </row>
    <row r="1252" spans="1:56" ht="27.6">
      <c r="A1252" s="114"/>
      <c r="B1252" s="113" t="s">
        <v>1468</v>
      </c>
      <c r="C1252" s="113" t="s">
        <v>1469</v>
      </c>
      <c r="D1252" s="89" t="s">
        <v>1383</v>
      </c>
      <c r="E1252" s="90">
        <f>Source!CA245</f>
        <v>44</v>
      </c>
      <c r="F1252" s="90"/>
      <c r="G1252" s="90">
        <f>Source!AU245</f>
        <v>44</v>
      </c>
      <c r="H1252" s="91"/>
      <c r="I1252" s="92"/>
      <c r="J1252" s="93">
        <f>SUM(AE1243:AE1253)</f>
        <v>91.45</v>
      </c>
      <c r="K1252" s="92"/>
      <c r="L1252" s="94">
        <f>SUM(AF1243:AF1253)</f>
        <v>2215</v>
      </c>
    </row>
    <row r="1253" spans="1:56" ht="13.8">
      <c r="C1253" s="95" t="s">
        <v>1386</v>
      </c>
      <c r="D1253" s="95"/>
      <c r="E1253" s="95"/>
      <c r="F1253" s="95"/>
      <c r="G1253" s="95"/>
      <c r="H1253" s="95"/>
      <c r="I1253" s="95">
        <f>J1246+J1247+J1251+J1252</f>
        <v>537.77</v>
      </c>
      <c r="J1253" s="95"/>
      <c r="O1253" s="69">
        <f>I1253</f>
        <v>537.77</v>
      </c>
      <c r="P1253">
        <f>K1253</f>
        <v>0</v>
      </c>
      <c r="Q1253" s="69">
        <f>J1246</f>
        <v>207.83</v>
      </c>
      <c r="R1253" s="69">
        <f>J1246</f>
        <v>207.83</v>
      </c>
      <c r="U1253" s="70">
        <f>L1246</f>
        <v>5034</v>
      </c>
      <c r="V1253">
        <f>0</f>
        <v>0</v>
      </c>
      <c r="W1253">
        <f>0</f>
        <v>0</v>
      </c>
      <c r="X1253" s="69">
        <f>J1247</f>
        <v>47.29</v>
      </c>
      <c r="Z1253" s="70">
        <f>L1247</f>
        <v>0</v>
      </c>
      <c r="AB1253">
        <f>0</f>
        <v>0</v>
      </c>
      <c r="AN1253">
        <f>IF(Source!BI245&lt;=1,J1246+J1247+J1251+J1252, 0)</f>
        <v>537.77</v>
      </c>
      <c r="AO1253">
        <f>IF(Source!BI245&lt;=1,0, 0)</f>
        <v>0</v>
      </c>
      <c r="AP1253">
        <f>IF(Source!BI245&lt;=1,J1247, 0)</f>
        <v>47.29</v>
      </c>
      <c r="AQ1253">
        <f>IF(Source!BI245&lt;=1,J1246, 0)</f>
        <v>207.83</v>
      </c>
      <c r="AX1253">
        <f>IF(Source!BI245=2,J1246+J1247+J1251+J1252, 0)</f>
        <v>0</v>
      </c>
      <c r="AY1253">
        <f>IF(Source!BI245=2,0, 0)</f>
        <v>0</v>
      </c>
      <c r="AZ1253">
        <f>IF(Source!BI245=2,J1247, 0)</f>
        <v>0</v>
      </c>
      <c r="BA1253">
        <f>IF(Source!BI245=2,J1246, 0)</f>
        <v>0</v>
      </c>
    </row>
    <row r="1254" spans="1:56" ht="120.6">
      <c r="A1254" s="110" t="str">
        <f>Source!E246</f>
        <v>131</v>
      </c>
      <c r="B1254" s="111" t="str">
        <f>Source!F246</f>
        <v>69-2-2</v>
      </c>
      <c r="C1254" s="111" t="s">
        <v>1528</v>
      </c>
      <c r="D1254" s="81" t="str">
        <f>Source!H246</f>
        <v>100 отверстий</v>
      </c>
      <c r="E1254" s="82">
        <f>Source!K246</f>
        <v>4</v>
      </c>
      <c r="F1254" s="82"/>
      <c r="G1254" s="82">
        <f>Source!I246</f>
        <v>4</v>
      </c>
      <c r="H1254" s="83"/>
      <c r="I1254" s="84"/>
      <c r="J1254" s="85"/>
      <c r="K1254" s="84"/>
      <c r="L1254" s="86"/>
      <c r="AC1254">
        <f>Source!X246</f>
        <v>183.88</v>
      </c>
      <c r="AD1254">
        <f>Source!HK246</f>
        <v>4454</v>
      </c>
      <c r="AE1254">
        <f>Source!Y246</f>
        <v>87.94</v>
      </c>
      <c r="AF1254">
        <f>Source!HL246</f>
        <v>2130</v>
      </c>
      <c r="AS1254">
        <f>IF(Source!BI246&lt;=1,AD1254, 0)</f>
        <v>4454</v>
      </c>
      <c r="AT1254">
        <f>IF(Source!BI246&lt;=1,AF1254, 0)</f>
        <v>2130</v>
      </c>
      <c r="BC1254">
        <f>IF(Source!BI246=2,AD1254, 0)</f>
        <v>0</v>
      </c>
      <c r="BD1254">
        <f>IF(Source!BI246=2,AF1254, 0)</f>
        <v>0</v>
      </c>
    </row>
    <row r="1256" spans="1:56">
      <c r="C1256" s="67" t="str">
        <f>"Объем: "&amp;Source!K246&amp;"=400/"&amp;"100"</f>
        <v>Объем: 4=400/100</v>
      </c>
    </row>
    <row r="1257" spans="1:56" ht="14.4">
      <c r="A1257" s="110"/>
      <c r="B1257" s="112">
        <v>1</v>
      </c>
      <c r="C1257" s="111" t="s">
        <v>1373</v>
      </c>
      <c r="D1257" s="81"/>
      <c r="E1257" s="82"/>
      <c r="F1257" s="82"/>
      <c r="G1257" s="82"/>
      <c r="H1257" s="83">
        <f>Source!AO246</f>
        <v>43.45</v>
      </c>
      <c r="I1257" s="84">
        <f>ROUND(1.15,7)</f>
        <v>1.1499999999999999</v>
      </c>
      <c r="J1257" s="85">
        <f>ROUND(Source!AF246*Source!I246, 2)</f>
        <v>199.87</v>
      </c>
      <c r="K1257" s="84">
        <f>IF(Source!BA246&lt;&gt; 0, Source!BA246, 1)</f>
        <v>24.22</v>
      </c>
      <c r="L1257" s="86">
        <f>Source!HJ246</f>
        <v>4841</v>
      </c>
    </row>
    <row r="1258" spans="1:56" ht="14.4">
      <c r="A1258" s="110"/>
      <c r="B1258" s="112">
        <v>3</v>
      </c>
      <c r="C1258" s="111" t="s">
        <v>1374</v>
      </c>
      <c r="D1258" s="81"/>
      <c r="E1258" s="82"/>
      <c r="F1258" s="82"/>
      <c r="G1258" s="82"/>
      <c r="H1258" s="83">
        <f>Source!AM246</f>
        <v>9.8800000000000008</v>
      </c>
      <c r="I1258" s="84">
        <f>ROUND(1.15,7)</f>
        <v>1.1499999999999999</v>
      </c>
      <c r="J1258" s="85">
        <f>ROUND(Source!AD246*Source!I246, 2)</f>
        <v>45.45</v>
      </c>
      <c r="K1258" s="84"/>
      <c r="L1258" s="86"/>
    </row>
    <row r="1259" spans="1:56" ht="14.4">
      <c r="A1259" s="110"/>
      <c r="B1259" s="111"/>
      <c r="C1259" s="113" t="s">
        <v>1376</v>
      </c>
      <c r="D1259" s="89" t="s">
        <v>1377</v>
      </c>
      <c r="E1259" s="90">
        <f>Source!AQ246</f>
        <v>5.28</v>
      </c>
      <c r="F1259" s="90">
        <f>ROUND(1.15,7)</f>
        <v>1.1499999999999999</v>
      </c>
      <c r="G1259" s="90">
        <f>ROUND(Source!U246, 7)</f>
        <v>24.288</v>
      </c>
      <c r="H1259" s="91"/>
      <c r="I1259" s="92"/>
      <c r="J1259" s="93"/>
      <c r="K1259" s="92"/>
      <c r="L1259" s="94"/>
    </row>
    <row r="1260" spans="1:56" ht="14.4">
      <c r="A1260" s="110"/>
      <c r="B1260" s="111"/>
      <c r="C1260" s="111" t="s">
        <v>1379</v>
      </c>
      <c r="D1260" s="81"/>
      <c r="E1260" s="82"/>
      <c r="F1260" s="82"/>
      <c r="G1260" s="82"/>
      <c r="H1260" s="83">
        <f>H1257+H1258</f>
        <v>53.330000000000005</v>
      </c>
      <c r="I1260" s="84"/>
      <c r="J1260" s="85">
        <f>J1257+J1258</f>
        <v>245.32</v>
      </c>
      <c r="K1260" s="84"/>
      <c r="L1260" s="86"/>
    </row>
    <row r="1261" spans="1:56" ht="14.4">
      <c r="A1261" s="110"/>
      <c r="B1261" s="111"/>
      <c r="C1261" s="111" t="s">
        <v>1380</v>
      </c>
      <c r="D1261" s="81"/>
      <c r="E1261" s="82"/>
      <c r="F1261" s="82"/>
      <c r="G1261" s="82"/>
      <c r="H1261" s="83"/>
      <c r="I1261" s="84"/>
      <c r="J1261" s="85">
        <f>SUM(Q1254:Q1264)+SUM(V1254:V1264)</f>
        <v>199.87</v>
      </c>
      <c r="K1261" s="84"/>
      <c r="L1261" s="86">
        <f>SUM(U1254:U1264)+SUM(W1254:W1264)</f>
        <v>4841</v>
      </c>
    </row>
    <row r="1262" spans="1:56" ht="27.6">
      <c r="A1262" s="110"/>
      <c r="B1262" s="111" t="s">
        <v>1466</v>
      </c>
      <c r="C1262" s="111" t="s">
        <v>1467</v>
      </c>
      <c r="D1262" s="81" t="s">
        <v>1383</v>
      </c>
      <c r="E1262" s="82">
        <f>Source!BZ246</f>
        <v>92</v>
      </c>
      <c r="F1262" s="82"/>
      <c r="G1262" s="82">
        <f>Source!AT246</f>
        <v>92</v>
      </c>
      <c r="H1262" s="83"/>
      <c r="I1262" s="84"/>
      <c r="J1262" s="85">
        <f>SUM(AC1254:AC1264)</f>
        <v>183.88</v>
      </c>
      <c r="K1262" s="84"/>
      <c r="L1262" s="86">
        <f>SUM(AD1254:AD1264)</f>
        <v>4454</v>
      </c>
    </row>
    <row r="1263" spans="1:56" ht="27.6">
      <c r="A1263" s="114"/>
      <c r="B1263" s="113" t="s">
        <v>1468</v>
      </c>
      <c r="C1263" s="113" t="s">
        <v>1469</v>
      </c>
      <c r="D1263" s="89" t="s">
        <v>1383</v>
      </c>
      <c r="E1263" s="90">
        <f>Source!CA246</f>
        <v>44</v>
      </c>
      <c r="F1263" s="90"/>
      <c r="G1263" s="90">
        <f>Source!AU246</f>
        <v>44</v>
      </c>
      <c r="H1263" s="91"/>
      <c r="I1263" s="92"/>
      <c r="J1263" s="93">
        <f>SUM(AE1254:AE1264)</f>
        <v>87.94</v>
      </c>
      <c r="K1263" s="92"/>
      <c r="L1263" s="94">
        <f>SUM(AF1254:AF1264)</f>
        <v>2130</v>
      </c>
    </row>
    <row r="1264" spans="1:56" ht="13.8">
      <c r="C1264" s="95" t="s">
        <v>1386</v>
      </c>
      <c r="D1264" s="95"/>
      <c r="E1264" s="95"/>
      <c r="F1264" s="95"/>
      <c r="G1264" s="95"/>
      <c r="H1264" s="95"/>
      <c r="I1264" s="95">
        <f>J1257+J1258+J1262+J1263</f>
        <v>517.14</v>
      </c>
      <c r="J1264" s="95"/>
      <c r="O1264" s="69">
        <f>I1264</f>
        <v>517.14</v>
      </c>
      <c r="P1264">
        <f>K1264</f>
        <v>0</v>
      </c>
      <c r="Q1264" s="69">
        <f>J1257</f>
        <v>199.87</v>
      </c>
      <c r="R1264" s="69">
        <f>J1257</f>
        <v>199.87</v>
      </c>
      <c r="U1264" s="70">
        <f>L1257</f>
        <v>4841</v>
      </c>
      <c r="V1264">
        <f>0</f>
        <v>0</v>
      </c>
      <c r="W1264">
        <f>0</f>
        <v>0</v>
      </c>
      <c r="X1264" s="69">
        <f>J1258</f>
        <v>45.45</v>
      </c>
      <c r="Z1264" s="70">
        <f>L1258</f>
        <v>0</v>
      </c>
      <c r="AB1264">
        <f>0</f>
        <v>0</v>
      </c>
      <c r="AN1264">
        <f>IF(Source!BI246&lt;=1,J1257+J1258+J1262+J1263, 0)</f>
        <v>517.14</v>
      </c>
      <c r="AO1264">
        <f>IF(Source!BI246&lt;=1,0, 0)</f>
        <v>0</v>
      </c>
      <c r="AP1264">
        <f>IF(Source!BI246&lt;=1,J1258, 0)</f>
        <v>45.45</v>
      </c>
      <c r="AQ1264">
        <f>IF(Source!BI246&lt;=1,J1257, 0)</f>
        <v>199.87</v>
      </c>
      <c r="AX1264">
        <f>IF(Source!BI246=2,J1257+J1258+J1262+J1263, 0)</f>
        <v>0</v>
      </c>
      <c r="AY1264">
        <f>IF(Source!BI246=2,0, 0)</f>
        <v>0</v>
      </c>
      <c r="AZ1264">
        <f>IF(Source!BI246=2,J1258, 0)</f>
        <v>0</v>
      </c>
      <c r="BA1264">
        <f>IF(Source!BI246=2,J1257, 0)</f>
        <v>0</v>
      </c>
    </row>
    <row r="1265" spans="1:71" ht="147">
      <c r="A1265" s="110" t="str">
        <f>Source!E247</f>
        <v>132</v>
      </c>
      <c r="B1265" s="111" t="str">
        <f>Source!F247</f>
        <v>06-01-015-4</v>
      </c>
      <c r="C1265" s="111" t="s">
        <v>1529</v>
      </c>
      <c r="D1265" s="81" t="str">
        <f>Source!H247</f>
        <v>1 Т</v>
      </c>
      <c r="E1265" s="82">
        <f>Source!K247</f>
        <v>4.2518000000000002</v>
      </c>
      <c r="F1265" s="82"/>
      <c r="G1265" s="82">
        <f>Source!I247</f>
        <v>4.2518000000000002</v>
      </c>
      <c r="H1265" s="83"/>
      <c r="I1265" s="84"/>
      <c r="J1265" s="85"/>
      <c r="K1265" s="84"/>
      <c r="L1265" s="86"/>
      <c r="AC1265">
        <f>Source!X247</f>
        <v>1658.52</v>
      </c>
      <c r="AD1265">
        <f>Source!HK247</f>
        <v>40170</v>
      </c>
      <c r="AE1265">
        <f>Source!Y247</f>
        <v>890.69</v>
      </c>
      <c r="AF1265">
        <f>Source!HL247</f>
        <v>21573</v>
      </c>
      <c r="AS1265">
        <f>IF(Source!BI247&lt;=1,AD1265, 0)</f>
        <v>40170</v>
      </c>
      <c r="AT1265">
        <f>IF(Source!BI247&lt;=1,AF1265, 0)</f>
        <v>21573</v>
      </c>
      <c r="BC1265">
        <f>IF(Source!BI247=2,AD1265, 0)</f>
        <v>0</v>
      </c>
      <c r="BD1265">
        <f>IF(Source!BI247=2,AF1265, 0)</f>
        <v>0</v>
      </c>
    </row>
    <row r="1267" spans="1:71" ht="14.4">
      <c r="A1267" s="110"/>
      <c r="B1267" s="112">
        <v>1</v>
      </c>
      <c r="C1267" s="111" t="s">
        <v>1373</v>
      </c>
      <c r="D1267" s="81"/>
      <c r="E1267" s="82"/>
      <c r="F1267" s="82"/>
      <c r="G1267" s="82"/>
      <c r="H1267" s="83">
        <f>Source!AO247</f>
        <v>316.06</v>
      </c>
      <c r="I1267" s="84">
        <f>ROUND(1.15*1.15,7)</f>
        <v>1.3225</v>
      </c>
      <c r="J1267" s="85">
        <f>ROUND(Source!AF247*Source!I247, 2)</f>
        <v>1777.21</v>
      </c>
      <c r="K1267" s="84">
        <f>IF(Source!BA247&lt;&gt; 0, Source!BA247, 1)</f>
        <v>24.22</v>
      </c>
      <c r="L1267" s="86">
        <f>Source!HJ247</f>
        <v>43044</v>
      </c>
    </row>
    <row r="1268" spans="1:71" ht="14.4">
      <c r="A1268" s="110"/>
      <c r="B1268" s="112">
        <v>3</v>
      </c>
      <c r="C1268" s="111" t="s">
        <v>1374</v>
      </c>
      <c r="D1268" s="81"/>
      <c r="E1268" s="82"/>
      <c r="F1268" s="82"/>
      <c r="G1268" s="82"/>
      <c r="H1268" s="83">
        <f>Source!AM247</f>
        <v>77.069999999999993</v>
      </c>
      <c r="I1268" s="84">
        <f>ROUND(1.25*1.15,7)</f>
        <v>1.4375</v>
      </c>
      <c r="J1268" s="85">
        <f>ROUND(Source!AD247*Source!I247, 2)</f>
        <v>471.05</v>
      </c>
      <c r="K1268" s="84"/>
      <c r="L1268" s="86"/>
    </row>
    <row r="1269" spans="1:71" ht="14.4">
      <c r="A1269" s="110"/>
      <c r="B1269" s="112">
        <v>2</v>
      </c>
      <c r="C1269" s="111" t="s">
        <v>1375</v>
      </c>
      <c r="D1269" s="81"/>
      <c r="E1269" s="82"/>
      <c r="F1269" s="82"/>
      <c r="G1269" s="82"/>
      <c r="H1269" s="83">
        <f>Source!AN247</f>
        <v>4.82</v>
      </c>
      <c r="I1269" s="84">
        <f>ROUND(1.25*1.15,7)</f>
        <v>1.4375</v>
      </c>
      <c r="J1269" s="87">
        <f>ROUND(Source!AE247*Source!I247, 2)</f>
        <v>29.46</v>
      </c>
      <c r="K1269" s="84">
        <f>IF(Source!BS247&lt;&gt; 0, Source!BS247, 1)</f>
        <v>24.22</v>
      </c>
      <c r="L1269" s="88">
        <f>Source!HI247</f>
        <v>714</v>
      </c>
    </row>
    <row r="1270" spans="1:71" ht="14.4">
      <c r="A1270" s="110"/>
      <c r="B1270" s="112">
        <v>4</v>
      </c>
      <c r="C1270" s="111" t="s">
        <v>1408</v>
      </c>
      <c r="D1270" s="81"/>
      <c r="E1270" s="82"/>
      <c r="F1270" s="82"/>
      <c r="G1270" s="82"/>
      <c r="H1270" s="83">
        <f>Source!AL247</f>
        <v>7691.74</v>
      </c>
      <c r="I1270" s="84"/>
      <c r="J1270" s="85">
        <f>ROUND(Source!AC247*Source!I247, 2)</f>
        <v>32703.74</v>
      </c>
      <c r="K1270" s="84"/>
      <c r="L1270" s="86"/>
    </row>
    <row r="1271" spans="1:71" ht="14.4">
      <c r="A1271" s="110"/>
      <c r="B1271" s="111"/>
      <c r="C1271" s="111" t="s">
        <v>1376</v>
      </c>
      <c r="D1271" s="81" t="s">
        <v>1377</v>
      </c>
      <c r="E1271" s="82">
        <f>Source!AQ247</f>
        <v>36.08</v>
      </c>
      <c r="F1271" s="82">
        <f>ROUND(1.15*1.15,7)</f>
        <v>1.3225</v>
      </c>
      <c r="G1271" s="82">
        <f>ROUND(Source!U247, 7)</f>
        <v>202.87803840000001</v>
      </c>
      <c r="H1271" s="83"/>
      <c r="I1271" s="84"/>
      <c r="J1271" s="85"/>
      <c r="K1271" s="84"/>
      <c r="L1271" s="86"/>
    </row>
    <row r="1272" spans="1:71" ht="14.4">
      <c r="A1272" s="110"/>
      <c r="B1272" s="111"/>
      <c r="C1272" s="113" t="s">
        <v>1378</v>
      </c>
      <c r="D1272" s="89" t="s">
        <v>1377</v>
      </c>
      <c r="E1272" s="90">
        <f>Source!AR247</f>
        <v>0.37</v>
      </c>
      <c r="F1272" s="90">
        <f>ROUND(1.25*1.15,7)</f>
        <v>1.4375</v>
      </c>
      <c r="G1272" s="90">
        <f>ROUND(Source!V247, 7)</f>
        <v>2.2614261</v>
      </c>
      <c r="H1272" s="91"/>
      <c r="I1272" s="92"/>
      <c r="J1272" s="93"/>
      <c r="K1272" s="92"/>
      <c r="L1272" s="94"/>
    </row>
    <row r="1273" spans="1:71" ht="14.4">
      <c r="A1273" s="110"/>
      <c r="B1273" s="111"/>
      <c r="C1273" s="111" t="s">
        <v>1379</v>
      </c>
      <c r="D1273" s="81"/>
      <c r="E1273" s="82"/>
      <c r="F1273" s="82"/>
      <c r="G1273" s="82"/>
      <c r="H1273" s="83">
        <f>H1267+H1268+H1270</f>
        <v>8084.87</v>
      </c>
      <c r="I1273" s="84"/>
      <c r="J1273" s="85">
        <f>J1267+J1268+J1270</f>
        <v>34952</v>
      </c>
      <c r="K1273" s="84"/>
      <c r="L1273" s="86"/>
    </row>
    <row r="1274" spans="1:71" ht="14.4">
      <c r="A1274" s="110"/>
      <c r="B1274" s="111"/>
      <c r="C1274" s="111" t="s">
        <v>1380</v>
      </c>
      <c r="D1274" s="81"/>
      <c r="E1274" s="82"/>
      <c r="F1274" s="82"/>
      <c r="G1274" s="82"/>
      <c r="H1274" s="83"/>
      <c r="I1274" s="84"/>
      <c r="J1274" s="85">
        <f>SUM(Q1265:Q1277)+SUM(V1265:V1277)</f>
        <v>1806.67</v>
      </c>
      <c r="K1274" s="84"/>
      <c r="L1274" s="86">
        <f>SUM(U1265:U1277)+SUM(W1265:W1277)</f>
        <v>43758</v>
      </c>
    </row>
    <row r="1275" spans="1:71" ht="41.4">
      <c r="A1275" s="110"/>
      <c r="B1275" s="111" t="s">
        <v>1522</v>
      </c>
      <c r="C1275" s="111" t="s">
        <v>1523</v>
      </c>
      <c r="D1275" s="81" t="s">
        <v>1383</v>
      </c>
      <c r="E1275" s="82">
        <f>Source!BZ247</f>
        <v>102</v>
      </c>
      <c r="F1275" s="82">
        <f>ROUND(0.9,7)</f>
        <v>0.9</v>
      </c>
      <c r="G1275" s="82">
        <f>Source!AT247</f>
        <v>91.8</v>
      </c>
      <c r="H1275" s="83"/>
      <c r="I1275" s="84"/>
      <c r="J1275" s="85">
        <f>SUM(AC1265:AC1277)</f>
        <v>1658.52</v>
      </c>
      <c r="K1275" s="84"/>
      <c r="L1275" s="86">
        <f>SUM(AD1265:AD1277)</f>
        <v>40170</v>
      </c>
    </row>
    <row r="1276" spans="1:71" ht="41.4">
      <c r="A1276" s="114"/>
      <c r="B1276" s="113" t="s">
        <v>1524</v>
      </c>
      <c r="C1276" s="113" t="s">
        <v>1525</v>
      </c>
      <c r="D1276" s="89" t="s">
        <v>1383</v>
      </c>
      <c r="E1276" s="90">
        <f>Source!CA247</f>
        <v>58</v>
      </c>
      <c r="F1276" s="90">
        <f>ROUND(0.85,7)</f>
        <v>0.85</v>
      </c>
      <c r="G1276" s="90">
        <f>Source!AU247</f>
        <v>49.3</v>
      </c>
      <c r="H1276" s="91"/>
      <c r="I1276" s="92"/>
      <c r="J1276" s="93">
        <f>SUM(AE1265:AE1277)</f>
        <v>890.69</v>
      </c>
      <c r="K1276" s="92"/>
      <c r="L1276" s="94">
        <f>SUM(AF1265:AF1277)</f>
        <v>21573</v>
      </c>
    </row>
    <row r="1277" spans="1:71" ht="13.8">
      <c r="C1277" s="95" t="s">
        <v>1386</v>
      </c>
      <c r="D1277" s="95"/>
      <c r="E1277" s="95"/>
      <c r="F1277" s="95"/>
      <c r="G1277" s="95"/>
      <c r="H1277" s="95"/>
      <c r="I1277" s="95">
        <f>J1267+J1268+J1270+J1275+J1276</f>
        <v>37501.21</v>
      </c>
      <c r="J1277" s="95"/>
      <c r="O1277" s="69">
        <f>I1277</f>
        <v>37501.21</v>
      </c>
      <c r="P1277">
        <f>K1277</f>
        <v>0</v>
      </c>
      <c r="Q1277" s="69">
        <f>J1267</f>
        <v>1777.21</v>
      </c>
      <c r="R1277" s="69">
        <f>J1267</f>
        <v>1777.21</v>
      </c>
      <c r="U1277" s="70">
        <f>L1267</f>
        <v>43044</v>
      </c>
      <c r="V1277" s="69">
        <f>J1269</f>
        <v>29.46</v>
      </c>
      <c r="W1277" s="70">
        <f>L1269</f>
        <v>714</v>
      </c>
      <c r="X1277" s="69">
        <f>J1268</f>
        <v>471.05</v>
      </c>
      <c r="Z1277" s="70">
        <f>L1268</f>
        <v>0</v>
      </c>
      <c r="AB1277" s="69">
        <f>J1270</f>
        <v>32703.74</v>
      </c>
      <c r="AN1277">
        <f>IF(Source!BI247&lt;=1,J1267+J1268+J1270+J1275+J1276, 0)</f>
        <v>37501.21</v>
      </c>
      <c r="AO1277">
        <f>IF(Source!BI247&lt;=1,J1270, 0)</f>
        <v>32703.74</v>
      </c>
      <c r="AP1277">
        <f>IF(Source!BI247&lt;=1,J1268, 0)</f>
        <v>471.05</v>
      </c>
      <c r="AQ1277">
        <f>IF(Source!BI247&lt;=1,J1267, 0)</f>
        <v>1777.21</v>
      </c>
      <c r="AX1277">
        <f>IF(Source!BI247=2,J1267+J1268+J1270+J1275+J1276, 0)</f>
        <v>0</v>
      </c>
      <c r="AY1277">
        <f>IF(Source!BI247=2,J1270, 0)</f>
        <v>0</v>
      </c>
      <c r="AZ1277">
        <f>IF(Source!BI247=2,J1268, 0)</f>
        <v>0</v>
      </c>
      <c r="BA1277">
        <f>IF(Source!BI247=2,J1267, 0)</f>
        <v>0</v>
      </c>
    </row>
    <row r="1278" spans="1:71" ht="27.6">
      <c r="A1278" s="110" t="str">
        <f>Source!E248</f>
        <v>133</v>
      </c>
      <c r="B1278" s="111" t="str">
        <f>Source!F248</f>
        <v>ТЦ-14.4.00.00_69_0-02</v>
      </c>
      <c r="C1278" s="111" t="str">
        <f>Source!G248</f>
        <v>Клей анкерный  FIS V360S (3316,67/6,17)</v>
      </c>
      <c r="D1278" s="81" t="str">
        <f>Source!H248</f>
        <v>л</v>
      </c>
      <c r="E1278" s="82">
        <f>Source!K248</f>
        <v>540</v>
      </c>
      <c r="F1278" s="82"/>
      <c r="G1278" s="82">
        <f>Source!I248</f>
        <v>540</v>
      </c>
      <c r="H1278" s="83">
        <f>Source!AL248</f>
        <v>3316.67</v>
      </c>
      <c r="I1278" s="84"/>
      <c r="J1278" s="85">
        <f>Source!P248</f>
        <v>290275.84999999998</v>
      </c>
      <c r="K1278" s="84">
        <f>IF(Source!BC248&lt;&gt; 0, Source!BC248, 1)</f>
        <v>6.17</v>
      </c>
      <c r="L1278" s="86">
        <f>Source!HG248</f>
        <v>1791002</v>
      </c>
      <c r="AC1278">
        <f>Source!X248</f>
        <v>0</v>
      </c>
      <c r="AD1278">
        <f>Source!HK248</f>
        <v>0</v>
      </c>
      <c r="AE1278">
        <f>Source!Y248</f>
        <v>0</v>
      </c>
      <c r="AF1278">
        <f>Source!HL248</f>
        <v>0</v>
      </c>
      <c r="AS1278">
        <f>IF(Source!BI248&lt;=1,AD1278, 0)</f>
        <v>0</v>
      </c>
      <c r="AT1278">
        <f>IF(Source!BI248&lt;=1,AF1278, 0)</f>
        <v>0</v>
      </c>
      <c r="BC1278">
        <f>IF(Source!BI248=2,AD1278, 0)</f>
        <v>0</v>
      </c>
      <c r="BD1278">
        <f>IF(Source!BI248=2,AF1278, 0)</f>
        <v>0</v>
      </c>
    </row>
    <row r="1279" spans="1:71">
      <c r="A1279" s="71"/>
      <c r="B1279" s="71"/>
      <c r="C1279" s="71"/>
      <c r="D1279" s="71"/>
      <c r="E1279" s="71"/>
      <c r="F1279" s="71"/>
      <c r="G1279" s="71"/>
      <c r="H1279" s="71"/>
      <c r="I1279" s="71"/>
      <c r="J1279" s="71"/>
      <c r="K1279" s="71"/>
      <c r="L1279" s="71"/>
    </row>
    <row r="1280" spans="1:71" ht="13.8">
      <c r="C1280" s="95" t="s">
        <v>1386</v>
      </c>
      <c r="D1280" s="95"/>
      <c r="E1280" s="95"/>
      <c r="F1280" s="95"/>
      <c r="G1280" s="95"/>
      <c r="H1280" s="95"/>
      <c r="I1280" s="95">
        <f>J1278</f>
        <v>290275.84999999998</v>
      </c>
      <c r="J1280" s="95"/>
      <c r="K1280" s="96">
        <f>L1278</f>
        <v>1791002</v>
      </c>
      <c r="L1280" s="96"/>
      <c r="O1280" s="69">
        <f>I1280</f>
        <v>290275.84999999998</v>
      </c>
      <c r="P1280" s="70">
        <f>K1280</f>
        <v>1791002</v>
      </c>
      <c r="Q1280">
        <f>0</f>
        <v>0</v>
      </c>
      <c r="R1280">
        <f>0</f>
        <v>0</v>
      </c>
      <c r="U1280">
        <f>0</f>
        <v>0</v>
      </c>
      <c r="V1280">
        <f>0</f>
        <v>0</v>
      </c>
      <c r="W1280">
        <f>0</f>
        <v>0</v>
      </c>
      <c r="X1280">
        <f>0</f>
        <v>0</v>
      </c>
      <c r="Z1280">
        <f>0</f>
        <v>0</v>
      </c>
      <c r="AB1280" s="69">
        <f>I1280</f>
        <v>290275.84999999998</v>
      </c>
      <c r="AN1280">
        <f>IF(Source!BI248&lt;=1,J1278, 0)</f>
        <v>290275.84999999998</v>
      </c>
      <c r="AO1280">
        <f>IF(Source!BI248&lt;=1,I1280, 0)</f>
        <v>290275.84999999998</v>
      </c>
      <c r="AP1280">
        <f>IF(Source!BI248&lt;=1,0, 0)</f>
        <v>0</v>
      </c>
      <c r="AQ1280">
        <f>IF(Source!BI248&lt;=1,0, 0)</f>
        <v>0</v>
      </c>
      <c r="AX1280">
        <f>IF(Source!BI248=2,J1278, 0)</f>
        <v>0</v>
      </c>
      <c r="AY1280">
        <f>IF(Source!BI248=2,I1280, 0)</f>
        <v>0</v>
      </c>
      <c r="AZ1280">
        <f>IF(Source!BI248=2,0, 0)</f>
        <v>0</v>
      </c>
      <c r="BA1280">
        <f>IF(Source!BI248=2,0, 0)</f>
        <v>0</v>
      </c>
      <c r="BQ1280" s="69">
        <f>I1280</f>
        <v>290275.84999999998</v>
      </c>
      <c r="BS1280" s="70">
        <f>K1280</f>
        <v>1791002</v>
      </c>
    </row>
    <row r="1281" spans="1:56" ht="133.19999999999999">
      <c r="A1281" s="110" t="str">
        <f>Source!E249</f>
        <v>134</v>
      </c>
      <c r="B1281" s="111" t="str">
        <f>Source!F249</f>
        <v>08-02-001-7</v>
      </c>
      <c r="C1281" s="111" t="s">
        <v>1530</v>
      </c>
      <c r="D1281" s="81" t="str">
        <f>Source!H249</f>
        <v>1 м3 кладки</v>
      </c>
      <c r="E1281" s="82">
        <f>Source!K249</f>
        <v>46.5</v>
      </c>
      <c r="F1281" s="82"/>
      <c r="G1281" s="82">
        <f>Source!I249</f>
        <v>46.5</v>
      </c>
      <c r="H1281" s="83"/>
      <c r="I1281" s="84"/>
      <c r="J1281" s="85"/>
      <c r="K1281" s="84"/>
      <c r="L1281" s="86"/>
      <c r="AC1281">
        <f>Source!X249</f>
        <v>2888.39</v>
      </c>
      <c r="AD1281">
        <f>Source!HK249</f>
        <v>69957</v>
      </c>
      <c r="AE1281">
        <f>Source!Y249</f>
        <v>1711.15</v>
      </c>
      <c r="AF1281">
        <f>Source!HL249</f>
        <v>41444</v>
      </c>
      <c r="AS1281">
        <f>IF(Source!BI249&lt;=1,AD1281, 0)</f>
        <v>69957</v>
      </c>
      <c r="AT1281">
        <f>IF(Source!BI249&lt;=1,AF1281, 0)</f>
        <v>41444</v>
      </c>
      <c r="BC1281">
        <f>IF(Source!BI249=2,AD1281, 0)</f>
        <v>0</v>
      </c>
      <c r="BD1281">
        <f>IF(Source!BI249=2,AF1281, 0)</f>
        <v>0</v>
      </c>
    </row>
    <row r="1283" spans="1:56" ht="14.4">
      <c r="A1283" s="110"/>
      <c r="B1283" s="112">
        <v>1</v>
      </c>
      <c r="C1283" s="111" t="s">
        <v>1373</v>
      </c>
      <c r="D1283" s="81"/>
      <c r="E1283" s="82"/>
      <c r="F1283" s="82"/>
      <c r="G1283" s="82"/>
      <c r="H1283" s="83">
        <f>Source!AO249</f>
        <v>41.78</v>
      </c>
      <c r="I1283" s="84">
        <f>ROUND(1.15*1.15,7)</f>
        <v>1.3225</v>
      </c>
      <c r="J1283" s="85">
        <f>ROUND(Source!AF249*Source!I249, 2)</f>
        <v>2569.31</v>
      </c>
      <c r="K1283" s="84">
        <f>IF(Source!BA249&lt;&gt; 0, Source!BA249, 1)</f>
        <v>24.22</v>
      </c>
      <c r="L1283" s="86">
        <f>Source!HJ249</f>
        <v>62229</v>
      </c>
    </row>
    <row r="1284" spans="1:56" ht="14.4">
      <c r="A1284" s="110"/>
      <c r="B1284" s="112">
        <v>3</v>
      </c>
      <c r="C1284" s="111" t="s">
        <v>1374</v>
      </c>
      <c r="D1284" s="81"/>
      <c r="E1284" s="82"/>
      <c r="F1284" s="82"/>
      <c r="G1284" s="82"/>
      <c r="H1284" s="83">
        <f>Source!AM249</f>
        <v>34.369999999999997</v>
      </c>
      <c r="I1284" s="84">
        <f>ROUND(1.25*1.15,7)</f>
        <v>1.4375</v>
      </c>
      <c r="J1284" s="85">
        <f>ROUND(Source!AD249*Source!I249, 2)</f>
        <v>2297.42</v>
      </c>
      <c r="K1284" s="84"/>
      <c r="L1284" s="86"/>
    </row>
    <row r="1285" spans="1:56" ht="14.4">
      <c r="A1285" s="110"/>
      <c r="B1285" s="112">
        <v>2</v>
      </c>
      <c r="C1285" s="111" t="s">
        <v>1375</v>
      </c>
      <c r="D1285" s="81"/>
      <c r="E1285" s="82"/>
      <c r="F1285" s="82"/>
      <c r="G1285" s="82"/>
      <c r="H1285" s="83">
        <f>Source!AN249</f>
        <v>5.21</v>
      </c>
      <c r="I1285" s="84">
        <f>ROUND(1.25*1.15,7)</f>
        <v>1.4375</v>
      </c>
      <c r="J1285" s="87">
        <f>ROUND(Source!AE249*Source!I249, 2)</f>
        <v>348.26</v>
      </c>
      <c r="K1285" s="84">
        <f>IF(Source!BS249&lt;&gt; 0, Source!BS249, 1)</f>
        <v>24.22</v>
      </c>
      <c r="L1285" s="88">
        <f>Source!HI249</f>
        <v>8435</v>
      </c>
    </row>
    <row r="1286" spans="1:56" ht="14.4">
      <c r="A1286" s="110"/>
      <c r="B1286" s="112">
        <v>4</v>
      </c>
      <c r="C1286" s="111" t="s">
        <v>1408</v>
      </c>
      <c r="D1286" s="81"/>
      <c r="E1286" s="82"/>
      <c r="F1286" s="82"/>
      <c r="G1286" s="82"/>
      <c r="H1286" s="83">
        <f>Source!AL249</f>
        <v>758.44</v>
      </c>
      <c r="I1286" s="84"/>
      <c r="J1286" s="85">
        <f>ROUND(Source!AC249*Source!I249, 2)</f>
        <v>35267.46</v>
      </c>
      <c r="K1286" s="84"/>
      <c r="L1286" s="86"/>
    </row>
    <row r="1287" spans="1:56" ht="14.4">
      <c r="A1287" s="110"/>
      <c r="B1287" s="111"/>
      <c r="C1287" s="111" t="s">
        <v>1376</v>
      </c>
      <c r="D1287" s="81" t="s">
        <v>1377</v>
      </c>
      <c r="E1287" s="82">
        <f>Source!AQ249</f>
        <v>5.21</v>
      </c>
      <c r="F1287" s="82">
        <f>ROUND(1.15*1.15,7)</f>
        <v>1.3225</v>
      </c>
      <c r="G1287" s="82">
        <f>ROUND(Source!U249, 7)</f>
        <v>320.39546250000001</v>
      </c>
      <c r="H1287" s="83"/>
      <c r="I1287" s="84"/>
      <c r="J1287" s="85"/>
      <c r="K1287" s="84"/>
      <c r="L1287" s="86"/>
    </row>
    <row r="1288" spans="1:56" ht="14.4">
      <c r="A1288" s="110"/>
      <c r="B1288" s="111"/>
      <c r="C1288" s="113" t="s">
        <v>1378</v>
      </c>
      <c r="D1288" s="89" t="s">
        <v>1377</v>
      </c>
      <c r="E1288" s="90">
        <f>Source!AR249</f>
        <v>0.4</v>
      </c>
      <c r="F1288" s="90">
        <f>ROUND(1.25*1.15,7)</f>
        <v>1.4375</v>
      </c>
      <c r="G1288" s="90">
        <f>ROUND(Source!V249, 7)</f>
        <v>26.737500000000001</v>
      </c>
      <c r="H1288" s="91"/>
      <c r="I1288" s="92"/>
      <c r="J1288" s="93"/>
      <c r="K1288" s="92"/>
      <c r="L1288" s="94"/>
    </row>
    <row r="1289" spans="1:56" ht="14.4">
      <c r="A1289" s="110"/>
      <c r="B1289" s="111"/>
      <c r="C1289" s="111" t="s">
        <v>1379</v>
      </c>
      <c r="D1289" s="81"/>
      <c r="E1289" s="82"/>
      <c r="F1289" s="82"/>
      <c r="G1289" s="82"/>
      <c r="H1289" s="83">
        <f>H1283+H1284+H1286</f>
        <v>834.59</v>
      </c>
      <c r="I1289" s="84"/>
      <c r="J1289" s="85">
        <f>J1283+J1284+J1286</f>
        <v>40134.19</v>
      </c>
      <c r="K1289" s="84"/>
      <c r="L1289" s="86"/>
    </row>
    <row r="1290" spans="1:56" ht="14.4">
      <c r="A1290" s="110"/>
      <c r="B1290" s="111"/>
      <c r="C1290" s="111" t="s">
        <v>1380</v>
      </c>
      <c r="D1290" s="81"/>
      <c r="E1290" s="82"/>
      <c r="F1290" s="82"/>
      <c r="G1290" s="82"/>
      <c r="H1290" s="83"/>
      <c r="I1290" s="84"/>
      <c r="J1290" s="85">
        <f>SUM(Q1281:Q1293)+SUM(V1281:V1293)</f>
        <v>2917.5699999999997</v>
      </c>
      <c r="K1290" s="84"/>
      <c r="L1290" s="86">
        <f>SUM(U1281:U1293)+SUM(W1281:W1293)</f>
        <v>70664</v>
      </c>
    </row>
    <row r="1291" spans="1:56" ht="14.4">
      <c r="A1291" s="110"/>
      <c r="B1291" s="111" t="s">
        <v>1436</v>
      </c>
      <c r="C1291" s="111" t="s">
        <v>1437</v>
      </c>
      <c r="D1291" s="81" t="s">
        <v>1383</v>
      </c>
      <c r="E1291" s="82">
        <f>Source!BZ249</f>
        <v>110</v>
      </c>
      <c r="F1291" s="82">
        <f>ROUND(0.9,7)</f>
        <v>0.9</v>
      </c>
      <c r="G1291" s="82">
        <f>Source!AT249</f>
        <v>99</v>
      </c>
      <c r="H1291" s="83"/>
      <c r="I1291" s="84"/>
      <c r="J1291" s="85">
        <f>SUM(AC1281:AC1293)</f>
        <v>2888.39</v>
      </c>
      <c r="K1291" s="84"/>
      <c r="L1291" s="86">
        <f>SUM(AD1281:AD1293)</f>
        <v>69957</v>
      </c>
    </row>
    <row r="1292" spans="1:56" ht="14.4">
      <c r="A1292" s="114"/>
      <c r="B1292" s="113" t="s">
        <v>1438</v>
      </c>
      <c r="C1292" s="113" t="s">
        <v>1439</v>
      </c>
      <c r="D1292" s="89" t="s">
        <v>1383</v>
      </c>
      <c r="E1292" s="90">
        <f>Source!CA249</f>
        <v>69</v>
      </c>
      <c r="F1292" s="90">
        <f>ROUND(0.85,7)</f>
        <v>0.85</v>
      </c>
      <c r="G1292" s="90">
        <f>Source!AU249</f>
        <v>58.65</v>
      </c>
      <c r="H1292" s="91"/>
      <c r="I1292" s="92"/>
      <c r="J1292" s="93">
        <f>SUM(AE1281:AE1293)</f>
        <v>1711.15</v>
      </c>
      <c r="K1292" s="92"/>
      <c r="L1292" s="94">
        <f>SUM(AF1281:AF1293)</f>
        <v>41444</v>
      </c>
    </row>
    <row r="1293" spans="1:56" ht="13.8">
      <c r="C1293" s="95" t="s">
        <v>1386</v>
      </c>
      <c r="D1293" s="95"/>
      <c r="E1293" s="95"/>
      <c r="F1293" s="95"/>
      <c r="G1293" s="95"/>
      <c r="H1293" s="95"/>
      <c r="I1293" s="95">
        <f>J1283+J1284+J1286+J1291+J1292</f>
        <v>44733.73</v>
      </c>
      <c r="J1293" s="95"/>
      <c r="O1293" s="69">
        <f>I1293</f>
        <v>44733.73</v>
      </c>
      <c r="P1293">
        <f>K1293</f>
        <v>0</v>
      </c>
      <c r="Q1293" s="69">
        <f>J1283</f>
        <v>2569.31</v>
      </c>
      <c r="R1293" s="69">
        <f>J1283</f>
        <v>2569.31</v>
      </c>
      <c r="U1293" s="70">
        <f>L1283</f>
        <v>62229</v>
      </c>
      <c r="V1293" s="69">
        <f>J1285</f>
        <v>348.26</v>
      </c>
      <c r="W1293" s="70">
        <f>L1285</f>
        <v>8435</v>
      </c>
      <c r="X1293" s="69">
        <f>J1284</f>
        <v>2297.42</v>
      </c>
      <c r="Z1293" s="70">
        <f>L1284</f>
        <v>0</v>
      </c>
      <c r="AB1293" s="69">
        <f>J1286</f>
        <v>35267.46</v>
      </c>
      <c r="AN1293">
        <f>IF(Source!BI249&lt;=1,J1283+J1284+J1286+J1291+J1292, 0)</f>
        <v>44733.73</v>
      </c>
      <c r="AO1293">
        <f>IF(Source!BI249&lt;=1,J1286, 0)</f>
        <v>35267.46</v>
      </c>
      <c r="AP1293">
        <f>IF(Source!BI249&lt;=1,J1284, 0)</f>
        <v>2297.42</v>
      </c>
      <c r="AQ1293">
        <f>IF(Source!BI249&lt;=1,J1283, 0)</f>
        <v>2569.31</v>
      </c>
      <c r="AX1293">
        <f>IF(Source!BI249=2,J1283+J1284+J1286+J1291+J1292, 0)</f>
        <v>0</v>
      </c>
      <c r="AY1293">
        <f>IF(Source!BI249=2,J1286, 0)</f>
        <v>0</v>
      </c>
      <c r="AZ1293">
        <f>IF(Source!BI249=2,J1284, 0)</f>
        <v>0</v>
      </c>
      <c r="BA1293">
        <f>IF(Source!BI249=2,J1283, 0)</f>
        <v>0</v>
      </c>
    </row>
    <row r="1294" spans="1:56" ht="27.6">
      <c r="A1294" s="110" t="str">
        <f>Source!E250</f>
        <v>135</v>
      </c>
      <c r="B1294" s="111" t="str">
        <f>Source!F250</f>
        <v>404-0005</v>
      </c>
      <c r="C1294" s="111" t="str">
        <f>Source!G250</f>
        <v>Кирпич керамический одинарный, размером 250х120х65 мм, марка 100</v>
      </c>
      <c r="D1294" s="81" t="str">
        <f>Source!H250</f>
        <v>1000 шт.</v>
      </c>
      <c r="E1294" s="82">
        <f>Source!K250</f>
        <v>-18.3675</v>
      </c>
      <c r="F1294" s="82"/>
      <c r="G1294" s="82">
        <f>Source!I250</f>
        <v>-18.3675</v>
      </c>
      <c r="H1294" s="83">
        <f>Source!AL250</f>
        <v>1662.7</v>
      </c>
      <c r="I1294" s="84"/>
      <c r="J1294" s="85">
        <f>ROUND(Source!AC250*Source!I250, 2)</f>
        <v>-30539.64</v>
      </c>
      <c r="K1294" s="84"/>
      <c r="L1294" s="86"/>
      <c r="AC1294">
        <f>Source!X250</f>
        <v>0</v>
      </c>
      <c r="AD1294">
        <f>Source!HK250</f>
        <v>0</v>
      </c>
      <c r="AE1294">
        <f>Source!Y250</f>
        <v>0</v>
      </c>
      <c r="AF1294">
        <f>Source!HL250</f>
        <v>0</v>
      </c>
      <c r="AS1294">
        <f>IF(Source!BI250&lt;=1,AD1294, 0)</f>
        <v>0</v>
      </c>
      <c r="AT1294">
        <f>IF(Source!BI250&lt;=1,AF1294, 0)</f>
        <v>0</v>
      </c>
      <c r="BC1294">
        <f>IF(Source!BI250=2,AD1294, 0)</f>
        <v>0</v>
      </c>
      <c r="BD1294">
        <f>IF(Source!BI250=2,AF1294, 0)</f>
        <v>0</v>
      </c>
    </row>
    <row r="1296" spans="1:56">
      <c r="A1296" s="71"/>
      <c r="B1296" s="71"/>
      <c r="C1296" s="72" t="str">
        <f>"Объем: "&amp;Source!K250&amp;"="&amp;Source!I249&amp;"*"&amp;"-"&amp;"0,395"</f>
        <v>Объем: -18,3675=46,5*-0,395</v>
      </c>
      <c r="D1296" s="71"/>
      <c r="E1296" s="71"/>
      <c r="F1296" s="71"/>
      <c r="G1296" s="71"/>
      <c r="H1296" s="71"/>
      <c r="I1296" s="71"/>
      <c r="J1296" s="71"/>
      <c r="K1296" s="71"/>
      <c r="L1296" s="71"/>
    </row>
    <row r="1297" spans="1:56" ht="13.8">
      <c r="C1297" s="95" t="s">
        <v>1386</v>
      </c>
      <c r="D1297" s="95"/>
      <c r="E1297" s="95"/>
      <c r="F1297" s="95"/>
      <c r="G1297" s="95"/>
      <c r="H1297" s="95"/>
      <c r="I1297" s="95">
        <f>J1294</f>
        <v>-30539.64</v>
      </c>
      <c r="J1297" s="95"/>
      <c r="O1297" s="69">
        <f>I1297</f>
        <v>-30539.64</v>
      </c>
      <c r="P1297">
        <f>K1297</f>
        <v>0</v>
      </c>
      <c r="Q1297">
        <f>0</f>
        <v>0</v>
      </c>
      <c r="R1297">
        <f>0</f>
        <v>0</v>
      </c>
      <c r="U1297">
        <f>0</f>
        <v>0</v>
      </c>
      <c r="V1297">
        <f>0</f>
        <v>0</v>
      </c>
      <c r="W1297">
        <f>0</f>
        <v>0</v>
      </c>
      <c r="X1297">
        <f>0</f>
        <v>0</v>
      </c>
      <c r="Z1297">
        <f>0</f>
        <v>0</v>
      </c>
      <c r="AB1297" s="69">
        <f>I1297</f>
        <v>-30539.64</v>
      </c>
      <c r="AN1297">
        <f>IF(Source!BI250&lt;=1,J1294, 0)</f>
        <v>-30539.64</v>
      </c>
      <c r="AO1297">
        <f>IF(Source!BI250&lt;=1,I1297, 0)</f>
        <v>-30539.64</v>
      </c>
      <c r="AP1297">
        <f>IF(Source!BI250&lt;=1,0, 0)</f>
        <v>0</v>
      </c>
      <c r="AQ1297">
        <f>IF(Source!BI250&lt;=1,0, 0)</f>
        <v>0</v>
      </c>
      <c r="AX1297">
        <f>IF(Source!BI250=2,J1294, 0)</f>
        <v>0</v>
      </c>
      <c r="AY1297">
        <f>IF(Source!BI250=2,I1297, 0)</f>
        <v>0</v>
      </c>
      <c r="AZ1297">
        <f>IF(Source!BI250=2,0, 0)</f>
        <v>0</v>
      </c>
      <c r="BA1297">
        <f>IF(Source!BI250=2,0, 0)</f>
        <v>0</v>
      </c>
    </row>
    <row r="1298" spans="1:56" ht="27.6">
      <c r="A1298" s="110" t="str">
        <f>Source!E251</f>
        <v>136</v>
      </c>
      <c r="B1298" s="111" t="str">
        <f>Source!F251</f>
        <v>402-0013</v>
      </c>
      <c r="C1298" s="111" t="str">
        <f>Source!G251</f>
        <v>Раствор готовый кладочный цементно-известковый марки 50</v>
      </c>
      <c r="D1298" s="81" t="str">
        <f>Source!H251</f>
        <v>м3</v>
      </c>
      <c r="E1298" s="82">
        <f>Source!K251</f>
        <v>-10.881</v>
      </c>
      <c r="F1298" s="82"/>
      <c r="G1298" s="82">
        <f>Source!I251</f>
        <v>-10.881</v>
      </c>
      <c r="H1298" s="83">
        <f>Source!AL251</f>
        <v>428.17</v>
      </c>
      <c r="I1298" s="84"/>
      <c r="J1298" s="85">
        <f>ROUND(Source!AC251*Source!I251, 2)</f>
        <v>-4658.92</v>
      </c>
      <c r="K1298" s="84"/>
      <c r="L1298" s="86"/>
      <c r="AC1298">
        <f>Source!X251</f>
        <v>0</v>
      </c>
      <c r="AD1298">
        <f>Source!HK251</f>
        <v>0</v>
      </c>
      <c r="AE1298">
        <f>Source!Y251</f>
        <v>0</v>
      </c>
      <c r="AF1298">
        <f>Source!HL251</f>
        <v>0</v>
      </c>
      <c r="AS1298">
        <f>IF(Source!BI251&lt;=1,AD1298, 0)</f>
        <v>0</v>
      </c>
      <c r="AT1298">
        <f>IF(Source!BI251&lt;=1,AF1298, 0)</f>
        <v>0</v>
      </c>
      <c r="BC1298">
        <f>IF(Source!BI251=2,AD1298, 0)</f>
        <v>0</v>
      </c>
      <c r="BD1298">
        <f>IF(Source!BI251=2,AF1298, 0)</f>
        <v>0</v>
      </c>
    </row>
    <row r="1300" spans="1:56">
      <c r="A1300" s="71"/>
      <c r="B1300" s="71"/>
      <c r="C1300" s="72" t="str">
        <f>"Объем: "&amp;Source!K251&amp;"="&amp;Source!I249&amp;"*"&amp;"-"&amp;"0,234"</f>
        <v>Объем: -10,881=46,5*-0,234</v>
      </c>
      <c r="D1300" s="71"/>
      <c r="E1300" s="71"/>
      <c r="F1300" s="71"/>
      <c r="G1300" s="71"/>
      <c r="H1300" s="71"/>
      <c r="I1300" s="71"/>
      <c r="J1300" s="71"/>
      <c r="K1300" s="71"/>
      <c r="L1300" s="71"/>
    </row>
    <row r="1301" spans="1:56" ht="13.8">
      <c r="C1301" s="95" t="s">
        <v>1386</v>
      </c>
      <c r="D1301" s="95"/>
      <c r="E1301" s="95"/>
      <c r="F1301" s="95"/>
      <c r="G1301" s="95"/>
      <c r="H1301" s="95"/>
      <c r="I1301" s="95">
        <f>J1298</f>
        <v>-4658.92</v>
      </c>
      <c r="J1301" s="95"/>
      <c r="O1301" s="69">
        <f>I1301</f>
        <v>-4658.92</v>
      </c>
      <c r="P1301">
        <f>K1301</f>
        <v>0</v>
      </c>
      <c r="Q1301">
        <f>0</f>
        <v>0</v>
      </c>
      <c r="R1301">
        <f>0</f>
        <v>0</v>
      </c>
      <c r="U1301">
        <f>0</f>
        <v>0</v>
      </c>
      <c r="V1301">
        <f>0</f>
        <v>0</v>
      </c>
      <c r="W1301">
        <f>0</f>
        <v>0</v>
      </c>
      <c r="X1301">
        <f>0</f>
        <v>0</v>
      </c>
      <c r="Z1301">
        <f>0</f>
        <v>0</v>
      </c>
      <c r="AB1301" s="69">
        <f>I1301</f>
        <v>-4658.92</v>
      </c>
      <c r="AN1301">
        <f>IF(Source!BI251&lt;=1,J1298, 0)</f>
        <v>-4658.92</v>
      </c>
      <c r="AO1301">
        <f>IF(Source!BI251&lt;=1,I1301, 0)</f>
        <v>-4658.92</v>
      </c>
      <c r="AP1301">
        <f>IF(Source!BI251&lt;=1,0, 0)</f>
        <v>0</v>
      </c>
      <c r="AQ1301">
        <f>IF(Source!BI251&lt;=1,0, 0)</f>
        <v>0</v>
      </c>
      <c r="AX1301">
        <f>IF(Source!BI251=2,J1298, 0)</f>
        <v>0</v>
      </c>
      <c r="AY1301">
        <f>IF(Source!BI251=2,I1301, 0)</f>
        <v>0</v>
      </c>
      <c r="AZ1301">
        <f>IF(Source!BI251=2,0, 0)</f>
        <v>0</v>
      </c>
      <c r="BA1301">
        <f>IF(Source!BI251=2,0, 0)</f>
        <v>0</v>
      </c>
    </row>
    <row r="1302" spans="1:56" ht="27.6">
      <c r="A1302" s="110" t="str">
        <f>Source!E252</f>
        <v>137</v>
      </c>
      <c r="B1302" s="111" t="str">
        <f>Source!F252</f>
        <v>402-0015</v>
      </c>
      <c r="C1302" s="111" t="str">
        <f>Source!G252</f>
        <v>Раствор готовый кладочный цементно-известковый марки 100</v>
      </c>
      <c r="D1302" s="81" t="str">
        <f>Source!H252</f>
        <v>м3</v>
      </c>
      <c r="E1302" s="82">
        <f>Source!K252</f>
        <v>10.881</v>
      </c>
      <c r="F1302" s="82"/>
      <c r="G1302" s="82">
        <f>Source!I252</f>
        <v>10.881</v>
      </c>
      <c r="H1302" s="83">
        <f>Source!AL252</f>
        <v>483.76</v>
      </c>
      <c r="I1302" s="84"/>
      <c r="J1302" s="85">
        <f>ROUND(Source!AC252*Source!I252, 2)</f>
        <v>5263.79</v>
      </c>
      <c r="K1302" s="84"/>
      <c r="L1302" s="86"/>
      <c r="AC1302">
        <f>Source!X252</f>
        <v>0</v>
      </c>
      <c r="AD1302">
        <f>Source!HK252</f>
        <v>0</v>
      </c>
      <c r="AE1302">
        <f>Source!Y252</f>
        <v>0</v>
      </c>
      <c r="AF1302">
        <f>Source!HL252</f>
        <v>0</v>
      </c>
      <c r="AS1302">
        <f>IF(Source!BI252&lt;=1,AD1302, 0)</f>
        <v>0</v>
      </c>
      <c r="AT1302">
        <f>IF(Source!BI252&lt;=1,AF1302, 0)</f>
        <v>0</v>
      </c>
      <c r="BC1302">
        <f>IF(Source!BI252=2,AD1302, 0)</f>
        <v>0</v>
      </c>
      <c r="BD1302">
        <f>IF(Source!BI252=2,AF1302, 0)</f>
        <v>0</v>
      </c>
    </row>
    <row r="1303" spans="1:56">
      <c r="A1303" s="71"/>
      <c r="B1303" s="71"/>
      <c r="C1303" s="71"/>
      <c r="D1303" s="71"/>
      <c r="E1303" s="71"/>
      <c r="F1303" s="71"/>
      <c r="G1303" s="71"/>
      <c r="H1303" s="71"/>
      <c r="I1303" s="71"/>
      <c r="J1303" s="71"/>
      <c r="K1303" s="71"/>
      <c r="L1303" s="71"/>
    </row>
    <row r="1304" spans="1:56" ht="13.8">
      <c r="C1304" s="95" t="s">
        <v>1386</v>
      </c>
      <c r="D1304" s="95"/>
      <c r="E1304" s="95"/>
      <c r="F1304" s="95"/>
      <c r="G1304" s="95"/>
      <c r="H1304" s="95"/>
      <c r="I1304" s="95">
        <f>J1302</f>
        <v>5263.79</v>
      </c>
      <c r="J1304" s="95"/>
      <c r="O1304" s="69">
        <f>I1304</f>
        <v>5263.79</v>
      </c>
      <c r="P1304">
        <f>K1304</f>
        <v>0</v>
      </c>
      <c r="Q1304">
        <f>0</f>
        <v>0</v>
      </c>
      <c r="R1304">
        <f>0</f>
        <v>0</v>
      </c>
      <c r="U1304">
        <f>0</f>
        <v>0</v>
      </c>
      <c r="V1304">
        <f>0</f>
        <v>0</v>
      </c>
      <c r="W1304">
        <f>0</f>
        <v>0</v>
      </c>
      <c r="X1304">
        <f>0</f>
        <v>0</v>
      </c>
      <c r="Z1304">
        <f>0</f>
        <v>0</v>
      </c>
      <c r="AB1304" s="69">
        <f>I1304</f>
        <v>5263.79</v>
      </c>
      <c r="AN1304">
        <f>IF(Source!BI252&lt;=1,J1302, 0)</f>
        <v>5263.79</v>
      </c>
      <c r="AO1304">
        <f>IF(Source!BI252&lt;=1,I1304, 0)</f>
        <v>5263.79</v>
      </c>
      <c r="AP1304">
        <f>IF(Source!BI252&lt;=1,0, 0)</f>
        <v>0</v>
      </c>
      <c r="AQ1304">
        <f>IF(Source!BI252&lt;=1,0, 0)</f>
        <v>0</v>
      </c>
      <c r="AX1304">
        <f>IF(Source!BI252=2,J1302, 0)</f>
        <v>0</v>
      </c>
      <c r="AY1304">
        <f>IF(Source!BI252=2,I1304, 0)</f>
        <v>0</v>
      </c>
      <c r="AZ1304">
        <f>IF(Source!BI252=2,0, 0)</f>
        <v>0</v>
      </c>
      <c r="BA1304">
        <f>IF(Source!BI252=2,0, 0)</f>
        <v>0</v>
      </c>
    </row>
    <row r="1305" spans="1:56" ht="27.6">
      <c r="A1305" s="110" t="str">
        <f>Source!E253</f>
        <v>138</v>
      </c>
      <c r="B1305" s="111" t="str">
        <f>Source!F253</f>
        <v>404-0007</v>
      </c>
      <c r="C1305" s="111" t="str">
        <f>Source!G253</f>
        <v>Кирпич керамический одинарный, размером 250х120х65 мм, марка 150</v>
      </c>
      <c r="D1305" s="81" t="str">
        <f>Source!H253</f>
        <v>1000 шт.</v>
      </c>
      <c r="E1305" s="82">
        <f>Source!K253</f>
        <v>18.3675</v>
      </c>
      <c r="F1305" s="82"/>
      <c r="G1305" s="82">
        <f>Source!I253</f>
        <v>18.3675</v>
      </c>
      <c r="H1305" s="83">
        <f>Source!AL253</f>
        <v>1912.53</v>
      </c>
      <c r="I1305" s="84"/>
      <c r="J1305" s="85">
        <f>ROUND(Source!AC253*Source!I253, 2)</f>
        <v>35128.39</v>
      </c>
      <c r="K1305" s="84"/>
      <c r="L1305" s="86"/>
      <c r="AC1305">
        <f>Source!X253</f>
        <v>0</v>
      </c>
      <c r="AD1305">
        <f>Source!HK253</f>
        <v>0</v>
      </c>
      <c r="AE1305">
        <f>Source!Y253</f>
        <v>0</v>
      </c>
      <c r="AF1305">
        <f>Source!HL253</f>
        <v>0</v>
      </c>
      <c r="AS1305">
        <f>IF(Source!BI253&lt;=1,AD1305, 0)</f>
        <v>0</v>
      </c>
      <c r="AT1305">
        <f>IF(Source!BI253&lt;=1,AF1305, 0)</f>
        <v>0</v>
      </c>
      <c r="BC1305">
        <f>IF(Source!BI253=2,AD1305, 0)</f>
        <v>0</v>
      </c>
      <c r="BD1305">
        <f>IF(Source!BI253=2,AF1305, 0)</f>
        <v>0</v>
      </c>
    </row>
    <row r="1307" spans="1:56">
      <c r="A1307" s="71"/>
      <c r="B1307" s="71"/>
      <c r="C1307" s="72" t="str">
        <f>"Объем: "&amp;Source!K253&amp;"=(18367,5)/"&amp;"1000"</f>
        <v>Объем: 18,3675=(18367,5)/1000</v>
      </c>
      <c r="D1307" s="71"/>
      <c r="E1307" s="71"/>
      <c r="F1307" s="71"/>
      <c r="G1307" s="71"/>
      <c r="H1307" s="71"/>
      <c r="I1307" s="71"/>
      <c r="J1307" s="71"/>
      <c r="K1307" s="71"/>
      <c r="L1307" s="71"/>
    </row>
    <row r="1308" spans="1:56" ht="13.8">
      <c r="C1308" s="95" t="s">
        <v>1386</v>
      </c>
      <c r="D1308" s="95"/>
      <c r="E1308" s="95"/>
      <c r="F1308" s="95"/>
      <c r="G1308" s="95"/>
      <c r="H1308" s="95"/>
      <c r="I1308" s="95">
        <f>J1305</f>
        <v>35128.39</v>
      </c>
      <c r="J1308" s="95"/>
      <c r="O1308" s="69">
        <f>I1308</f>
        <v>35128.39</v>
      </c>
      <c r="P1308">
        <f>K1308</f>
        <v>0</v>
      </c>
      <c r="Q1308">
        <f>0</f>
        <v>0</v>
      </c>
      <c r="R1308">
        <f>0</f>
        <v>0</v>
      </c>
      <c r="U1308">
        <f>0</f>
        <v>0</v>
      </c>
      <c r="V1308">
        <f>0</f>
        <v>0</v>
      </c>
      <c r="W1308">
        <f>0</f>
        <v>0</v>
      </c>
      <c r="X1308">
        <f>0</f>
        <v>0</v>
      </c>
      <c r="Z1308">
        <f>0</f>
        <v>0</v>
      </c>
      <c r="AB1308" s="69">
        <f>I1308</f>
        <v>35128.39</v>
      </c>
      <c r="AN1308">
        <f>IF(Source!BI253&lt;=1,J1305, 0)</f>
        <v>35128.39</v>
      </c>
      <c r="AO1308">
        <f>IF(Source!BI253&lt;=1,I1308, 0)</f>
        <v>35128.39</v>
      </c>
      <c r="AP1308">
        <f>IF(Source!BI253&lt;=1,0, 0)</f>
        <v>0</v>
      </c>
      <c r="AQ1308">
        <f>IF(Source!BI253&lt;=1,0, 0)</f>
        <v>0</v>
      </c>
      <c r="AX1308">
        <f>IF(Source!BI253=2,J1305, 0)</f>
        <v>0</v>
      </c>
      <c r="AY1308">
        <f>IF(Source!BI253=2,I1308, 0)</f>
        <v>0</v>
      </c>
      <c r="AZ1308">
        <f>IF(Source!BI253=2,0, 0)</f>
        <v>0</v>
      </c>
      <c r="BA1308">
        <f>IF(Source!BI253=2,0, 0)</f>
        <v>0</v>
      </c>
    </row>
    <row r="1309" spans="1:56" ht="133.19999999999999">
      <c r="A1309" s="110" t="str">
        <f>Source!E254</f>
        <v>139</v>
      </c>
      <c r="B1309" s="111" t="str">
        <f>Source!F254</f>
        <v>08-02-007-1</v>
      </c>
      <c r="C1309" s="111" t="s">
        <v>1531</v>
      </c>
      <c r="D1309" s="81" t="str">
        <f>Source!H254</f>
        <v>1 т металлических изделий</v>
      </c>
      <c r="E1309" s="82">
        <f>Source!K254</f>
        <v>0.57999999999999996</v>
      </c>
      <c r="F1309" s="82"/>
      <c r="G1309" s="82">
        <f>Source!I254</f>
        <v>0.57999999999999996</v>
      </c>
      <c r="H1309" s="83"/>
      <c r="I1309" s="84"/>
      <c r="J1309" s="85"/>
      <c r="K1309" s="84"/>
      <c r="L1309" s="86"/>
      <c r="AC1309">
        <f>Source!X254</f>
        <v>373.67</v>
      </c>
      <c r="AD1309">
        <f>Source!HK254</f>
        <v>9051</v>
      </c>
      <c r="AE1309">
        <f>Source!Y254</f>
        <v>221.37</v>
      </c>
      <c r="AF1309">
        <f>Source!HL254</f>
        <v>5362</v>
      </c>
      <c r="AS1309">
        <f>IF(Source!BI254&lt;=1,AD1309, 0)</f>
        <v>9051</v>
      </c>
      <c r="AT1309">
        <f>IF(Source!BI254&lt;=1,AF1309, 0)</f>
        <v>5362</v>
      </c>
      <c r="BC1309">
        <f>IF(Source!BI254=2,AD1309, 0)</f>
        <v>0</v>
      </c>
      <c r="BD1309">
        <f>IF(Source!BI254=2,AF1309, 0)</f>
        <v>0</v>
      </c>
    </row>
    <row r="1311" spans="1:56" ht="14.4">
      <c r="A1311" s="110"/>
      <c r="B1311" s="112">
        <v>1</v>
      </c>
      <c r="C1311" s="111" t="s">
        <v>1373</v>
      </c>
      <c r="D1311" s="81"/>
      <c r="E1311" s="82"/>
      <c r="F1311" s="82"/>
      <c r="G1311" s="82"/>
      <c r="H1311" s="83">
        <f>Source!AO254</f>
        <v>488.81</v>
      </c>
      <c r="I1311" s="84">
        <f>ROUND(1.15*1.15,7)</f>
        <v>1.3225</v>
      </c>
      <c r="J1311" s="85">
        <f>ROUND(Source!AF254*Source!I254, 2)</f>
        <v>374.94</v>
      </c>
      <c r="K1311" s="84">
        <f>IF(Source!BA254&lt;&gt; 0, Source!BA254, 1)</f>
        <v>24.22</v>
      </c>
      <c r="L1311" s="86">
        <f>Source!HJ254</f>
        <v>9081</v>
      </c>
    </row>
    <row r="1312" spans="1:56" ht="14.4">
      <c r="A1312" s="110"/>
      <c r="B1312" s="112">
        <v>3</v>
      </c>
      <c r="C1312" s="111" t="s">
        <v>1374</v>
      </c>
      <c r="D1312" s="81"/>
      <c r="E1312" s="82"/>
      <c r="F1312" s="82"/>
      <c r="G1312" s="82"/>
      <c r="H1312" s="83">
        <f>Source!AM254</f>
        <v>48.17</v>
      </c>
      <c r="I1312" s="84">
        <f>ROUND(1.25*1.15,7)</f>
        <v>1.4375</v>
      </c>
      <c r="J1312" s="85">
        <f>ROUND(Source!AD254*Source!I254, 2)</f>
        <v>40.159999999999997</v>
      </c>
      <c r="K1312" s="84"/>
      <c r="L1312" s="86"/>
    </row>
    <row r="1313" spans="1:56" ht="14.4">
      <c r="A1313" s="110"/>
      <c r="B1313" s="112">
        <v>2</v>
      </c>
      <c r="C1313" s="111" t="s">
        <v>1375</v>
      </c>
      <c r="D1313" s="81"/>
      <c r="E1313" s="82"/>
      <c r="F1313" s="82"/>
      <c r="G1313" s="82"/>
      <c r="H1313" s="83">
        <f>Source!AN254</f>
        <v>3</v>
      </c>
      <c r="I1313" s="84">
        <f>ROUND(1.25*1.15,7)</f>
        <v>1.4375</v>
      </c>
      <c r="J1313" s="87">
        <f>ROUND(Source!AE254*Source!I254, 2)</f>
        <v>2.5</v>
      </c>
      <c r="K1313" s="84">
        <f>IF(Source!BS254&lt;&gt; 0, Source!BS254, 1)</f>
        <v>24.22</v>
      </c>
      <c r="L1313" s="88">
        <f>Source!HI254</f>
        <v>61</v>
      </c>
    </row>
    <row r="1314" spans="1:56" ht="14.4">
      <c r="A1314" s="110"/>
      <c r="B1314" s="112">
        <v>4</v>
      </c>
      <c r="C1314" s="111" t="s">
        <v>1408</v>
      </c>
      <c r="D1314" s="81"/>
      <c r="E1314" s="82"/>
      <c r="F1314" s="82"/>
      <c r="G1314" s="82"/>
      <c r="H1314" s="83">
        <f>Source!AL254</f>
        <v>7925.9</v>
      </c>
      <c r="I1314" s="84"/>
      <c r="J1314" s="85">
        <f>ROUND(Source!AC254*Source!I254, 2)</f>
        <v>4597.0200000000004</v>
      </c>
      <c r="K1314" s="84"/>
      <c r="L1314" s="86"/>
    </row>
    <row r="1315" spans="1:56" ht="14.4">
      <c r="A1315" s="110"/>
      <c r="B1315" s="111"/>
      <c r="C1315" s="111" t="s">
        <v>1376</v>
      </c>
      <c r="D1315" s="81" t="s">
        <v>1377</v>
      </c>
      <c r="E1315" s="82">
        <f>Source!AQ254</f>
        <v>63.73</v>
      </c>
      <c r="F1315" s="82">
        <f>ROUND(1.15*1.15,7)</f>
        <v>1.3225</v>
      </c>
      <c r="G1315" s="82">
        <f>ROUND(Source!U254, 7)</f>
        <v>48.884096499999998</v>
      </c>
      <c r="H1315" s="83"/>
      <c r="I1315" s="84"/>
      <c r="J1315" s="85"/>
      <c r="K1315" s="84"/>
      <c r="L1315" s="86"/>
    </row>
    <row r="1316" spans="1:56" ht="14.4">
      <c r="A1316" s="110"/>
      <c r="B1316" s="111"/>
      <c r="C1316" s="113" t="s">
        <v>1378</v>
      </c>
      <c r="D1316" s="89" t="s">
        <v>1377</v>
      </c>
      <c r="E1316" s="90">
        <f>Source!AR254</f>
        <v>0.23</v>
      </c>
      <c r="F1316" s="90">
        <f>ROUND(1.25*1.15,7)</f>
        <v>1.4375</v>
      </c>
      <c r="G1316" s="90">
        <f>ROUND(Source!V254, 7)</f>
        <v>0.1917625</v>
      </c>
      <c r="H1316" s="91"/>
      <c r="I1316" s="92"/>
      <c r="J1316" s="93"/>
      <c r="K1316" s="92"/>
      <c r="L1316" s="94"/>
    </row>
    <row r="1317" spans="1:56" ht="14.4">
      <c r="A1317" s="110"/>
      <c r="B1317" s="111"/>
      <c r="C1317" s="111" t="s">
        <v>1379</v>
      </c>
      <c r="D1317" s="81"/>
      <c r="E1317" s="82"/>
      <c r="F1317" s="82"/>
      <c r="G1317" s="82"/>
      <c r="H1317" s="83">
        <f>H1311+H1312+H1314</f>
        <v>8462.8799999999992</v>
      </c>
      <c r="I1317" s="84"/>
      <c r="J1317" s="85">
        <f>J1311+J1312+J1314</f>
        <v>5012.1200000000008</v>
      </c>
      <c r="K1317" s="84"/>
      <c r="L1317" s="86"/>
    </row>
    <row r="1318" spans="1:56" ht="14.4">
      <c r="A1318" s="110"/>
      <c r="B1318" s="111"/>
      <c r="C1318" s="111" t="s">
        <v>1380</v>
      </c>
      <c r="D1318" s="81"/>
      <c r="E1318" s="82"/>
      <c r="F1318" s="82"/>
      <c r="G1318" s="82"/>
      <c r="H1318" s="83"/>
      <c r="I1318" s="84"/>
      <c r="J1318" s="85">
        <f>SUM(Q1309:Q1321)+SUM(V1309:V1321)</f>
        <v>377.44</v>
      </c>
      <c r="K1318" s="84"/>
      <c r="L1318" s="86">
        <f>SUM(U1309:U1321)+SUM(W1309:W1321)</f>
        <v>9142</v>
      </c>
    </row>
    <row r="1319" spans="1:56" ht="14.4">
      <c r="A1319" s="110"/>
      <c r="B1319" s="111" t="s">
        <v>1436</v>
      </c>
      <c r="C1319" s="111" t="s">
        <v>1437</v>
      </c>
      <c r="D1319" s="81" t="s">
        <v>1383</v>
      </c>
      <c r="E1319" s="82">
        <f>Source!BZ254</f>
        <v>110</v>
      </c>
      <c r="F1319" s="82">
        <f>ROUND(0.9,7)</f>
        <v>0.9</v>
      </c>
      <c r="G1319" s="82">
        <f>Source!AT254</f>
        <v>99</v>
      </c>
      <c r="H1319" s="83"/>
      <c r="I1319" s="84"/>
      <c r="J1319" s="85">
        <f>SUM(AC1309:AC1321)</f>
        <v>373.67</v>
      </c>
      <c r="K1319" s="84"/>
      <c r="L1319" s="86">
        <f>SUM(AD1309:AD1321)</f>
        <v>9051</v>
      </c>
    </row>
    <row r="1320" spans="1:56" ht="14.4">
      <c r="A1320" s="114"/>
      <c r="B1320" s="113" t="s">
        <v>1438</v>
      </c>
      <c r="C1320" s="113" t="s">
        <v>1439</v>
      </c>
      <c r="D1320" s="89" t="s">
        <v>1383</v>
      </c>
      <c r="E1320" s="90">
        <f>Source!CA254</f>
        <v>69</v>
      </c>
      <c r="F1320" s="90">
        <f>ROUND(0.85,7)</f>
        <v>0.85</v>
      </c>
      <c r="G1320" s="90">
        <f>Source!AU254</f>
        <v>58.65</v>
      </c>
      <c r="H1320" s="91"/>
      <c r="I1320" s="92"/>
      <c r="J1320" s="93">
        <f>SUM(AE1309:AE1321)</f>
        <v>221.37</v>
      </c>
      <c r="K1320" s="92"/>
      <c r="L1320" s="94">
        <f>SUM(AF1309:AF1321)</f>
        <v>5362</v>
      </c>
    </row>
    <row r="1321" spans="1:56" ht="13.8">
      <c r="C1321" s="95" t="s">
        <v>1386</v>
      </c>
      <c r="D1321" s="95"/>
      <c r="E1321" s="95"/>
      <c r="F1321" s="95"/>
      <c r="G1321" s="95"/>
      <c r="H1321" s="95"/>
      <c r="I1321" s="95">
        <f>J1311+J1312+J1314+J1319+J1320</f>
        <v>5607.1600000000008</v>
      </c>
      <c r="J1321" s="95"/>
      <c r="O1321" s="69">
        <f>I1321</f>
        <v>5607.1600000000008</v>
      </c>
      <c r="P1321">
        <f>K1321</f>
        <v>0</v>
      </c>
      <c r="Q1321" s="69">
        <f>J1311</f>
        <v>374.94</v>
      </c>
      <c r="R1321" s="69">
        <f>J1311</f>
        <v>374.94</v>
      </c>
      <c r="U1321" s="70">
        <f>L1311</f>
        <v>9081</v>
      </c>
      <c r="V1321" s="69">
        <f>J1313</f>
        <v>2.5</v>
      </c>
      <c r="W1321" s="70">
        <f>L1313</f>
        <v>61</v>
      </c>
      <c r="X1321" s="69">
        <f>J1312</f>
        <v>40.159999999999997</v>
      </c>
      <c r="Z1321" s="70">
        <f>L1312</f>
        <v>0</v>
      </c>
      <c r="AB1321" s="69">
        <f>J1314</f>
        <v>4597.0200000000004</v>
      </c>
      <c r="AN1321">
        <f>IF(Source!BI254&lt;=1,J1311+J1312+J1314+J1319+J1320, 0)</f>
        <v>5607.1600000000008</v>
      </c>
      <c r="AO1321">
        <f>IF(Source!BI254&lt;=1,J1314, 0)</f>
        <v>4597.0200000000004</v>
      </c>
      <c r="AP1321">
        <f>IF(Source!BI254&lt;=1,J1312, 0)</f>
        <v>40.159999999999997</v>
      </c>
      <c r="AQ1321">
        <f>IF(Source!BI254&lt;=1,J1311, 0)</f>
        <v>374.94</v>
      </c>
      <c r="AX1321">
        <f>IF(Source!BI254=2,J1311+J1312+J1314+J1319+J1320, 0)</f>
        <v>0</v>
      </c>
      <c r="AY1321">
        <f>IF(Source!BI254=2,J1314, 0)</f>
        <v>0</v>
      </c>
      <c r="AZ1321">
        <f>IF(Source!BI254=2,J1312, 0)</f>
        <v>0</v>
      </c>
      <c r="BA1321">
        <f>IF(Source!BI254=2,J1311, 0)</f>
        <v>0</v>
      </c>
    </row>
    <row r="1322" spans="1:56" ht="119.4">
      <c r="A1322" s="110" t="str">
        <f>Source!E255</f>
        <v>140</v>
      </c>
      <c r="B1322" s="111" t="str">
        <f>Source!F255</f>
        <v>13-06-003-1</v>
      </c>
      <c r="C1322" s="111" t="s">
        <v>1532</v>
      </c>
      <c r="D1322" s="81" t="str">
        <f>Source!H255</f>
        <v>1 м2 очищаемой поверхности</v>
      </c>
      <c r="E1322" s="82">
        <f>Source!K255</f>
        <v>12.8</v>
      </c>
      <c r="F1322" s="82"/>
      <c r="G1322" s="82">
        <f>Source!I255</f>
        <v>12.8</v>
      </c>
      <c r="H1322" s="83"/>
      <c r="I1322" s="84"/>
      <c r="J1322" s="85"/>
      <c r="K1322" s="84"/>
      <c r="L1322" s="86"/>
      <c r="AC1322">
        <f>Source!X255</f>
        <v>106.12</v>
      </c>
      <c r="AD1322">
        <f>Source!HK255</f>
        <v>2570</v>
      </c>
      <c r="AE1322">
        <f>Source!Y255</f>
        <v>54.38</v>
      </c>
      <c r="AF1322">
        <f>Source!HL255</f>
        <v>1317</v>
      </c>
      <c r="AS1322">
        <f>IF(Source!BI255&lt;=1,AD1322, 0)</f>
        <v>2570</v>
      </c>
      <c r="AT1322">
        <f>IF(Source!BI255&lt;=1,AF1322, 0)</f>
        <v>1317</v>
      </c>
      <c r="BC1322">
        <f>IF(Source!BI255=2,AD1322, 0)</f>
        <v>0</v>
      </c>
      <c r="BD1322">
        <f>IF(Source!BI255=2,AF1322, 0)</f>
        <v>0</v>
      </c>
    </row>
    <row r="1324" spans="1:56">
      <c r="C1324" s="67" t="str">
        <f>"Объем: "&amp;Source!K255&amp;"=3,2*"&amp;"4"</f>
        <v>Объем: 12,8=3,2*4</v>
      </c>
    </row>
    <row r="1325" spans="1:56" ht="14.4">
      <c r="A1325" s="110"/>
      <c r="B1325" s="112">
        <v>1</v>
      </c>
      <c r="C1325" s="111" t="s">
        <v>1373</v>
      </c>
      <c r="D1325" s="81"/>
      <c r="E1325" s="82"/>
      <c r="F1325" s="82"/>
      <c r="G1325" s="82"/>
      <c r="H1325" s="83">
        <f>Source!AO255</f>
        <v>7.41</v>
      </c>
      <c r="I1325" s="84">
        <f>ROUND(1.15*1.15,7)</f>
        <v>1.3225</v>
      </c>
      <c r="J1325" s="85">
        <f>ROUND(Source!AF255*Source!I255, 2)</f>
        <v>125.44</v>
      </c>
      <c r="K1325" s="84">
        <f>IF(Source!BA255&lt;&gt; 0, Source!BA255, 1)</f>
        <v>24.22</v>
      </c>
      <c r="L1325" s="86">
        <f>Source!HJ255</f>
        <v>3038</v>
      </c>
    </row>
    <row r="1326" spans="1:56" ht="14.4">
      <c r="A1326" s="110"/>
      <c r="B1326" s="111"/>
      <c r="C1326" s="113" t="s">
        <v>1376</v>
      </c>
      <c r="D1326" s="89" t="s">
        <v>1377</v>
      </c>
      <c r="E1326" s="90">
        <f>Source!AQ255</f>
        <v>0.9</v>
      </c>
      <c r="F1326" s="90">
        <f>ROUND(1.15*1.15,7)</f>
        <v>1.3225</v>
      </c>
      <c r="G1326" s="90">
        <f>ROUND(Source!U255, 7)</f>
        <v>15.235200000000001</v>
      </c>
      <c r="H1326" s="91"/>
      <c r="I1326" s="92"/>
      <c r="J1326" s="93"/>
      <c r="K1326" s="92"/>
      <c r="L1326" s="94"/>
    </row>
    <row r="1327" spans="1:56" ht="14.4">
      <c r="A1327" s="110"/>
      <c r="B1327" s="111"/>
      <c r="C1327" s="111" t="s">
        <v>1379</v>
      </c>
      <c r="D1327" s="81"/>
      <c r="E1327" s="82"/>
      <c r="F1327" s="82"/>
      <c r="G1327" s="82"/>
      <c r="H1327" s="83">
        <f>H1325</f>
        <v>7.41</v>
      </c>
      <c r="I1327" s="84"/>
      <c r="J1327" s="85">
        <f>J1325</f>
        <v>125.44</v>
      </c>
      <c r="K1327" s="84"/>
      <c r="L1327" s="86"/>
    </row>
    <row r="1328" spans="1:56" ht="14.4">
      <c r="A1328" s="110"/>
      <c r="B1328" s="111"/>
      <c r="C1328" s="111" t="s">
        <v>1380</v>
      </c>
      <c r="D1328" s="81"/>
      <c r="E1328" s="82"/>
      <c r="F1328" s="82"/>
      <c r="G1328" s="82"/>
      <c r="H1328" s="83"/>
      <c r="I1328" s="84"/>
      <c r="J1328" s="85">
        <f>SUM(Q1322:Q1331)+SUM(V1322:V1331)</f>
        <v>125.44</v>
      </c>
      <c r="K1328" s="84"/>
      <c r="L1328" s="86">
        <f>SUM(U1322:U1331)+SUM(W1322:W1331)</f>
        <v>3038</v>
      </c>
    </row>
    <row r="1329" spans="1:56" ht="27.6">
      <c r="A1329" s="110"/>
      <c r="B1329" s="111" t="s">
        <v>1517</v>
      </c>
      <c r="C1329" s="111" t="s">
        <v>1518</v>
      </c>
      <c r="D1329" s="81" t="s">
        <v>1383</v>
      </c>
      <c r="E1329" s="82">
        <f>Source!BZ255</f>
        <v>94</v>
      </c>
      <c r="F1329" s="82">
        <f>ROUND(0.9,7)</f>
        <v>0.9</v>
      </c>
      <c r="G1329" s="82">
        <f>Source!AT255</f>
        <v>84.6</v>
      </c>
      <c r="H1329" s="83"/>
      <c r="I1329" s="84"/>
      <c r="J1329" s="85">
        <f>SUM(AC1322:AC1331)</f>
        <v>106.12</v>
      </c>
      <c r="K1329" s="84"/>
      <c r="L1329" s="86">
        <f>SUM(AD1322:AD1331)</f>
        <v>2570</v>
      </c>
    </row>
    <row r="1330" spans="1:56" ht="27.6">
      <c r="A1330" s="114"/>
      <c r="B1330" s="113" t="s">
        <v>1519</v>
      </c>
      <c r="C1330" s="113" t="s">
        <v>1520</v>
      </c>
      <c r="D1330" s="89" t="s">
        <v>1383</v>
      </c>
      <c r="E1330" s="90">
        <f>Source!CA255</f>
        <v>51</v>
      </c>
      <c r="F1330" s="90">
        <f>ROUND(0.85,7)</f>
        <v>0.85</v>
      </c>
      <c r="G1330" s="90">
        <f>Source!AU255</f>
        <v>43.35</v>
      </c>
      <c r="H1330" s="91"/>
      <c r="I1330" s="92"/>
      <c r="J1330" s="93">
        <f>SUM(AE1322:AE1331)</f>
        <v>54.38</v>
      </c>
      <c r="K1330" s="92"/>
      <c r="L1330" s="94">
        <f>SUM(AF1322:AF1331)</f>
        <v>1317</v>
      </c>
    </row>
    <row r="1331" spans="1:56" ht="13.8">
      <c r="C1331" s="95" t="s">
        <v>1386</v>
      </c>
      <c r="D1331" s="95"/>
      <c r="E1331" s="95"/>
      <c r="F1331" s="95"/>
      <c r="G1331" s="95"/>
      <c r="H1331" s="95"/>
      <c r="I1331" s="95">
        <f>J1325+J1329+J1330</f>
        <v>285.94</v>
      </c>
      <c r="J1331" s="95"/>
      <c r="O1331" s="69">
        <f>I1331</f>
        <v>285.94</v>
      </c>
      <c r="P1331">
        <f>K1331</f>
        <v>0</v>
      </c>
      <c r="Q1331" s="69">
        <f>J1325</f>
        <v>125.44</v>
      </c>
      <c r="R1331" s="69">
        <f>J1325</f>
        <v>125.44</v>
      </c>
      <c r="U1331" s="70">
        <f>L1325</f>
        <v>3038</v>
      </c>
      <c r="V1331">
        <f>0</f>
        <v>0</v>
      </c>
      <c r="W1331">
        <f>0</f>
        <v>0</v>
      </c>
      <c r="X1331">
        <f>0</f>
        <v>0</v>
      </c>
      <c r="Z1331">
        <f>0</f>
        <v>0</v>
      </c>
      <c r="AB1331">
        <f>0</f>
        <v>0</v>
      </c>
      <c r="AN1331">
        <f>IF(Source!BI255&lt;=1,J1325+J1329+J1330, 0)</f>
        <v>285.94</v>
      </c>
      <c r="AO1331">
        <f>IF(Source!BI255&lt;=1,0, 0)</f>
        <v>0</v>
      </c>
      <c r="AP1331">
        <f>IF(Source!BI255&lt;=1,0, 0)</f>
        <v>0</v>
      </c>
      <c r="AQ1331">
        <f>IF(Source!BI255&lt;=1,J1325, 0)</f>
        <v>125.44</v>
      </c>
      <c r="AX1331">
        <f>IF(Source!BI255=2,J1325+J1329+J1330, 0)</f>
        <v>0</v>
      </c>
      <c r="AY1331">
        <f>IF(Source!BI255=2,0, 0)</f>
        <v>0</v>
      </c>
      <c r="AZ1331">
        <f>IF(Source!BI255=2,0, 0)</f>
        <v>0</v>
      </c>
      <c r="BA1331">
        <f>IF(Source!BI255=2,J1325, 0)</f>
        <v>0</v>
      </c>
    </row>
    <row r="1332" spans="1:56" ht="106.8">
      <c r="A1332" s="110" t="str">
        <f>Source!E256</f>
        <v>141</v>
      </c>
      <c r="B1332" s="111" t="str">
        <f>Source!F256</f>
        <v>57-10-1</v>
      </c>
      <c r="C1332" s="111" t="s">
        <v>1533</v>
      </c>
      <c r="D1332" s="81" t="str">
        <f>Source!H256</f>
        <v>100 мест</v>
      </c>
      <c r="E1332" s="82">
        <f>Source!K256</f>
        <v>1</v>
      </c>
      <c r="F1332" s="82"/>
      <c r="G1332" s="82">
        <f>Source!I256</f>
        <v>1</v>
      </c>
      <c r="H1332" s="83"/>
      <c r="I1332" s="84"/>
      <c r="J1332" s="85"/>
      <c r="K1332" s="84"/>
      <c r="L1332" s="86"/>
      <c r="AC1332">
        <f>Source!X256</f>
        <v>346.27</v>
      </c>
      <c r="AD1332">
        <f>Source!HK256</f>
        <v>8387</v>
      </c>
      <c r="AE1332">
        <f>Source!Y256</f>
        <v>190.64</v>
      </c>
      <c r="AF1332">
        <f>Source!HL256</f>
        <v>4618</v>
      </c>
      <c r="AS1332">
        <f>IF(Source!BI256&lt;=1,AD1332, 0)</f>
        <v>8387</v>
      </c>
      <c r="AT1332">
        <f>IF(Source!BI256&lt;=1,AF1332, 0)</f>
        <v>4618</v>
      </c>
      <c r="BC1332">
        <f>IF(Source!BI256=2,AD1332, 0)</f>
        <v>0</v>
      </c>
      <c r="BD1332">
        <f>IF(Source!BI256=2,AF1332, 0)</f>
        <v>0</v>
      </c>
    </row>
    <row r="1334" spans="1:56">
      <c r="C1334" s="67" t="str">
        <f>"Объем: "&amp;Source!K256&amp;"=25*"&amp;"4/"&amp;"100"</f>
        <v>Объем: 1=25*4/100</v>
      </c>
    </row>
    <row r="1335" spans="1:56" ht="14.4">
      <c r="A1335" s="110"/>
      <c r="B1335" s="112">
        <v>1</v>
      </c>
      <c r="C1335" s="111" t="s">
        <v>1373</v>
      </c>
      <c r="D1335" s="81"/>
      <c r="E1335" s="82"/>
      <c r="F1335" s="82"/>
      <c r="G1335" s="82"/>
      <c r="H1335" s="83">
        <f>Source!AO256</f>
        <v>335.21</v>
      </c>
      <c r="I1335" s="84">
        <f>ROUND(1.15,7)</f>
        <v>1.1499999999999999</v>
      </c>
      <c r="J1335" s="85">
        <f>ROUND(Source!AF256*Source!I256, 2)</f>
        <v>385.49</v>
      </c>
      <c r="K1335" s="84">
        <f>IF(Source!BA256&lt;&gt; 0, Source!BA256, 1)</f>
        <v>24.22</v>
      </c>
      <c r="L1335" s="86">
        <f>Source!HJ256</f>
        <v>9337</v>
      </c>
    </row>
    <row r="1336" spans="1:56" ht="14.4">
      <c r="A1336" s="110"/>
      <c r="B1336" s="112">
        <v>3</v>
      </c>
      <c r="C1336" s="111" t="s">
        <v>1374</v>
      </c>
      <c r="D1336" s="81"/>
      <c r="E1336" s="82"/>
      <c r="F1336" s="82"/>
      <c r="G1336" s="82"/>
      <c r="H1336" s="83">
        <f>Source!AM256</f>
        <v>28.36</v>
      </c>
      <c r="I1336" s="84">
        <f>ROUND(1.15,7)</f>
        <v>1.1499999999999999</v>
      </c>
      <c r="J1336" s="85">
        <f>ROUND(Source!AD256*Source!I256, 2)</f>
        <v>32.61</v>
      </c>
      <c r="K1336" s="84"/>
      <c r="L1336" s="86"/>
    </row>
    <row r="1337" spans="1:56" ht="14.4">
      <c r="A1337" s="110"/>
      <c r="B1337" s="112">
        <v>2</v>
      </c>
      <c r="C1337" s="111" t="s">
        <v>1375</v>
      </c>
      <c r="D1337" s="81"/>
      <c r="E1337" s="82"/>
      <c r="F1337" s="82"/>
      <c r="G1337" s="82"/>
      <c r="H1337" s="83">
        <f>Source!AN256</f>
        <v>3.11</v>
      </c>
      <c r="I1337" s="84">
        <f>ROUND(1.15,7)</f>
        <v>1.1499999999999999</v>
      </c>
      <c r="J1337" s="87">
        <f>ROUND(Source!AE256*Source!I256, 2)</f>
        <v>3.58</v>
      </c>
      <c r="K1337" s="84">
        <f>IF(Source!BS256&lt;&gt; 0, Source!BS256, 1)</f>
        <v>24.22</v>
      </c>
      <c r="L1337" s="88">
        <f>Source!HI256</f>
        <v>87</v>
      </c>
    </row>
    <row r="1338" spans="1:56" ht="14.4">
      <c r="A1338" s="110"/>
      <c r="B1338" s="112">
        <v>4</v>
      </c>
      <c r="C1338" s="111" t="s">
        <v>1408</v>
      </c>
      <c r="D1338" s="81"/>
      <c r="E1338" s="82"/>
      <c r="F1338" s="82"/>
      <c r="G1338" s="82"/>
      <c r="H1338" s="83">
        <f>Source!AL256</f>
        <v>257.58999999999997</v>
      </c>
      <c r="I1338" s="84"/>
      <c r="J1338" s="85">
        <f>ROUND(Source!AC256*Source!I256, 2)</f>
        <v>257.58999999999997</v>
      </c>
      <c r="K1338" s="84"/>
      <c r="L1338" s="86"/>
    </row>
    <row r="1339" spans="1:56" ht="14.4">
      <c r="A1339" s="110"/>
      <c r="B1339" s="111"/>
      <c r="C1339" s="111" t="s">
        <v>1376</v>
      </c>
      <c r="D1339" s="81" t="s">
        <v>1377</v>
      </c>
      <c r="E1339" s="82">
        <f>Source!AQ256</f>
        <v>40.729999999999997</v>
      </c>
      <c r="F1339" s="82">
        <f>ROUND(1.15,7)</f>
        <v>1.1499999999999999</v>
      </c>
      <c r="G1339" s="82">
        <f>ROUND(Source!U256, 7)</f>
        <v>46.839500000000001</v>
      </c>
      <c r="H1339" s="83"/>
      <c r="I1339" s="84"/>
      <c r="J1339" s="85"/>
      <c r="K1339" s="84"/>
      <c r="L1339" s="86"/>
    </row>
    <row r="1340" spans="1:56" ht="14.4">
      <c r="A1340" s="110"/>
      <c r="B1340" s="111"/>
      <c r="C1340" s="113" t="s">
        <v>1378</v>
      </c>
      <c r="D1340" s="89" t="s">
        <v>1377</v>
      </c>
      <c r="E1340" s="90">
        <f>Source!AR256</f>
        <v>0.32</v>
      </c>
      <c r="F1340" s="90">
        <f>ROUND(1.15,7)</f>
        <v>1.1499999999999999</v>
      </c>
      <c r="G1340" s="90">
        <f>ROUND(Source!V256, 7)</f>
        <v>0.36799999999999999</v>
      </c>
      <c r="H1340" s="91"/>
      <c r="I1340" s="92"/>
      <c r="J1340" s="93"/>
      <c r="K1340" s="92"/>
      <c r="L1340" s="94"/>
    </row>
    <row r="1341" spans="1:56" ht="14.4">
      <c r="A1341" s="110"/>
      <c r="B1341" s="111"/>
      <c r="C1341" s="111" t="s">
        <v>1379</v>
      </c>
      <c r="D1341" s="81"/>
      <c r="E1341" s="82"/>
      <c r="F1341" s="82"/>
      <c r="G1341" s="82"/>
      <c r="H1341" s="83">
        <f>H1335+H1336+H1338</f>
        <v>621.16</v>
      </c>
      <c r="I1341" s="84"/>
      <c r="J1341" s="85">
        <f>J1335+J1336+J1338</f>
        <v>675.69</v>
      </c>
      <c r="K1341" s="84"/>
      <c r="L1341" s="86"/>
    </row>
    <row r="1342" spans="1:56" ht="14.4">
      <c r="A1342" s="110"/>
      <c r="B1342" s="111"/>
      <c r="C1342" s="111" t="s">
        <v>1380</v>
      </c>
      <c r="D1342" s="81"/>
      <c r="E1342" s="82"/>
      <c r="F1342" s="82"/>
      <c r="G1342" s="82"/>
      <c r="H1342" s="83"/>
      <c r="I1342" s="84"/>
      <c r="J1342" s="85">
        <f>SUM(Q1332:Q1345)+SUM(V1332:V1345)</f>
        <v>389.07</v>
      </c>
      <c r="K1342" s="84"/>
      <c r="L1342" s="86">
        <f>SUM(U1332:U1345)+SUM(W1332:W1345)</f>
        <v>9424</v>
      </c>
    </row>
    <row r="1343" spans="1:56" ht="14.4">
      <c r="A1343" s="110"/>
      <c r="B1343" s="111" t="s">
        <v>1511</v>
      </c>
      <c r="C1343" s="111" t="s">
        <v>1512</v>
      </c>
      <c r="D1343" s="81" t="s">
        <v>1383</v>
      </c>
      <c r="E1343" s="82">
        <f>Source!BZ256</f>
        <v>89</v>
      </c>
      <c r="F1343" s="82"/>
      <c r="G1343" s="82">
        <f>Source!AT256</f>
        <v>89</v>
      </c>
      <c r="H1343" s="83"/>
      <c r="I1343" s="84"/>
      <c r="J1343" s="85">
        <f>SUM(AC1332:AC1345)</f>
        <v>346.27</v>
      </c>
      <c r="K1343" s="84"/>
      <c r="L1343" s="86">
        <f>SUM(AD1332:AD1345)</f>
        <v>8387</v>
      </c>
    </row>
    <row r="1344" spans="1:56" ht="14.4">
      <c r="A1344" s="114"/>
      <c r="B1344" s="113" t="s">
        <v>1513</v>
      </c>
      <c r="C1344" s="113" t="s">
        <v>1514</v>
      </c>
      <c r="D1344" s="89" t="s">
        <v>1383</v>
      </c>
      <c r="E1344" s="90">
        <f>Source!CA256</f>
        <v>49</v>
      </c>
      <c r="F1344" s="90"/>
      <c r="G1344" s="90">
        <f>Source!AU256</f>
        <v>49</v>
      </c>
      <c r="H1344" s="91"/>
      <c r="I1344" s="92"/>
      <c r="J1344" s="93">
        <f>SUM(AE1332:AE1345)</f>
        <v>190.64</v>
      </c>
      <c r="K1344" s="92"/>
      <c r="L1344" s="94">
        <f>SUM(AF1332:AF1345)</f>
        <v>4618</v>
      </c>
    </row>
    <row r="1345" spans="1:71" ht="13.8">
      <c r="C1345" s="95" t="s">
        <v>1386</v>
      </c>
      <c r="D1345" s="95"/>
      <c r="E1345" s="95"/>
      <c r="F1345" s="95"/>
      <c r="G1345" s="95"/>
      <c r="H1345" s="95"/>
      <c r="I1345" s="95">
        <f>J1335+J1336+J1338+J1343+J1344</f>
        <v>1212.5999999999999</v>
      </c>
      <c r="J1345" s="95"/>
      <c r="O1345" s="69">
        <f>I1345</f>
        <v>1212.5999999999999</v>
      </c>
      <c r="P1345">
        <f>K1345</f>
        <v>0</v>
      </c>
      <c r="Q1345" s="69">
        <f>J1335</f>
        <v>385.49</v>
      </c>
      <c r="R1345" s="69">
        <f>J1335</f>
        <v>385.49</v>
      </c>
      <c r="U1345" s="70">
        <f>L1335</f>
        <v>9337</v>
      </c>
      <c r="V1345" s="69">
        <f>J1337</f>
        <v>3.58</v>
      </c>
      <c r="W1345" s="70">
        <f>L1337</f>
        <v>87</v>
      </c>
      <c r="X1345" s="69">
        <f>J1336</f>
        <v>32.61</v>
      </c>
      <c r="Z1345" s="70">
        <f>L1336</f>
        <v>0</v>
      </c>
      <c r="AB1345" s="69">
        <f>J1338</f>
        <v>257.58999999999997</v>
      </c>
      <c r="AN1345">
        <f>IF(Source!BI256&lt;=1,J1335+J1336+J1338+J1343+J1344, 0)</f>
        <v>1212.5999999999999</v>
      </c>
      <c r="AO1345">
        <f>IF(Source!BI256&lt;=1,J1338, 0)</f>
        <v>257.58999999999997</v>
      </c>
      <c r="AP1345">
        <f>IF(Source!BI256&lt;=1,J1336, 0)</f>
        <v>32.61</v>
      </c>
      <c r="AQ1345">
        <f>IF(Source!BI256&lt;=1,J1335, 0)</f>
        <v>385.49</v>
      </c>
      <c r="AX1345">
        <f>IF(Source!BI256=2,J1335+J1336+J1338+J1343+J1344, 0)</f>
        <v>0</v>
      </c>
      <c r="AY1345">
        <f>IF(Source!BI256=2,J1338, 0)</f>
        <v>0</v>
      </c>
      <c r="AZ1345">
        <f>IF(Source!BI256=2,J1336, 0)</f>
        <v>0</v>
      </c>
      <c r="BA1345">
        <f>IF(Source!BI256=2,J1335, 0)</f>
        <v>0</v>
      </c>
    </row>
    <row r="1346" spans="1:71" ht="27.6">
      <c r="A1346" s="110" t="str">
        <f>Source!E257</f>
        <v>142</v>
      </c>
      <c r="B1346" s="111" t="str">
        <f>Source!F257</f>
        <v>402-0004</v>
      </c>
      <c r="C1346" s="111" t="str">
        <f>Source!G257</f>
        <v>Раствор готовый кладочный цементный марки 100</v>
      </c>
      <c r="D1346" s="81" t="str">
        <f>Source!H257</f>
        <v>м3</v>
      </c>
      <c r="E1346" s="82">
        <f>Source!K257</f>
        <v>-0.43</v>
      </c>
      <c r="F1346" s="82"/>
      <c r="G1346" s="82">
        <f>Source!I257</f>
        <v>-0.43</v>
      </c>
      <c r="H1346" s="83">
        <f>Source!AL257</f>
        <v>589.03</v>
      </c>
      <c r="I1346" s="84"/>
      <c r="J1346" s="85">
        <f>ROUND(Source!AC257*Source!I257, 2)</f>
        <v>-253.28</v>
      </c>
      <c r="K1346" s="84"/>
      <c r="L1346" s="86"/>
      <c r="AC1346">
        <f>Source!X257</f>
        <v>0</v>
      </c>
      <c r="AD1346">
        <f>Source!HK257</f>
        <v>0</v>
      </c>
      <c r="AE1346">
        <f>Source!Y257</f>
        <v>0</v>
      </c>
      <c r="AF1346">
        <f>Source!HL257</f>
        <v>0</v>
      </c>
      <c r="AS1346">
        <f>IF(Source!BI257&lt;=1,AD1346, 0)</f>
        <v>0</v>
      </c>
      <c r="AT1346">
        <f>IF(Source!BI257&lt;=1,AF1346, 0)</f>
        <v>0</v>
      </c>
      <c r="BC1346">
        <f>IF(Source!BI257=2,AD1346, 0)</f>
        <v>0</v>
      </c>
      <c r="BD1346">
        <f>IF(Source!BI257=2,AF1346, 0)</f>
        <v>0</v>
      </c>
    </row>
    <row r="1348" spans="1:71">
      <c r="A1348" s="71"/>
      <c r="B1348" s="71"/>
      <c r="C1348" s="72" t="str">
        <f>"Объем: "&amp;Source!K257&amp;"="&amp;Source!I256&amp;"*"&amp;"-"&amp;"0,43"</f>
        <v>Объем: -0,43=1*-0,43</v>
      </c>
      <c r="D1348" s="71"/>
      <c r="E1348" s="71"/>
      <c r="F1348" s="71"/>
      <c r="G1348" s="71"/>
      <c r="H1348" s="71"/>
      <c r="I1348" s="71"/>
      <c r="J1348" s="71"/>
      <c r="K1348" s="71"/>
      <c r="L1348" s="71"/>
    </row>
    <row r="1349" spans="1:71" ht="13.8">
      <c r="C1349" s="95" t="s">
        <v>1386</v>
      </c>
      <c r="D1349" s="95"/>
      <c r="E1349" s="95"/>
      <c r="F1349" s="95"/>
      <c r="G1349" s="95"/>
      <c r="H1349" s="95"/>
      <c r="I1349" s="95">
        <f>J1346</f>
        <v>-253.28</v>
      </c>
      <c r="J1349" s="95"/>
      <c r="O1349" s="69">
        <f>I1349</f>
        <v>-253.28</v>
      </c>
      <c r="P1349">
        <f>K1349</f>
        <v>0</v>
      </c>
      <c r="Q1349">
        <f>0</f>
        <v>0</v>
      </c>
      <c r="R1349">
        <f>0</f>
        <v>0</v>
      </c>
      <c r="U1349">
        <f>0</f>
        <v>0</v>
      </c>
      <c r="V1349">
        <f>0</f>
        <v>0</v>
      </c>
      <c r="W1349">
        <f>0</f>
        <v>0</v>
      </c>
      <c r="X1349">
        <f>0</f>
        <v>0</v>
      </c>
      <c r="Z1349">
        <f>0</f>
        <v>0</v>
      </c>
      <c r="AB1349" s="69">
        <f>I1349</f>
        <v>-253.28</v>
      </c>
      <c r="AN1349">
        <f>IF(Source!BI257&lt;=1,J1346, 0)</f>
        <v>-253.28</v>
      </c>
      <c r="AO1349">
        <f>IF(Source!BI257&lt;=1,I1349, 0)</f>
        <v>-253.28</v>
      </c>
      <c r="AP1349">
        <f>IF(Source!BI257&lt;=1,0, 0)</f>
        <v>0</v>
      </c>
      <c r="AQ1349">
        <f>IF(Source!BI257&lt;=1,0, 0)</f>
        <v>0</v>
      </c>
      <c r="AX1349">
        <f>IF(Source!BI257=2,J1346, 0)</f>
        <v>0</v>
      </c>
      <c r="AY1349">
        <f>IF(Source!BI257=2,I1349, 0)</f>
        <v>0</v>
      </c>
      <c r="AZ1349">
        <f>IF(Source!BI257=2,0, 0)</f>
        <v>0</v>
      </c>
      <c r="BA1349">
        <f>IF(Source!BI257=2,0, 0)</f>
        <v>0</v>
      </c>
    </row>
    <row r="1350" spans="1:71" ht="27.6">
      <c r="A1350" s="110" t="str">
        <f>Source!E258</f>
        <v>143</v>
      </c>
      <c r="B1350" s="111" t="str">
        <f>Source!F258</f>
        <v>ТЦ_01.7.10.14_69_0_</v>
      </c>
      <c r="C1350" s="111" t="str">
        <f>Source!G258</f>
        <v>Ремонтный состав Maptgrout Hi-Flow (37,9/6,17)</v>
      </c>
      <c r="D1350" s="81" t="str">
        <f>Source!H258</f>
        <v>кг</v>
      </c>
      <c r="E1350" s="82">
        <f>Source!K258</f>
        <v>472</v>
      </c>
      <c r="F1350" s="82"/>
      <c r="G1350" s="82">
        <f>Source!I258</f>
        <v>472</v>
      </c>
      <c r="H1350" s="83">
        <f>Source!AL258</f>
        <v>37.9</v>
      </c>
      <c r="I1350" s="84"/>
      <c r="J1350" s="85">
        <f>Source!P258</f>
        <v>2899.35</v>
      </c>
      <c r="K1350" s="84">
        <f>IF(Source!BC258&lt;&gt; 0, Source!BC258, 1)</f>
        <v>6.17</v>
      </c>
      <c r="L1350" s="86">
        <f>Source!HG258</f>
        <v>17889</v>
      </c>
      <c r="AC1350">
        <f>Source!X258</f>
        <v>0</v>
      </c>
      <c r="AD1350">
        <f>Source!HK258</f>
        <v>0</v>
      </c>
      <c r="AE1350">
        <f>Source!Y258</f>
        <v>0</v>
      </c>
      <c r="AF1350">
        <f>Source!HL258</f>
        <v>0</v>
      </c>
      <c r="AS1350">
        <f>IF(Source!BI258&lt;=1,AD1350, 0)</f>
        <v>0</v>
      </c>
      <c r="AT1350">
        <f>IF(Source!BI258&lt;=1,AF1350, 0)</f>
        <v>0</v>
      </c>
      <c r="BC1350">
        <f>IF(Source!BI258=2,AD1350, 0)</f>
        <v>0</v>
      </c>
      <c r="BD1350">
        <f>IF(Source!BI258=2,AF1350, 0)</f>
        <v>0</v>
      </c>
    </row>
    <row r="1351" spans="1:71">
      <c r="A1351" s="71"/>
      <c r="B1351" s="71"/>
      <c r="C1351" s="71"/>
      <c r="D1351" s="71"/>
      <c r="E1351" s="71"/>
      <c r="F1351" s="71"/>
      <c r="G1351" s="71"/>
      <c r="H1351" s="71"/>
      <c r="I1351" s="71"/>
      <c r="J1351" s="71"/>
      <c r="K1351" s="71"/>
      <c r="L1351" s="71"/>
    </row>
    <row r="1352" spans="1:71" ht="13.8">
      <c r="C1352" s="95" t="s">
        <v>1386</v>
      </c>
      <c r="D1352" s="95"/>
      <c r="E1352" s="95"/>
      <c r="F1352" s="95"/>
      <c r="G1352" s="95"/>
      <c r="H1352" s="95"/>
      <c r="I1352" s="95">
        <f>J1350</f>
        <v>2899.35</v>
      </c>
      <c r="J1352" s="95"/>
      <c r="K1352" s="96">
        <f>L1350</f>
        <v>17889</v>
      </c>
      <c r="L1352" s="96"/>
      <c r="O1352" s="69">
        <f>I1352</f>
        <v>2899.35</v>
      </c>
      <c r="P1352" s="70">
        <f>K1352</f>
        <v>17889</v>
      </c>
      <c r="Q1352">
        <f>0</f>
        <v>0</v>
      </c>
      <c r="R1352">
        <f>0</f>
        <v>0</v>
      </c>
      <c r="U1352">
        <f>0</f>
        <v>0</v>
      </c>
      <c r="V1352">
        <f>0</f>
        <v>0</v>
      </c>
      <c r="W1352">
        <f>0</f>
        <v>0</v>
      </c>
      <c r="X1352">
        <f>0</f>
        <v>0</v>
      </c>
      <c r="Z1352">
        <f>0</f>
        <v>0</v>
      </c>
      <c r="AB1352" s="69">
        <f>I1352</f>
        <v>2899.35</v>
      </c>
      <c r="AN1352">
        <f>IF(Source!BI258&lt;=1,J1350, 0)</f>
        <v>2899.35</v>
      </c>
      <c r="AO1352">
        <f>IF(Source!BI258&lt;=1,I1352, 0)</f>
        <v>2899.35</v>
      </c>
      <c r="AP1352">
        <f>IF(Source!BI258&lt;=1,0, 0)</f>
        <v>0</v>
      </c>
      <c r="AQ1352">
        <f>IF(Source!BI258&lt;=1,0, 0)</f>
        <v>0</v>
      </c>
      <c r="AX1352">
        <f>IF(Source!BI258=2,J1350, 0)</f>
        <v>0</v>
      </c>
      <c r="AY1352">
        <f>IF(Source!BI258=2,I1352, 0)</f>
        <v>0</v>
      </c>
      <c r="AZ1352">
        <f>IF(Source!BI258=2,0, 0)</f>
        <v>0</v>
      </c>
      <c r="BA1352">
        <f>IF(Source!BI258=2,0, 0)</f>
        <v>0</v>
      </c>
      <c r="BQ1352" s="69">
        <f>I1352</f>
        <v>2899.35</v>
      </c>
      <c r="BS1352" s="70">
        <f>K1352</f>
        <v>17889</v>
      </c>
    </row>
    <row r="1353" spans="1:71" ht="133.19999999999999">
      <c r="A1353" s="110" t="str">
        <f>Source!E259</f>
        <v>144</v>
      </c>
      <c r="B1353" s="111" t="str">
        <f>Source!F259</f>
        <v>11-01-011-1</v>
      </c>
      <c r="C1353" s="111" t="s">
        <v>1534</v>
      </c>
      <c r="D1353" s="81" t="str">
        <f>Source!H259</f>
        <v>100 м2 стяжки</v>
      </c>
      <c r="E1353" s="82">
        <f>Source!K259</f>
        <v>1.3360000000000001</v>
      </c>
      <c r="F1353" s="82"/>
      <c r="G1353" s="82">
        <f>Source!I259</f>
        <v>1.3360000000000001</v>
      </c>
      <c r="H1353" s="83"/>
      <c r="I1353" s="84"/>
      <c r="J1353" s="85"/>
      <c r="K1353" s="84"/>
      <c r="L1353" s="86"/>
      <c r="AC1353">
        <f>Source!X259</f>
        <v>571.75</v>
      </c>
      <c r="AD1353">
        <f>Source!HK259</f>
        <v>13848</v>
      </c>
      <c r="AE1353">
        <f>Source!Y259</f>
        <v>313.38</v>
      </c>
      <c r="AF1353">
        <f>Source!HL259</f>
        <v>7590</v>
      </c>
      <c r="AS1353">
        <f>IF(Source!BI259&lt;=1,AD1353, 0)</f>
        <v>13848</v>
      </c>
      <c r="AT1353">
        <f>IF(Source!BI259&lt;=1,AF1353, 0)</f>
        <v>7590</v>
      </c>
      <c r="BC1353">
        <f>IF(Source!BI259=2,AD1353, 0)</f>
        <v>0</v>
      </c>
      <c r="BD1353">
        <f>IF(Source!BI259=2,AF1353, 0)</f>
        <v>0</v>
      </c>
    </row>
    <row r="1355" spans="1:71">
      <c r="C1355" s="67" t="str">
        <f>"Объем: "&amp;Source!K259&amp;"=33,4*"&amp;"4/"&amp;"100"</f>
        <v>Объем: 1,336=33,4*4/100</v>
      </c>
    </row>
    <row r="1356" spans="1:71" ht="14.4">
      <c r="A1356" s="110"/>
      <c r="B1356" s="112">
        <v>1</v>
      </c>
      <c r="C1356" s="111" t="s">
        <v>1373</v>
      </c>
      <c r="D1356" s="81"/>
      <c r="E1356" s="82"/>
      <c r="F1356" s="82"/>
      <c r="G1356" s="82"/>
      <c r="H1356" s="83">
        <f>Source!AO259</f>
        <v>303.04000000000002</v>
      </c>
      <c r="I1356" s="84">
        <f>ROUND(1.15*1.15,7)</f>
        <v>1.3225</v>
      </c>
      <c r="J1356" s="85">
        <f>ROUND(Source!AF259*Source!I259, 2)</f>
        <v>535.42999999999995</v>
      </c>
      <c r="K1356" s="84">
        <f>IF(Source!BA259&lt;&gt; 0, Source!BA259, 1)</f>
        <v>24.22</v>
      </c>
      <c r="L1356" s="86">
        <f>Source!HJ259</f>
        <v>12968</v>
      </c>
    </row>
    <row r="1357" spans="1:71" ht="14.4">
      <c r="A1357" s="110"/>
      <c r="B1357" s="112">
        <v>3</v>
      </c>
      <c r="C1357" s="111" t="s">
        <v>1374</v>
      </c>
      <c r="D1357" s="81"/>
      <c r="E1357" s="82"/>
      <c r="F1357" s="82"/>
      <c r="G1357" s="82"/>
      <c r="H1357" s="83">
        <f>Source!AM259</f>
        <v>43.71</v>
      </c>
      <c r="I1357" s="84">
        <f>ROUND(1.25*1.15,7)</f>
        <v>1.4375</v>
      </c>
      <c r="J1357" s="85">
        <f>ROUND(Source!AD259*Source!I259, 2)</f>
        <v>83.95</v>
      </c>
      <c r="K1357" s="84"/>
      <c r="L1357" s="86"/>
    </row>
    <row r="1358" spans="1:71" ht="14.4">
      <c r="A1358" s="110"/>
      <c r="B1358" s="112">
        <v>2</v>
      </c>
      <c r="C1358" s="111" t="s">
        <v>1375</v>
      </c>
      <c r="D1358" s="81"/>
      <c r="E1358" s="82"/>
      <c r="F1358" s="82"/>
      <c r="G1358" s="82"/>
      <c r="H1358" s="83">
        <f>Source!AN259</f>
        <v>16.55</v>
      </c>
      <c r="I1358" s="84">
        <f>ROUND(1.25*1.15,7)</f>
        <v>1.4375</v>
      </c>
      <c r="J1358" s="87">
        <f>ROUND(Source!AE259*Source!I259, 2)</f>
        <v>31.78</v>
      </c>
      <c r="K1358" s="84">
        <f>IF(Source!BS259&lt;&gt; 0, Source!BS259, 1)</f>
        <v>24.22</v>
      </c>
      <c r="L1358" s="88">
        <f>Source!HI259</f>
        <v>770</v>
      </c>
    </row>
    <row r="1359" spans="1:71" ht="14.4">
      <c r="A1359" s="110"/>
      <c r="B1359" s="112">
        <v>4</v>
      </c>
      <c r="C1359" s="111" t="s">
        <v>1408</v>
      </c>
      <c r="D1359" s="81"/>
      <c r="E1359" s="82"/>
      <c r="F1359" s="82"/>
      <c r="G1359" s="82"/>
      <c r="H1359" s="83">
        <f>Source!AL259</f>
        <v>1329.27</v>
      </c>
      <c r="I1359" s="84"/>
      <c r="J1359" s="85">
        <f>ROUND(Source!AC259*Source!I259, 2)</f>
        <v>1775.9</v>
      </c>
      <c r="K1359" s="84"/>
      <c r="L1359" s="86"/>
    </row>
    <row r="1360" spans="1:71" ht="14.4">
      <c r="A1360" s="110"/>
      <c r="B1360" s="111"/>
      <c r="C1360" s="111" t="s">
        <v>1376</v>
      </c>
      <c r="D1360" s="81" t="s">
        <v>1377</v>
      </c>
      <c r="E1360" s="82">
        <f>Source!AQ259</f>
        <v>39.51</v>
      </c>
      <c r="F1360" s="82">
        <f>ROUND(1.15*1.15,7)</f>
        <v>1.3225</v>
      </c>
      <c r="G1360" s="82">
        <f>ROUND(Source!U259, 7)</f>
        <v>69.808638599999995</v>
      </c>
      <c r="H1360" s="83"/>
      <c r="I1360" s="84"/>
      <c r="J1360" s="85"/>
      <c r="K1360" s="84"/>
      <c r="L1360" s="86"/>
    </row>
    <row r="1361" spans="1:56" ht="14.4">
      <c r="A1361" s="110"/>
      <c r="B1361" s="111"/>
      <c r="C1361" s="113" t="s">
        <v>1378</v>
      </c>
      <c r="D1361" s="89" t="s">
        <v>1377</v>
      </c>
      <c r="E1361" s="90">
        <f>Source!AR259</f>
        <v>1.27</v>
      </c>
      <c r="F1361" s="90">
        <f>ROUND(1.25*1.15,7)</f>
        <v>1.4375</v>
      </c>
      <c r="G1361" s="90">
        <f>ROUND(Source!V259, 7)</f>
        <v>2.4390350000000001</v>
      </c>
      <c r="H1361" s="91"/>
      <c r="I1361" s="92"/>
      <c r="J1361" s="93"/>
      <c r="K1361" s="92"/>
      <c r="L1361" s="94"/>
    </row>
    <row r="1362" spans="1:56" ht="14.4">
      <c r="A1362" s="110"/>
      <c r="B1362" s="111"/>
      <c r="C1362" s="111" t="s">
        <v>1379</v>
      </c>
      <c r="D1362" s="81"/>
      <c r="E1362" s="82"/>
      <c r="F1362" s="82"/>
      <c r="G1362" s="82"/>
      <c r="H1362" s="83">
        <f>H1356+H1357+H1359</f>
        <v>1676.02</v>
      </c>
      <c r="I1362" s="84"/>
      <c r="J1362" s="85">
        <f>J1356+J1357+J1359</f>
        <v>2395.2800000000002</v>
      </c>
      <c r="K1362" s="84"/>
      <c r="L1362" s="86"/>
    </row>
    <row r="1363" spans="1:56" ht="14.4">
      <c r="A1363" s="110"/>
      <c r="B1363" s="111"/>
      <c r="C1363" s="111" t="s">
        <v>1380</v>
      </c>
      <c r="D1363" s="81"/>
      <c r="E1363" s="82"/>
      <c r="F1363" s="82"/>
      <c r="G1363" s="82"/>
      <c r="H1363" s="83"/>
      <c r="I1363" s="84"/>
      <c r="J1363" s="85">
        <f>SUM(Q1353:Q1366)+SUM(V1353:V1366)</f>
        <v>567.20999999999992</v>
      </c>
      <c r="K1363" s="84"/>
      <c r="L1363" s="86">
        <f>SUM(U1353:U1366)+SUM(W1353:W1366)</f>
        <v>13738</v>
      </c>
    </row>
    <row r="1364" spans="1:56" ht="14.4">
      <c r="A1364" s="110"/>
      <c r="B1364" s="111" t="s">
        <v>1535</v>
      </c>
      <c r="C1364" s="111" t="s">
        <v>1512</v>
      </c>
      <c r="D1364" s="81" t="s">
        <v>1383</v>
      </c>
      <c r="E1364" s="82">
        <f>Source!BZ259</f>
        <v>112</v>
      </c>
      <c r="F1364" s="82">
        <f>ROUND(0.9,7)</f>
        <v>0.9</v>
      </c>
      <c r="G1364" s="82">
        <f>Source!AT259</f>
        <v>100.8</v>
      </c>
      <c r="H1364" s="83"/>
      <c r="I1364" s="84"/>
      <c r="J1364" s="85">
        <f>SUM(AC1353:AC1366)</f>
        <v>571.75</v>
      </c>
      <c r="K1364" s="84"/>
      <c r="L1364" s="86">
        <f>SUM(AD1353:AD1366)</f>
        <v>13848</v>
      </c>
    </row>
    <row r="1365" spans="1:56" ht="14.4">
      <c r="A1365" s="114"/>
      <c r="B1365" s="113" t="s">
        <v>1536</v>
      </c>
      <c r="C1365" s="113" t="s">
        <v>1514</v>
      </c>
      <c r="D1365" s="89" t="s">
        <v>1383</v>
      </c>
      <c r="E1365" s="90">
        <f>Source!CA259</f>
        <v>65</v>
      </c>
      <c r="F1365" s="90">
        <f>ROUND(0.85,7)</f>
        <v>0.85</v>
      </c>
      <c r="G1365" s="90">
        <f>Source!AU259</f>
        <v>55.25</v>
      </c>
      <c r="H1365" s="91"/>
      <c r="I1365" s="92"/>
      <c r="J1365" s="93">
        <f>SUM(AE1353:AE1366)</f>
        <v>313.38</v>
      </c>
      <c r="K1365" s="92"/>
      <c r="L1365" s="94">
        <f>SUM(AF1353:AF1366)</f>
        <v>7590</v>
      </c>
    </row>
    <row r="1366" spans="1:56" ht="13.8">
      <c r="C1366" s="95" t="s">
        <v>1386</v>
      </c>
      <c r="D1366" s="95"/>
      <c r="E1366" s="95"/>
      <c r="F1366" s="95"/>
      <c r="G1366" s="95"/>
      <c r="H1366" s="95"/>
      <c r="I1366" s="95">
        <f>J1356+J1357+J1359+J1364+J1365</f>
        <v>3280.4100000000003</v>
      </c>
      <c r="J1366" s="95"/>
      <c r="O1366" s="69">
        <f>I1366</f>
        <v>3280.4100000000003</v>
      </c>
      <c r="P1366">
        <f>K1366</f>
        <v>0</v>
      </c>
      <c r="Q1366" s="69">
        <f>J1356</f>
        <v>535.42999999999995</v>
      </c>
      <c r="R1366" s="69">
        <f>J1356</f>
        <v>535.42999999999995</v>
      </c>
      <c r="U1366" s="70">
        <f>L1356</f>
        <v>12968</v>
      </c>
      <c r="V1366" s="69">
        <f>J1358</f>
        <v>31.78</v>
      </c>
      <c r="W1366" s="70">
        <f>L1358</f>
        <v>770</v>
      </c>
      <c r="X1366" s="69">
        <f>J1357</f>
        <v>83.95</v>
      </c>
      <c r="Z1366" s="70">
        <f>L1357</f>
        <v>0</v>
      </c>
      <c r="AB1366" s="69">
        <f>J1359</f>
        <v>1775.9</v>
      </c>
      <c r="AN1366">
        <f>IF(Source!BI259&lt;=1,J1356+J1357+J1359+J1364+J1365, 0)</f>
        <v>3280.4100000000003</v>
      </c>
      <c r="AO1366">
        <f>IF(Source!BI259&lt;=1,J1359, 0)</f>
        <v>1775.9</v>
      </c>
      <c r="AP1366">
        <f>IF(Source!BI259&lt;=1,J1357, 0)</f>
        <v>83.95</v>
      </c>
      <c r="AQ1366">
        <f>IF(Source!BI259&lt;=1,J1356, 0)</f>
        <v>535.42999999999995</v>
      </c>
      <c r="AX1366">
        <f>IF(Source!BI259=2,J1356+J1357+J1359+J1364+J1365, 0)</f>
        <v>0</v>
      </c>
      <c r="AY1366">
        <f>IF(Source!BI259=2,J1359, 0)</f>
        <v>0</v>
      </c>
      <c r="AZ1366">
        <f>IF(Source!BI259=2,J1357, 0)</f>
        <v>0</v>
      </c>
      <c r="BA1366">
        <f>IF(Source!BI259=2,J1356, 0)</f>
        <v>0</v>
      </c>
    </row>
    <row r="1367" spans="1:56" ht="147">
      <c r="A1367" s="110" t="str">
        <f>Source!E260</f>
        <v>145</v>
      </c>
      <c r="B1367" s="111" t="str">
        <f>Source!F260</f>
        <v>11-01-011-2</v>
      </c>
      <c r="C1367" s="111" t="s">
        <v>1537</v>
      </c>
      <c r="D1367" s="81" t="str">
        <f>Source!H260</f>
        <v>100 м2 стяжки</v>
      </c>
      <c r="E1367" s="82">
        <f>Source!K260</f>
        <v>1.3360000000000001</v>
      </c>
      <c r="F1367" s="82"/>
      <c r="G1367" s="82">
        <f>Source!I260</f>
        <v>1.3360000000000001</v>
      </c>
      <c r="H1367" s="83"/>
      <c r="I1367" s="84"/>
      <c r="J1367" s="85"/>
      <c r="K1367" s="84"/>
      <c r="L1367" s="86"/>
      <c r="AC1367">
        <f>Source!X260</f>
        <v>12.14</v>
      </c>
      <c r="AD1367">
        <f>Source!HK260</f>
        <v>293</v>
      </c>
      <c r="AE1367">
        <f>Source!Y260</f>
        <v>6.65</v>
      </c>
      <c r="AF1367">
        <f>Source!HL260</f>
        <v>161</v>
      </c>
      <c r="AS1367">
        <f>IF(Source!BI260&lt;=1,AD1367, 0)</f>
        <v>293</v>
      </c>
      <c r="AT1367">
        <f>IF(Source!BI260&lt;=1,AF1367, 0)</f>
        <v>161</v>
      </c>
      <c r="BC1367">
        <f>IF(Source!BI260=2,AD1367, 0)</f>
        <v>0</v>
      </c>
      <c r="BD1367">
        <f>IF(Source!BI260=2,AF1367, 0)</f>
        <v>0</v>
      </c>
    </row>
    <row r="1369" spans="1:56">
      <c r="C1369" s="67" t="str">
        <f>"Объем: "&amp;Source!K260&amp;"=33,4*"&amp;"4/"&amp;"100"</f>
        <v>Объем: 1,336=33,4*4/100</v>
      </c>
    </row>
    <row r="1370" spans="1:56" ht="14.4">
      <c r="A1370" s="110"/>
      <c r="B1370" s="112">
        <v>1</v>
      </c>
      <c r="C1370" s="111" t="s">
        <v>1373</v>
      </c>
      <c r="D1370" s="81"/>
      <c r="E1370" s="82"/>
      <c r="F1370" s="82"/>
      <c r="G1370" s="82"/>
      <c r="H1370" s="83">
        <f>Source!AO260</f>
        <v>3.84</v>
      </c>
      <c r="I1370" s="84">
        <f>ROUND(1.15*1.15,7)</f>
        <v>1.3225</v>
      </c>
      <c r="J1370" s="85">
        <f>ROUND(Source!AF260*Source!I260, 2)</f>
        <v>6.78</v>
      </c>
      <c r="K1370" s="84">
        <f>IF(Source!BA260&lt;&gt; 0, Source!BA260, 1)</f>
        <v>24.22</v>
      </c>
      <c r="L1370" s="86">
        <f>Source!HJ260</f>
        <v>164</v>
      </c>
    </row>
    <row r="1371" spans="1:56" ht="14.4">
      <c r="A1371" s="110"/>
      <c r="B1371" s="112">
        <v>3</v>
      </c>
      <c r="C1371" s="111" t="s">
        <v>1374</v>
      </c>
      <c r="D1371" s="81"/>
      <c r="E1371" s="82"/>
      <c r="F1371" s="82"/>
      <c r="G1371" s="82"/>
      <c r="H1371" s="83">
        <f>Source!AM260</f>
        <v>7.64</v>
      </c>
      <c r="I1371" s="84">
        <f>ROUND(1.25*1.15,7)</f>
        <v>1.4375</v>
      </c>
      <c r="J1371" s="85">
        <f>ROUND(Source!AD260*Source!I260, 2)</f>
        <v>14.67</v>
      </c>
      <c r="K1371" s="84"/>
      <c r="L1371" s="86"/>
    </row>
    <row r="1372" spans="1:56" ht="14.4">
      <c r="A1372" s="110"/>
      <c r="B1372" s="112">
        <v>2</v>
      </c>
      <c r="C1372" s="111" t="s">
        <v>1375</v>
      </c>
      <c r="D1372" s="81"/>
      <c r="E1372" s="82"/>
      <c r="F1372" s="82"/>
      <c r="G1372" s="82"/>
      <c r="H1372" s="83">
        <f>Source!AN260</f>
        <v>2.74</v>
      </c>
      <c r="I1372" s="84">
        <f>ROUND(1.25*1.15,7)</f>
        <v>1.4375</v>
      </c>
      <c r="J1372" s="87">
        <f>ROUND(Source!AE260*Source!I260, 2)</f>
        <v>5.26</v>
      </c>
      <c r="K1372" s="84">
        <f>IF(Source!BS260&lt;&gt; 0, Source!BS260, 1)</f>
        <v>24.22</v>
      </c>
      <c r="L1372" s="88">
        <f>Source!HI260</f>
        <v>127</v>
      </c>
    </row>
    <row r="1373" spans="1:56" ht="14.4">
      <c r="A1373" s="110"/>
      <c r="B1373" s="112">
        <v>4</v>
      </c>
      <c r="C1373" s="111" t="s">
        <v>1408</v>
      </c>
      <c r="D1373" s="81"/>
      <c r="E1373" s="82"/>
      <c r="F1373" s="82"/>
      <c r="G1373" s="82"/>
      <c r="H1373" s="83">
        <f>Source!AL260</f>
        <v>330.17</v>
      </c>
      <c r="I1373" s="84"/>
      <c r="J1373" s="85">
        <f>ROUND(Source!AC260*Source!I260, 2)</f>
        <v>441.11</v>
      </c>
      <c r="K1373" s="84"/>
      <c r="L1373" s="86"/>
    </row>
    <row r="1374" spans="1:56" ht="14.4">
      <c r="A1374" s="110"/>
      <c r="B1374" s="111"/>
      <c r="C1374" s="111" t="s">
        <v>1376</v>
      </c>
      <c r="D1374" s="81" t="s">
        <v>1377</v>
      </c>
      <c r="E1374" s="82">
        <f>Source!AQ260</f>
        <v>0.5</v>
      </c>
      <c r="F1374" s="82">
        <f>ROUND(1.15*1.15,7)</f>
        <v>1.3225</v>
      </c>
      <c r="G1374" s="82">
        <f>ROUND(Source!U260, 7)</f>
        <v>0.88343000000000005</v>
      </c>
      <c r="H1374" s="83"/>
      <c r="I1374" s="84"/>
      <c r="J1374" s="85"/>
      <c r="K1374" s="84"/>
      <c r="L1374" s="86"/>
    </row>
    <row r="1375" spans="1:56" ht="14.4">
      <c r="A1375" s="110"/>
      <c r="B1375" s="111"/>
      <c r="C1375" s="113" t="s">
        <v>1378</v>
      </c>
      <c r="D1375" s="89" t="s">
        <v>1377</v>
      </c>
      <c r="E1375" s="90">
        <f>Source!AR260</f>
        <v>0.21</v>
      </c>
      <c r="F1375" s="90">
        <f>ROUND(1.25*1.15,7)</f>
        <v>1.4375</v>
      </c>
      <c r="G1375" s="90">
        <f>ROUND(Source!V260, 7)</f>
        <v>0.40330500000000002</v>
      </c>
      <c r="H1375" s="91"/>
      <c r="I1375" s="92"/>
      <c r="J1375" s="93"/>
      <c r="K1375" s="92"/>
      <c r="L1375" s="94"/>
    </row>
    <row r="1376" spans="1:56" ht="14.4">
      <c r="A1376" s="110"/>
      <c r="B1376" s="111"/>
      <c r="C1376" s="111" t="s">
        <v>1379</v>
      </c>
      <c r="D1376" s="81"/>
      <c r="E1376" s="82"/>
      <c r="F1376" s="82"/>
      <c r="G1376" s="82"/>
      <c r="H1376" s="83">
        <f>H1370+H1371+H1373</f>
        <v>341.65000000000003</v>
      </c>
      <c r="I1376" s="84"/>
      <c r="J1376" s="85">
        <f>J1370+J1371+J1373</f>
        <v>462.56</v>
      </c>
      <c r="K1376" s="84"/>
      <c r="L1376" s="86"/>
    </row>
    <row r="1377" spans="1:56" ht="14.4">
      <c r="A1377" s="110"/>
      <c r="B1377" s="111"/>
      <c r="C1377" s="111" t="s">
        <v>1380</v>
      </c>
      <c r="D1377" s="81"/>
      <c r="E1377" s="82"/>
      <c r="F1377" s="82"/>
      <c r="G1377" s="82"/>
      <c r="H1377" s="83"/>
      <c r="I1377" s="84"/>
      <c r="J1377" s="85">
        <f>SUM(Q1367:Q1380)+SUM(V1367:V1380)</f>
        <v>12.04</v>
      </c>
      <c r="K1377" s="84"/>
      <c r="L1377" s="86">
        <f>SUM(U1367:U1380)+SUM(W1367:W1380)</f>
        <v>291</v>
      </c>
    </row>
    <row r="1378" spans="1:56" ht="14.4">
      <c r="A1378" s="110"/>
      <c r="B1378" s="111" t="s">
        <v>1535</v>
      </c>
      <c r="C1378" s="111" t="s">
        <v>1512</v>
      </c>
      <c r="D1378" s="81" t="s">
        <v>1383</v>
      </c>
      <c r="E1378" s="82">
        <f>Source!BZ260</f>
        <v>112</v>
      </c>
      <c r="F1378" s="82">
        <f>ROUND(0.9,7)</f>
        <v>0.9</v>
      </c>
      <c r="G1378" s="82">
        <f>Source!AT260</f>
        <v>100.8</v>
      </c>
      <c r="H1378" s="83"/>
      <c r="I1378" s="84"/>
      <c r="J1378" s="85">
        <f>SUM(AC1367:AC1380)</f>
        <v>12.14</v>
      </c>
      <c r="K1378" s="84"/>
      <c r="L1378" s="86">
        <f>SUM(AD1367:AD1380)</f>
        <v>293</v>
      </c>
    </row>
    <row r="1379" spans="1:56" ht="14.4">
      <c r="A1379" s="114"/>
      <c r="B1379" s="113" t="s">
        <v>1536</v>
      </c>
      <c r="C1379" s="113" t="s">
        <v>1514</v>
      </c>
      <c r="D1379" s="89" t="s">
        <v>1383</v>
      </c>
      <c r="E1379" s="90">
        <f>Source!CA260</f>
        <v>65</v>
      </c>
      <c r="F1379" s="90">
        <f>ROUND(0.85,7)</f>
        <v>0.85</v>
      </c>
      <c r="G1379" s="90">
        <f>Source!AU260</f>
        <v>55.25</v>
      </c>
      <c r="H1379" s="91"/>
      <c r="I1379" s="92"/>
      <c r="J1379" s="93">
        <f>SUM(AE1367:AE1380)</f>
        <v>6.65</v>
      </c>
      <c r="K1379" s="92"/>
      <c r="L1379" s="94">
        <f>SUM(AF1367:AF1380)</f>
        <v>161</v>
      </c>
    </row>
    <row r="1380" spans="1:56" ht="13.8">
      <c r="C1380" s="95" t="s">
        <v>1386</v>
      </c>
      <c r="D1380" s="95"/>
      <c r="E1380" s="95"/>
      <c r="F1380" s="95"/>
      <c r="G1380" s="95"/>
      <c r="H1380" s="95"/>
      <c r="I1380" s="95">
        <f>J1370+J1371+J1373+J1378+J1379</f>
        <v>481.34999999999997</v>
      </c>
      <c r="J1380" s="95"/>
      <c r="O1380" s="69">
        <f>I1380</f>
        <v>481.34999999999997</v>
      </c>
      <c r="P1380">
        <f>K1380</f>
        <v>0</v>
      </c>
      <c r="Q1380" s="69">
        <f>J1370</f>
        <v>6.78</v>
      </c>
      <c r="R1380" s="69">
        <f>J1370</f>
        <v>6.78</v>
      </c>
      <c r="U1380" s="70">
        <f>L1370</f>
        <v>164</v>
      </c>
      <c r="V1380" s="69">
        <f>J1372</f>
        <v>5.26</v>
      </c>
      <c r="W1380" s="70">
        <f>L1372</f>
        <v>127</v>
      </c>
      <c r="X1380" s="69">
        <f>J1371</f>
        <v>14.67</v>
      </c>
      <c r="Z1380" s="70">
        <f>L1371</f>
        <v>0</v>
      </c>
      <c r="AB1380" s="69">
        <f>J1373</f>
        <v>441.11</v>
      </c>
      <c r="AN1380">
        <f>IF(Source!BI260&lt;=1,J1370+J1371+J1373+J1378+J1379, 0)</f>
        <v>481.34999999999997</v>
      </c>
      <c r="AO1380">
        <f>IF(Source!BI260&lt;=1,J1373, 0)</f>
        <v>441.11</v>
      </c>
      <c r="AP1380">
        <f>IF(Source!BI260&lt;=1,J1371, 0)</f>
        <v>14.67</v>
      </c>
      <c r="AQ1380">
        <f>IF(Source!BI260&lt;=1,J1370, 0)</f>
        <v>6.78</v>
      </c>
      <c r="AX1380">
        <f>IF(Source!BI260=2,J1370+J1371+J1373+J1378+J1379, 0)</f>
        <v>0</v>
      </c>
      <c r="AY1380">
        <f>IF(Source!BI260=2,J1373, 0)</f>
        <v>0</v>
      </c>
      <c r="AZ1380">
        <f>IF(Source!BI260=2,J1371, 0)</f>
        <v>0</v>
      </c>
      <c r="BA1380">
        <f>IF(Source!BI260=2,J1370, 0)</f>
        <v>0</v>
      </c>
    </row>
    <row r="1381" spans="1:56" ht="147">
      <c r="A1381" s="110" t="str">
        <f>Source!E261</f>
        <v>146</v>
      </c>
      <c r="B1381" s="111" t="str">
        <f>Source!F261</f>
        <v>11-01-004-3</v>
      </c>
      <c r="C1381" s="111" t="s">
        <v>1538</v>
      </c>
      <c r="D1381" s="81" t="str">
        <f>Source!H261</f>
        <v>100 м2 изолируемой поверхности</v>
      </c>
      <c r="E1381" s="82">
        <f>Source!K261</f>
        <v>1.472</v>
      </c>
      <c r="F1381" s="82"/>
      <c r="G1381" s="82">
        <f>Source!I261</f>
        <v>1.472</v>
      </c>
      <c r="H1381" s="83"/>
      <c r="I1381" s="84"/>
      <c r="J1381" s="85"/>
      <c r="K1381" s="84"/>
      <c r="L1381" s="86"/>
      <c r="AC1381">
        <f>Source!X261</f>
        <v>632.51</v>
      </c>
      <c r="AD1381">
        <f>Source!HK261</f>
        <v>15320</v>
      </c>
      <c r="AE1381">
        <f>Source!Y261</f>
        <v>346.69</v>
      </c>
      <c r="AF1381">
        <f>Source!HL261</f>
        <v>8397</v>
      </c>
      <c r="AS1381">
        <f>IF(Source!BI261&lt;=1,AD1381, 0)</f>
        <v>15320</v>
      </c>
      <c r="AT1381">
        <f>IF(Source!BI261&lt;=1,AF1381, 0)</f>
        <v>8397</v>
      </c>
      <c r="BC1381">
        <f>IF(Source!BI261=2,AD1381, 0)</f>
        <v>0</v>
      </c>
      <c r="BD1381">
        <f>IF(Source!BI261=2,AF1381, 0)</f>
        <v>0</v>
      </c>
    </row>
    <row r="1383" spans="1:56">
      <c r="C1383" s="67" t="str">
        <f>"Объем: "&amp;Source!K261&amp;"=36,8*"&amp;"4/"&amp;"100"</f>
        <v>Объем: 1,472=36,8*4/100</v>
      </c>
    </row>
    <row r="1384" spans="1:56" ht="14.4">
      <c r="A1384" s="110"/>
      <c r="B1384" s="112">
        <v>1</v>
      </c>
      <c r="C1384" s="111" t="s">
        <v>1373</v>
      </c>
      <c r="D1384" s="81"/>
      <c r="E1384" s="82"/>
      <c r="F1384" s="82"/>
      <c r="G1384" s="82"/>
      <c r="H1384" s="83">
        <f>Source!AO261</f>
        <v>319.07</v>
      </c>
      <c r="I1384" s="84">
        <f>ROUND(1.15*1.15,7)</f>
        <v>1.3225</v>
      </c>
      <c r="J1384" s="85">
        <f>ROUND(Source!AF261*Source!I261, 2)</f>
        <v>621.14</v>
      </c>
      <c r="K1384" s="84">
        <f>IF(Source!BA261&lt;&gt; 0, Source!BA261, 1)</f>
        <v>24.22</v>
      </c>
      <c r="L1384" s="86">
        <f>Source!HJ261</f>
        <v>15044</v>
      </c>
    </row>
    <row r="1385" spans="1:56" ht="14.4">
      <c r="A1385" s="110"/>
      <c r="B1385" s="112">
        <v>3</v>
      </c>
      <c r="C1385" s="111" t="s">
        <v>1374</v>
      </c>
      <c r="D1385" s="81"/>
      <c r="E1385" s="82"/>
      <c r="F1385" s="82"/>
      <c r="G1385" s="82"/>
      <c r="H1385" s="83">
        <f>Source!AM261</f>
        <v>56.23</v>
      </c>
      <c r="I1385" s="84">
        <f>ROUND(1.25*1.15,7)</f>
        <v>1.4375</v>
      </c>
      <c r="J1385" s="85">
        <f>ROUND(Source!AD261*Source!I261, 2)</f>
        <v>118.98</v>
      </c>
      <c r="K1385" s="84"/>
      <c r="L1385" s="86"/>
    </row>
    <row r="1386" spans="1:56" ht="14.4">
      <c r="A1386" s="110"/>
      <c r="B1386" s="112">
        <v>2</v>
      </c>
      <c r="C1386" s="111" t="s">
        <v>1375</v>
      </c>
      <c r="D1386" s="81"/>
      <c r="E1386" s="82"/>
      <c r="F1386" s="82"/>
      <c r="G1386" s="82"/>
      <c r="H1386" s="83">
        <f>Source!AN261</f>
        <v>3</v>
      </c>
      <c r="I1386" s="84">
        <f>ROUND(1.25*1.15,7)</f>
        <v>1.4375</v>
      </c>
      <c r="J1386" s="87">
        <f>ROUND(Source!AE261*Source!I261, 2)</f>
        <v>6.35</v>
      </c>
      <c r="K1386" s="84">
        <f>IF(Source!BS261&lt;&gt; 0, Source!BS261, 1)</f>
        <v>24.22</v>
      </c>
      <c r="L1386" s="88">
        <f>Source!HI261</f>
        <v>154</v>
      </c>
    </row>
    <row r="1387" spans="1:56" ht="14.4">
      <c r="A1387" s="110"/>
      <c r="B1387" s="112">
        <v>4</v>
      </c>
      <c r="C1387" s="111" t="s">
        <v>1408</v>
      </c>
      <c r="D1387" s="81"/>
      <c r="E1387" s="82"/>
      <c r="F1387" s="82"/>
      <c r="G1387" s="82"/>
      <c r="H1387" s="83">
        <f>Source!AL261</f>
        <v>3676.88</v>
      </c>
      <c r="I1387" s="84"/>
      <c r="J1387" s="85">
        <f>ROUND(Source!AC261*Source!I261, 2)</f>
        <v>5412.37</v>
      </c>
      <c r="K1387" s="84"/>
      <c r="L1387" s="86"/>
    </row>
    <row r="1388" spans="1:56" ht="14.4">
      <c r="A1388" s="110"/>
      <c r="B1388" s="111"/>
      <c r="C1388" s="111" t="s">
        <v>1376</v>
      </c>
      <c r="D1388" s="81" t="s">
        <v>1377</v>
      </c>
      <c r="E1388" s="82">
        <f>Source!AQ261</f>
        <v>32.86</v>
      </c>
      <c r="F1388" s="82">
        <f>ROUND(1.15*1.15,7)</f>
        <v>1.3225</v>
      </c>
      <c r="G1388" s="82">
        <f>ROUND(Source!U261, 7)</f>
        <v>63.969219199999998</v>
      </c>
      <c r="H1388" s="83"/>
      <c r="I1388" s="84"/>
      <c r="J1388" s="85"/>
      <c r="K1388" s="84"/>
      <c r="L1388" s="86"/>
    </row>
    <row r="1389" spans="1:56" ht="14.4">
      <c r="A1389" s="110"/>
      <c r="B1389" s="111"/>
      <c r="C1389" s="113" t="s">
        <v>1378</v>
      </c>
      <c r="D1389" s="89" t="s">
        <v>1377</v>
      </c>
      <c r="E1389" s="90">
        <f>Source!AR261</f>
        <v>0.23</v>
      </c>
      <c r="F1389" s="90">
        <f>ROUND(1.25*1.15,7)</f>
        <v>1.4375</v>
      </c>
      <c r="G1389" s="90">
        <f>ROUND(Source!V261, 7)</f>
        <v>0.48668</v>
      </c>
      <c r="H1389" s="91"/>
      <c r="I1389" s="92"/>
      <c r="J1389" s="93"/>
      <c r="K1389" s="92"/>
      <c r="L1389" s="94"/>
    </row>
    <row r="1390" spans="1:56" ht="14.4">
      <c r="A1390" s="110"/>
      <c r="B1390" s="111"/>
      <c r="C1390" s="111" t="s">
        <v>1379</v>
      </c>
      <c r="D1390" s="81"/>
      <c r="E1390" s="82"/>
      <c r="F1390" s="82"/>
      <c r="G1390" s="82"/>
      <c r="H1390" s="83">
        <f>H1384+H1385+H1387</f>
        <v>4052.1800000000003</v>
      </c>
      <c r="I1390" s="84"/>
      <c r="J1390" s="85">
        <f>J1384+J1385+J1387</f>
        <v>6152.49</v>
      </c>
      <c r="K1390" s="84"/>
      <c r="L1390" s="86"/>
    </row>
    <row r="1391" spans="1:56" ht="14.4">
      <c r="A1391" s="110"/>
      <c r="B1391" s="111"/>
      <c r="C1391" s="111" t="s">
        <v>1380</v>
      </c>
      <c r="D1391" s="81"/>
      <c r="E1391" s="82"/>
      <c r="F1391" s="82"/>
      <c r="G1391" s="82"/>
      <c r="H1391" s="83"/>
      <c r="I1391" s="84"/>
      <c r="J1391" s="85">
        <f>SUM(Q1381:Q1394)+SUM(V1381:V1394)</f>
        <v>627.49</v>
      </c>
      <c r="K1391" s="84"/>
      <c r="L1391" s="86">
        <f>SUM(U1381:U1394)+SUM(W1381:W1394)</f>
        <v>15198</v>
      </c>
    </row>
    <row r="1392" spans="1:56" ht="14.4">
      <c r="A1392" s="110"/>
      <c r="B1392" s="111" t="s">
        <v>1535</v>
      </c>
      <c r="C1392" s="111" t="s">
        <v>1512</v>
      </c>
      <c r="D1392" s="81" t="s">
        <v>1383</v>
      </c>
      <c r="E1392" s="82">
        <f>Source!BZ261</f>
        <v>112</v>
      </c>
      <c r="F1392" s="82">
        <f>ROUND(0.9,7)</f>
        <v>0.9</v>
      </c>
      <c r="G1392" s="82">
        <f>Source!AT261</f>
        <v>100.8</v>
      </c>
      <c r="H1392" s="83"/>
      <c r="I1392" s="84"/>
      <c r="J1392" s="85">
        <f>SUM(AC1381:AC1394)</f>
        <v>632.51</v>
      </c>
      <c r="K1392" s="84"/>
      <c r="L1392" s="86">
        <f>SUM(AD1381:AD1394)</f>
        <v>15320</v>
      </c>
    </row>
    <row r="1393" spans="1:56" ht="14.4">
      <c r="A1393" s="114"/>
      <c r="B1393" s="113" t="s">
        <v>1536</v>
      </c>
      <c r="C1393" s="113" t="s">
        <v>1514</v>
      </c>
      <c r="D1393" s="89" t="s">
        <v>1383</v>
      </c>
      <c r="E1393" s="90">
        <f>Source!CA261</f>
        <v>65</v>
      </c>
      <c r="F1393" s="90">
        <f>ROUND(0.85,7)</f>
        <v>0.85</v>
      </c>
      <c r="G1393" s="90">
        <f>Source!AU261</f>
        <v>55.25</v>
      </c>
      <c r="H1393" s="91"/>
      <c r="I1393" s="92"/>
      <c r="J1393" s="93">
        <f>SUM(AE1381:AE1394)</f>
        <v>346.69</v>
      </c>
      <c r="K1393" s="92"/>
      <c r="L1393" s="94">
        <f>SUM(AF1381:AF1394)</f>
        <v>8397</v>
      </c>
    </row>
    <row r="1394" spans="1:56" ht="13.8">
      <c r="C1394" s="95" t="s">
        <v>1386</v>
      </c>
      <c r="D1394" s="95"/>
      <c r="E1394" s="95"/>
      <c r="F1394" s="95"/>
      <c r="G1394" s="95"/>
      <c r="H1394" s="95"/>
      <c r="I1394" s="95">
        <f>J1384+J1385+J1387+J1392+J1393</f>
        <v>7131.69</v>
      </c>
      <c r="J1394" s="95"/>
      <c r="O1394" s="69">
        <f>I1394</f>
        <v>7131.69</v>
      </c>
      <c r="P1394">
        <f>K1394</f>
        <v>0</v>
      </c>
      <c r="Q1394" s="69">
        <f>J1384</f>
        <v>621.14</v>
      </c>
      <c r="R1394" s="69">
        <f>J1384</f>
        <v>621.14</v>
      </c>
      <c r="U1394" s="70">
        <f>L1384</f>
        <v>15044</v>
      </c>
      <c r="V1394" s="69">
        <f>J1386</f>
        <v>6.35</v>
      </c>
      <c r="W1394" s="70">
        <f>L1386</f>
        <v>154</v>
      </c>
      <c r="X1394" s="69">
        <f>J1385</f>
        <v>118.98</v>
      </c>
      <c r="Z1394" s="70">
        <f>L1385</f>
        <v>0</v>
      </c>
      <c r="AB1394" s="69">
        <f>J1387</f>
        <v>5412.37</v>
      </c>
      <c r="AN1394">
        <f>IF(Source!BI261&lt;=1,J1384+J1385+J1387+J1392+J1393, 0)</f>
        <v>7131.69</v>
      </c>
      <c r="AO1394">
        <f>IF(Source!BI261&lt;=1,J1387, 0)</f>
        <v>5412.37</v>
      </c>
      <c r="AP1394">
        <f>IF(Source!BI261&lt;=1,J1385, 0)</f>
        <v>118.98</v>
      </c>
      <c r="AQ1394">
        <f>IF(Source!BI261&lt;=1,J1384, 0)</f>
        <v>621.14</v>
      </c>
      <c r="AX1394">
        <f>IF(Source!BI261=2,J1384+J1385+J1387+J1392+J1393, 0)</f>
        <v>0</v>
      </c>
      <c r="AY1394">
        <f>IF(Source!BI261=2,J1387, 0)</f>
        <v>0</v>
      </c>
      <c r="AZ1394">
        <f>IF(Source!BI261=2,J1385, 0)</f>
        <v>0</v>
      </c>
      <c r="BA1394">
        <f>IF(Source!BI261=2,J1384, 0)</f>
        <v>0</v>
      </c>
    </row>
    <row r="1395" spans="1:56" ht="133.19999999999999">
      <c r="A1395" s="110" t="str">
        <f>Source!E262</f>
        <v>147</v>
      </c>
      <c r="B1395" s="111" t="str">
        <f>Source!F262</f>
        <v>11-01-011-1</v>
      </c>
      <c r="C1395" s="111" t="s">
        <v>1534</v>
      </c>
      <c r="D1395" s="81" t="str">
        <f>Source!H262</f>
        <v>100 м2 стяжки</v>
      </c>
      <c r="E1395" s="82">
        <f>Source!K262</f>
        <v>1.3360000000000001</v>
      </c>
      <c r="F1395" s="82"/>
      <c r="G1395" s="82">
        <f>Source!I262</f>
        <v>1.3360000000000001</v>
      </c>
      <c r="H1395" s="83"/>
      <c r="I1395" s="84"/>
      <c r="J1395" s="85"/>
      <c r="K1395" s="84"/>
      <c r="L1395" s="86"/>
      <c r="AC1395">
        <f>Source!X262</f>
        <v>571.75</v>
      </c>
      <c r="AD1395">
        <f>Source!HK262</f>
        <v>13848</v>
      </c>
      <c r="AE1395">
        <f>Source!Y262</f>
        <v>313.38</v>
      </c>
      <c r="AF1395">
        <f>Source!HL262</f>
        <v>7590</v>
      </c>
      <c r="AS1395">
        <f>IF(Source!BI262&lt;=1,AD1395, 0)</f>
        <v>13848</v>
      </c>
      <c r="AT1395">
        <f>IF(Source!BI262&lt;=1,AF1395, 0)</f>
        <v>7590</v>
      </c>
      <c r="BC1395">
        <f>IF(Source!BI262=2,AD1395, 0)</f>
        <v>0</v>
      </c>
      <c r="BD1395">
        <f>IF(Source!BI262=2,AF1395, 0)</f>
        <v>0</v>
      </c>
    </row>
    <row r="1397" spans="1:56">
      <c r="C1397" s="67" t="str">
        <f>"Объем: "&amp;Source!K262&amp;"=33,4*"&amp;"4/"&amp;"100"</f>
        <v>Объем: 1,336=33,4*4/100</v>
      </c>
    </row>
    <row r="1398" spans="1:56" ht="14.4">
      <c r="A1398" s="110"/>
      <c r="B1398" s="112">
        <v>1</v>
      </c>
      <c r="C1398" s="111" t="s">
        <v>1373</v>
      </c>
      <c r="D1398" s="81"/>
      <c r="E1398" s="82"/>
      <c r="F1398" s="82"/>
      <c r="G1398" s="82"/>
      <c r="H1398" s="83">
        <f>Source!AO262</f>
        <v>303.04000000000002</v>
      </c>
      <c r="I1398" s="84">
        <f>ROUND(1.15*1.15,7)</f>
        <v>1.3225</v>
      </c>
      <c r="J1398" s="85">
        <f>ROUND(Source!AF262*Source!I262, 2)</f>
        <v>535.42999999999995</v>
      </c>
      <c r="K1398" s="84">
        <f>IF(Source!BA262&lt;&gt; 0, Source!BA262, 1)</f>
        <v>24.22</v>
      </c>
      <c r="L1398" s="86">
        <f>Source!HJ262</f>
        <v>12968</v>
      </c>
    </row>
    <row r="1399" spans="1:56" ht="14.4">
      <c r="A1399" s="110"/>
      <c r="B1399" s="112">
        <v>3</v>
      </c>
      <c r="C1399" s="111" t="s">
        <v>1374</v>
      </c>
      <c r="D1399" s="81"/>
      <c r="E1399" s="82"/>
      <c r="F1399" s="82"/>
      <c r="G1399" s="82"/>
      <c r="H1399" s="83">
        <f>Source!AM262</f>
        <v>43.71</v>
      </c>
      <c r="I1399" s="84">
        <f>ROUND(1.25*1.15,7)</f>
        <v>1.4375</v>
      </c>
      <c r="J1399" s="85">
        <f>ROUND(Source!AD262*Source!I262, 2)</f>
        <v>83.95</v>
      </c>
      <c r="K1399" s="84"/>
      <c r="L1399" s="86"/>
    </row>
    <row r="1400" spans="1:56" ht="14.4">
      <c r="A1400" s="110"/>
      <c r="B1400" s="112">
        <v>2</v>
      </c>
      <c r="C1400" s="111" t="s">
        <v>1375</v>
      </c>
      <c r="D1400" s="81"/>
      <c r="E1400" s="82"/>
      <c r="F1400" s="82"/>
      <c r="G1400" s="82"/>
      <c r="H1400" s="83">
        <f>Source!AN262</f>
        <v>16.55</v>
      </c>
      <c r="I1400" s="84">
        <f>ROUND(1.25*1.15,7)</f>
        <v>1.4375</v>
      </c>
      <c r="J1400" s="87">
        <f>ROUND(Source!AE262*Source!I262, 2)</f>
        <v>31.78</v>
      </c>
      <c r="K1400" s="84">
        <f>IF(Source!BS262&lt;&gt; 0, Source!BS262, 1)</f>
        <v>24.22</v>
      </c>
      <c r="L1400" s="88">
        <f>Source!HI262</f>
        <v>770</v>
      </c>
    </row>
    <row r="1401" spans="1:56" ht="14.4">
      <c r="A1401" s="110"/>
      <c r="B1401" s="112">
        <v>4</v>
      </c>
      <c r="C1401" s="111" t="s">
        <v>1408</v>
      </c>
      <c r="D1401" s="81"/>
      <c r="E1401" s="82"/>
      <c r="F1401" s="82"/>
      <c r="G1401" s="82"/>
      <c r="H1401" s="83">
        <f>Source!AL262</f>
        <v>1329.27</v>
      </c>
      <c r="I1401" s="84"/>
      <c r="J1401" s="85">
        <f>ROUND(Source!AC262*Source!I262, 2)</f>
        <v>1775.9</v>
      </c>
      <c r="K1401" s="84"/>
      <c r="L1401" s="86"/>
    </row>
    <row r="1402" spans="1:56" ht="14.4">
      <c r="A1402" s="110"/>
      <c r="B1402" s="111"/>
      <c r="C1402" s="111" t="s">
        <v>1376</v>
      </c>
      <c r="D1402" s="81" t="s">
        <v>1377</v>
      </c>
      <c r="E1402" s="82">
        <f>Source!AQ262</f>
        <v>39.51</v>
      </c>
      <c r="F1402" s="82">
        <f>ROUND(1.15*1.15,7)</f>
        <v>1.3225</v>
      </c>
      <c r="G1402" s="82">
        <f>ROUND(Source!U262, 7)</f>
        <v>69.808638599999995</v>
      </c>
      <c r="H1402" s="83"/>
      <c r="I1402" s="84"/>
      <c r="J1402" s="85"/>
      <c r="K1402" s="84"/>
      <c r="L1402" s="86"/>
    </row>
    <row r="1403" spans="1:56" ht="14.4">
      <c r="A1403" s="110"/>
      <c r="B1403" s="111"/>
      <c r="C1403" s="113" t="s">
        <v>1378</v>
      </c>
      <c r="D1403" s="89" t="s">
        <v>1377</v>
      </c>
      <c r="E1403" s="90">
        <f>Source!AR262</f>
        <v>1.27</v>
      </c>
      <c r="F1403" s="90">
        <f>ROUND(1.25*1.15,7)</f>
        <v>1.4375</v>
      </c>
      <c r="G1403" s="90">
        <f>ROUND(Source!V262, 7)</f>
        <v>2.4390350000000001</v>
      </c>
      <c r="H1403" s="91"/>
      <c r="I1403" s="92"/>
      <c r="J1403" s="93"/>
      <c r="K1403" s="92"/>
      <c r="L1403" s="94"/>
    </row>
    <row r="1404" spans="1:56" ht="14.4">
      <c r="A1404" s="110"/>
      <c r="B1404" s="111"/>
      <c r="C1404" s="111" t="s">
        <v>1379</v>
      </c>
      <c r="D1404" s="81"/>
      <c r="E1404" s="82"/>
      <c r="F1404" s="82"/>
      <c r="G1404" s="82"/>
      <c r="H1404" s="83">
        <f>H1398+H1399+H1401</f>
        <v>1676.02</v>
      </c>
      <c r="I1404" s="84"/>
      <c r="J1404" s="85">
        <f>J1398+J1399+J1401</f>
        <v>2395.2800000000002</v>
      </c>
      <c r="K1404" s="84"/>
      <c r="L1404" s="86"/>
    </row>
    <row r="1405" spans="1:56" ht="14.4">
      <c r="A1405" s="110"/>
      <c r="B1405" s="111"/>
      <c r="C1405" s="111" t="s">
        <v>1380</v>
      </c>
      <c r="D1405" s="81"/>
      <c r="E1405" s="82"/>
      <c r="F1405" s="82"/>
      <c r="G1405" s="82"/>
      <c r="H1405" s="83"/>
      <c r="I1405" s="84"/>
      <c r="J1405" s="85">
        <f>SUM(Q1395:Q1408)+SUM(V1395:V1408)</f>
        <v>567.20999999999992</v>
      </c>
      <c r="K1405" s="84"/>
      <c r="L1405" s="86">
        <f>SUM(U1395:U1408)+SUM(W1395:W1408)</f>
        <v>13738</v>
      </c>
    </row>
    <row r="1406" spans="1:56" ht="14.4">
      <c r="A1406" s="110"/>
      <c r="B1406" s="111" t="s">
        <v>1535</v>
      </c>
      <c r="C1406" s="111" t="s">
        <v>1512</v>
      </c>
      <c r="D1406" s="81" t="s">
        <v>1383</v>
      </c>
      <c r="E1406" s="82">
        <f>Source!BZ262</f>
        <v>112</v>
      </c>
      <c r="F1406" s="82">
        <f>ROUND(0.9,7)</f>
        <v>0.9</v>
      </c>
      <c r="G1406" s="82">
        <f>Source!AT262</f>
        <v>100.8</v>
      </c>
      <c r="H1406" s="83"/>
      <c r="I1406" s="84"/>
      <c r="J1406" s="85">
        <f>SUM(AC1395:AC1408)</f>
        <v>571.75</v>
      </c>
      <c r="K1406" s="84"/>
      <c r="L1406" s="86">
        <f>SUM(AD1395:AD1408)</f>
        <v>13848</v>
      </c>
    </row>
    <row r="1407" spans="1:56" ht="14.4">
      <c r="A1407" s="114"/>
      <c r="B1407" s="113" t="s">
        <v>1536</v>
      </c>
      <c r="C1407" s="113" t="s">
        <v>1514</v>
      </c>
      <c r="D1407" s="89" t="s">
        <v>1383</v>
      </c>
      <c r="E1407" s="90">
        <f>Source!CA262</f>
        <v>65</v>
      </c>
      <c r="F1407" s="90">
        <f>ROUND(0.85,7)</f>
        <v>0.85</v>
      </c>
      <c r="G1407" s="90">
        <f>Source!AU262</f>
        <v>55.25</v>
      </c>
      <c r="H1407" s="91"/>
      <c r="I1407" s="92"/>
      <c r="J1407" s="93">
        <f>SUM(AE1395:AE1408)</f>
        <v>313.38</v>
      </c>
      <c r="K1407" s="92"/>
      <c r="L1407" s="94">
        <f>SUM(AF1395:AF1408)</f>
        <v>7590</v>
      </c>
    </row>
    <row r="1408" spans="1:56" ht="13.8">
      <c r="C1408" s="95" t="s">
        <v>1386</v>
      </c>
      <c r="D1408" s="95"/>
      <c r="E1408" s="95"/>
      <c r="F1408" s="95"/>
      <c r="G1408" s="95"/>
      <c r="H1408" s="95"/>
      <c r="I1408" s="95">
        <f>J1398+J1399+J1401+J1406+J1407</f>
        <v>3280.4100000000003</v>
      </c>
      <c r="J1408" s="95"/>
      <c r="O1408" s="69">
        <f>I1408</f>
        <v>3280.4100000000003</v>
      </c>
      <c r="P1408">
        <f>K1408</f>
        <v>0</v>
      </c>
      <c r="Q1408" s="69">
        <f>J1398</f>
        <v>535.42999999999995</v>
      </c>
      <c r="R1408" s="69">
        <f>J1398</f>
        <v>535.42999999999995</v>
      </c>
      <c r="U1408" s="70">
        <f>L1398</f>
        <v>12968</v>
      </c>
      <c r="V1408" s="69">
        <f>J1400</f>
        <v>31.78</v>
      </c>
      <c r="W1408" s="70">
        <f>L1400</f>
        <v>770</v>
      </c>
      <c r="X1408" s="69">
        <f>J1399</f>
        <v>83.95</v>
      </c>
      <c r="Z1408" s="70">
        <f>L1399</f>
        <v>0</v>
      </c>
      <c r="AB1408" s="69">
        <f>J1401</f>
        <v>1775.9</v>
      </c>
      <c r="AN1408">
        <f>IF(Source!BI262&lt;=1,J1398+J1399+J1401+J1406+J1407, 0)</f>
        <v>3280.4100000000003</v>
      </c>
      <c r="AO1408">
        <f>IF(Source!BI262&lt;=1,J1401, 0)</f>
        <v>1775.9</v>
      </c>
      <c r="AP1408">
        <f>IF(Source!BI262&lt;=1,J1399, 0)</f>
        <v>83.95</v>
      </c>
      <c r="AQ1408">
        <f>IF(Source!BI262&lt;=1,J1398, 0)</f>
        <v>535.42999999999995</v>
      </c>
      <c r="AX1408">
        <f>IF(Source!BI262=2,J1398+J1399+J1401+J1406+J1407, 0)</f>
        <v>0</v>
      </c>
      <c r="AY1408">
        <f>IF(Source!BI262=2,J1401, 0)</f>
        <v>0</v>
      </c>
      <c r="AZ1408">
        <f>IF(Source!BI262=2,J1399, 0)</f>
        <v>0</v>
      </c>
      <c r="BA1408">
        <f>IF(Source!BI262=2,J1398, 0)</f>
        <v>0</v>
      </c>
    </row>
    <row r="1409" spans="1:56" ht="147">
      <c r="A1409" s="110" t="str">
        <f>Source!E263</f>
        <v>148</v>
      </c>
      <c r="B1409" s="111" t="str">
        <f>Source!F263</f>
        <v>11-01-011-2</v>
      </c>
      <c r="C1409" s="111" t="s">
        <v>1537</v>
      </c>
      <c r="D1409" s="81" t="str">
        <f>Source!H263</f>
        <v>100 м2 стяжки</v>
      </c>
      <c r="E1409" s="82">
        <f>Source!K263</f>
        <v>-1.3360000000000001</v>
      </c>
      <c r="F1409" s="82"/>
      <c r="G1409" s="82">
        <f>Source!I263</f>
        <v>-1.3360000000000001</v>
      </c>
      <c r="H1409" s="83"/>
      <c r="I1409" s="84"/>
      <c r="J1409" s="85"/>
      <c r="K1409" s="84"/>
      <c r="L1409" s="86"/>
      <c r="AC1409">
        <f>Source!X263</f>
        <v>-12.14</v>
      </c>
      <c r="AD1409">
        <f>Source!HK263</f>
        <v>-293</v>
      </c>
      <c r="AE1409">
        <f>Source!Y263</f>
        <v>-6.65</v>
      </c>
      <c r="AF1409">
        <f>Source!HL263</f>
        <v>-161</v>
      </c>
      <c r="AS1409">
        <f>IF(Source!BI263&lt;=1,AD1409, 0)</f>
        <v>-293</v>
      </c>
      <c r="AT1409">
        <f>IF(Source!BI263&lt;=1,AF1409, 0)</f>
        <v>-161</v>
      </c>
      <c r="BC1409">
        <f>IF(Source!BI263=2,AD1409, 0)</f>
        <v>0</v>
      </c>
      <c r="BD1409">
        <f>IF(Source!BI263=2,AF1409, 0)</f>
        <v>0</v>
      </c>
    </row>
    <row r="1411" spans="1:56">
      <c r="C1411" s="67" t="str">
        <f>"Объем: "&amp;Source!K263&amp;"=-"&amp;"33,4*"&amp;"4/"&amp;"100"</f>
        <v>Объем: -1,336=-33,4*4/100</v>
      </c>
    </row>
    <row r="1412" spans="1:56" ht="14.4">
      <c r="A1412" s="110"/>
      <c r="B1412" s="112">
        <v>1</v>
      </c>
      <c r="C1412" s="111" t="s">
        <v>1373</v>
      </c>
      <c r="D1412" s="81"/>
      <c r="E1412" s="82"/>
      <c r="F1412" s="82"/>
      <c r="G1412" s="82"/>
      <c r="H1412" s="83">
        <f>Source!AO263</f>
        <v>3.84</v>
      </c>
      <c r="I1412" s="84">
        <f>ROUND(1.15*1.15,7)</f>
        <v>1.3225</v>
      </c>
      <c r="J1412" s="85">
        <f>ROUND(Source!AF263*Source!I263, 2)</f>
        <v>-6.78</v>
      </c>
      <c r="K1412" s="84">
        <f>IF(Source!BA263&lt;&gt; 0, Source!BA263, 1)</f>
        <v>24.22</v>
      </c>
      <c r="L1412" s="86">
        <f>Source!HJ263</f>
        <v>-164</v>
      </c>
    </row>
    <row r="1413" spans="1:56" ht="14.4">
      <c r="A1413" s="110"/>
      <c r="B1413" s="112">
        <v>3</v>
      </c>
      <c r="C1413" s="111" t="s">
        <v>1374</v>
      </c>
      <c r="D1413" s="81"/>
      <c r="E1413" s="82"/>
      <c r="F1413" s="82"/>
      <c r="G1413" s="82"/>
      <c r="H1413" s="83">
        <f>Source!AM263</f>
        <v>7.64</v>
      </c>
      <c r="I1413" s="84">
        <f>ROUND(1.25*1.15,7)</f>
        <v>1.4375</v>
      </c>
      <c r="J1413" s="85">
        <f>ROUND(Source!AD263*Source!I263, 2)</f>
        <v>-14.67</v>
      </c>
      <c r="K1413" s="84"/>
      <c r="L1413" s="86"/>
    </row>
    <row r="1414" spans="1:56" ht="14.4">
      <c r="A1414" s="110"/>
      <c r="B1414" s="112">
        <v>2</v>
      </c>
      <c r="C1414" s="111" t="s">
        <v>1375</v>
      </c>
      <c r="D1414" s="81"/>
      <c r="E1414" s="82"/>
      <c r="F1414" s="82"/>
      <c r="G1414" s="82"/>
      <c r="H1414" s="83">
        <f>Source!AN263</f>
        <v>2.74</v>
      </c>
      <c r="I1414" s="84">
        <f>ROUND(1.25*1.15,7)</f>
        <v>1.4375</v>
      </c>
      <c r="J1414" s="87">
        <f>ROUND(Source!AE263*Source!I263, 2)</f>
        <v>-5.26</v>
      </c>
      <c r="K1414" s="84">
        <f>IF(Source!BS263&lt;&gt; 0, Source!BS263, 1)</f>
        <v>24.22</v>
      </c>
      <c r="L1414" s="88">
        <f>Source!HI263</f>
        <v>-127</v>
      </c>
    </row>
    <row r="1415" spans="1:56" ht="14.4">
      <c r="A1415" s="110"/>
      <c r="B1415" s="112">
        <v>4</v>
      </c>
      <c r="C1415" s="111" t="s">
        <v>1408</v>
      </c>
      <c r="D1415" s="81"/>
      <c r="E1415" s="82"/>
      <c r="F1415" s="82"/>
      <c r="G1415" s="82"/>
      <c r="H1415" s="83">
        <f>Source!AL263</f>
        <v>330.17</v>
      </c>
      <c r="I1415" s="84"/>
      <c r="J1415" s="85">
        <f>ROUND(Source!AC263*Source!I263, 2)</f>
        <v>-441.11</v>
      </c>
      <c r="K1415" s="84"/>
      <c r="L1415" s="86"/>
    </row>
    <row r="1416" spans="1:56" ht="14.4">
      <c r="A1416" s="110"/>
      <c r="B1416" s="111"/>
      <c r="C1416" s="111" t="s">
        <v>1376</v>
      </c>
      <c r="D1416" s="81" t="s">
        <v>1377</v>
      </c>
      <c r="E1416" s="82">
        <f>Source!AQ263</f>
        <v>0.5</v>
      </c>
      <c r="F1416" s="82">
        <f>ROUND(1.15*1.15,7)</f>
        <v>1.3225</v>
      </c>
      <c r="G1416" s="82">
        <f>ROUND(Source!U263, 7)</f>
        <v>-0.88343000000000005</v>
      </c>
      <c r="H1416" s="83"/>
      <c r="I1416" s="84"/>
      <c r="J1416" s="85"/>
      <c r="K1416" s="84"/>
      <c r="L1416" s="86"/>
    </row>
    <row r="1417" spans="1:56" ht="14.4">
      <c r="A1417" s="110"/>
      <c r="B1417" s="111"/>
      <c r="C1417" s="113" t="s">
        <v>1378</v>
      </c>
      <c r="D1417" s="89" t="s">
        <v>1377</v>
      </c>
      <c r="E1417" s="90">
        <f>Source!AR263</f>
        <v>0.21</v>
      </c>
      <c r="F1417" s="90">
        <f>ROUND(1.25*1.15,7)</f>
        <v>1.4375</v>
      </c>
      <c r="G1417" s="90">
        <f>ROUND(Source!V263, 7)</f>
        <v>-0.40330500000000002</v>
      </c>
      <c r="H1417" s="91"/>
      <c r="I1417" s="92"/>
      <c r="J1417" s="93"/>
      <c r="K1417" s="92"/>
      <c r="L1417" s="94"/>
    </row>
    <row r="1418" spans="1:56" ht="14.4">
      <c r="A1418" s="110"/>
      <c r="B1418" s="111"/>
      <c r="C1418" s="111" t="s">
        <v>1379</v>
      </c>
      <c r="D1418" s="81"/>
      <c r="E1418" s="82"/>
      <c r="F1418" s="82"/>
      <c r="G1418" s="82"/>
      <c r="H1418" s="83">
        <f>H1412+H1413+H1415</f>
        <v>341.65000000000003</v>
      </c>
      <c r="I1418" s="84"/>
      <c r="J1418" s="85">
        <f>J1412+J1413+J1415</f>
        <v>-462.56</v>
      </c>
      <c r="K1418" s="84"/>
      <c r="L1418" s="86"/>
    </row>
    <row r="1419" spans="1:56" ht="14.4">
      <c r="A1419" s="110"/>
      <c r="B1419" s="111"/>
      <c r="C1419" s="111" t="s">
        <v>1380</v>
      </c>
      <c r="D1419" s="81"/>
      <c r="E1419" s="82"/>
      <c r="F1419" s="82"/>
      <c r="G1419" s="82"/>
      <c r="H1419" s="83"/>
      <c r="I1419" s="84"/>
      <c r="J1419" s="85">
        <f>SUM(Q1409:Q1422)+SUM(V1409:V1422)</f>
        <v>-12.04</v>
      </c>
      <c r="K1419" s="84"/>
      <c r="L1419" s="86">
        <f>SUM(U1409:U1422)+SUM(W1409:W1422)</f>
        <v>-291</v>
      </c>
    </row>
    <row r="1420" spans="1:56" ht="14.4">
      <c r="A1420" s="110"/>
      <c r="B1420" s="111" t="s">
        <v>1535</v>
      </c>
      <c r="C1420" s="111" t="s">
        <v>1512</v>
      </c>
      <c r="D1420" s="81" t="s">
        <v>1383</v>
      </c>
      <c r="E1420" s="82">
        <f>Source!BZ263</f>
        <v>112</v>
      </c>
      <c r="F1420" s="82">
        <f>ROUND(0.9,7)</f>
        <v>0.9</v>
      </c>
      <c r="G1420" s="82">
        <f>Source!AT263</f>
        <v>100.8</v>
      </c>
      <c r="H1420" s="83"/>
      <c r="I1420" s="84"/>
      <c r="J1420" s="85">
        <f>SUM(AC1409:AC1422)</f>
        <v>-12.14</v>
      </c>
      <c r="K1420" s="84"/>
      <c r="L1420" s="86">
        <f>SUM(AD1409:AD1422)</f>
        <v>-293</v>
      </c>
    </row>
    <row r="1421" spans="1:56" ht="14.4">
      <c r="A1421" s="114"/>
      <c r="B1421" s="113" t="s">
        <v>1536</v>
      </c>
      <c r="C1421" s="113" t="s">
        <v>1514</v>
      </c>
      <c r="D1421" s="89" t="s">
        <v>1383</v>
      </c>
      <c r="E1421" s="90">
        <f>Source!CA263</f>
        <v>65</v>
      </c>
      <c r="F1421" s="90">
        <f>ROUND(0.85,7)</f>
        <v>0.85</v>
      </c>
      <c r="G1421" s="90">
        <f>Source!AU263</f>
        <v>55.25</v>
      </c>
      <c r="H1421" s="91"/>
      <c r="I1421" s="92"/>
      <c r="J1421" s="93">
        <f>SUM(AE1409:AE1422)</f>
        <v>-6.65</v>
      </c>
      <c r="K1421" s="92"/>
      <c r="L1421" s="94">
        <f>SUM(AF1409:AF1422)</f>
        <v>-161</v>
      </c>
    </row>
    <row r="1422" spans="1:56" ht="13.8">
      <c r="C1422" s="95" t="s">
        <v>1386</v>
      </c>
      <c r="D1422" s="95"/>
      <c r="E1422" s="95"/>
      <c r="F1422" s="95"/>
      <c r="G1422" s="95"/>
      <c r="H1422" s="95"/>
      <c r="I1422" s="95">
        <f>J1412+J1413+J1415+J1420+J1421</f>
        <v>-481.34999999999997</v>
      </c>
      <c r="J1422" s="95"/>
      <c r="O1422" s="69">
        <f>I1422</f>
        <v>-481.34999999999997</v>
      </c>
      <c r="P1422">
        <f>K1422</f>
        <v>0</v>
      </c>
      <c r="Q1422" s="69">
        <f>J1412</f>
        <v>-6.78</v>
      </c>
      <c r="R1422" s="69">
        <f>J1412</f>
        <v>-6.78</v>
      </c>
      <c r="U1422" s="70">
        <f>L1412</f>
        <v>-164</v>
      </c>
      <c r="V1422" s="69">
        <f>J1414</f>
        <v>-5.26</v>
      </c>
      <c r="W1422" s="70">
        <f>L1414</f>
        <v>-127</v>
      </c>
      <c r="X1422" s="69">
        <f>J1413</f>
        <v>-14.67</v>
      </c>
      <c r="Z1422" s="70">
        <f>L1413</f>
        <v>0</v>
      </c>
      <c r="AB1422" s="69">
        <f>J1415</f>
        <v>-441.11</v>
      </c>
      <c r="AN1422">
        <f>IF(Source!BI263&lt;=1,J1412+J1413+J1415+J1420+J1421, 0)</f>
        <v>-481.34999999999997</v>
      </c>
      <c r="AO1422">
        <f>IF(Source!BI263&lt;=1,J1415, 0)</f>
        <v>-441.11</v>
      </c>
      <c r="AP1422">
        <f>IF(Source!BI263&lt;=1,J1413, 0)</f>
        <v>-14.67</v>
      </c>
      <c r="AQ1422">
        <f>IF(Source!BI263&lt;=1,J1412, 0)</f>
        <v>-6.78</v>
      </c>
      <c r="AX1422">
        <f>IF(Source!BI263=2,J1412+J1413+J1415+J1420+J1421, 0)</f>
        <v>0</v>
      </c>
      <c r="AY1422">
        <f>IF(Source!BI263=2,J1415, 0)</f>
        <v>0</v>
      </c>
      <c r="AZ1422">
        <f>IF(Source!BI263=2,J1413, 0)</f>
        <v>0</v>
      </c>
      <c r="BA1422">
        <f>IF(Source!BI263=2,J1412, 0)</f>
        <v>0</v>
      </c>
    </row>
    <row r="1423" spans="1:56" ht="174.6">
      <c r="A1423" s="110" t="str">
        <f>Source!E264</f>
        <v>149</v>
      </c>
      <c r="B1423" s="111" t="str">
        <f>Source!F264</f>
        <v>11-01-027-6</v>
      </c>
      <c r="C1423" s="111" t="s">
        <v>1539</v>
      </c>
      <c r="D1423" s="81" t="str">
        <f>Source!H264</f>
        <v>100 м2 покрытия</v>
      </c>
      <c r="E1423" s="82">
        <f>Source!K264</f>
        <v>1.3360000000000001</v>
      </c>
      <c r="F1423" s="82"/>
      <c r="G1423" s="82">
        <f>Source!I264</f>
        <v>1.3360000000000001</v>
      </c>
      <c r="H1423" s="83"/>
      <c r="I1423" s="84"/>
      <c r="J1423" s="85"/>
      <c r="K1423" s="84"/>
      <c r="L1423" s="86"/>
      <c r="AC1423">
        <f>Source!X264</f>
        <v>1894.59</v>
      </c>
      <c r="AD1423">
        <f>Source!HK264</f>
        <v>45887</v>
      </c>
      <c r="AE1423">
        <f>Source!Y264</f>
        <v>1038.45</v>
      </c>
      <c r="AF1423">
        <f>Source!HL264</f>
        <v>25151</v>
      </c>
      <c r="AS1423">
        <f>IF(Source!BI264&lt;=1,AD1423, 0)</f>
        <v>45887</v>
      </c>
      <c r="AT1423">
        <f>IF(Source!BI264&lt;=1,AF1423, 0)</f>
        <v>25151</v>
      </c>
      <c r="BC1423">
        <f>IF(Source!BI264=2,AD1423, 0)</f>
        <v>0</v>
      </c>
      <c r="BD1423">
        <f>IF(Source!BI264=2,AF1423, 0)</f>
        <v>0</v>
      </c>
    </row>
    <row r="1425" spans="1:56">
      <c r="C1425" s="67" t="str">
        <f>"Объем: "&amp;Source!K264&amp;"=33,4*"&amp;"4/"&amp;"100"</f>
        <v>Объем: 1,336=33,4*4/100</v>
      </c>
    </row>
    <row r="1426" spans="1:56" ht="14.4">
      <c r="A1426" s="110"/>
      <c r="B1426" s="112">
        <v>1</v>
      </c>
      <c r="C1426" s="111" t="s">
        <v>1373</v>
      </c>
      <c r="D1426" s="81"/>
      <c r="E1426" s="82"/>
      <c r="F1426" s="82"/>
      <c r="G1426" s="82"/>
      <c r="H1426" s="83">
        <f>Source!AO264</f>
        <v>1010.94</v>
      </c>
      <c r="I1426" s="84">
        <f>ROUND(1.15*1.15,7)</f>
        <v>1.3225</v>
      </c>
      <c r="J1426" s="85">
        <f>ROUND(Source!AF264*Source!I264, 2)</f>
        <v>1786.19</v>
      </c>
      <c r="K1426" s="84">
        <f>IF(Source!BA264&lt;&gt; 0, Source!BA264, 1)</f>
        <v>24.22</v>
      </c>
      <c r="L1426" s="86">
        <f>Source!HJ264</f>
        <v>43262</v>
      </c>
    </row>
    <row r="1427" spans="1:56" ht="14.4">
      <c r="A1427" s="110"/>
      <c r="B1427" s="112">
        <v>3</v>
      </c>
      <c r="C1427" s="111" t="s">
        <v>1374</v>
      </c>
      <c r="D1427" s="81"/>
      <c r="E1427" s="82"/>
      <c r="F1427" s="82"/>
      <c r="G1427" s="82"/>
      <c r="H1427" s="83">
        <f>Source!AM264</f>
        <v>150.65</v>
      </c>
      <c r="I1427" s="84">
        <f>ROUND(1.25*1.15,7)</f>
        <v>1.4375</v>
      </c>
      <c r="J1427" s="85">
        <f>ROUND(Source!AD264*Source!I264, 2)</f>
        <v>289.32</v>
      </c>
      <c r="K1427" s="84"/>
      <c r="L1427" s="86"/>
    </row>
    <row r="1428" spans="1:56" ht="14.4">
      <c r="A1428" s="110"/>
      <c r="B1428" s="112">
        <v>2</v>
      </c>
      <c r="C1428" s="111" t="s">
        <v>1375</v>
      </c>
      <c r="D1428" s="81"/>
      <c r="E1428" s="82"/>
      <c r="F1428" s="82"/>
      <c r="G1428" s="82"/>
      <c r="H1428" s="83">
        <f>Source!AN264</f>
        <v>48.61</v>
      </c>
      <c r="I1428" s="84">
        <f>ROUND(1.25*1.15,7)</f>
        <v>1.4375</v>
      </c>
      <c r="J1428" s="87">
        <f>ROUND(Source!AE264*Source!I264, 2)</f>
        <v>93.36</v>
      </c>
      <c r="K1428" s="84">
        <f>IF(Source!BS264&lt;&gt; 0, Source!BS264, 1)</f>
        <v>24.22</v>
      </c>
      <c r="L1428" s="88">
        <f>Source!HI264</f>
        <v>2261</v>
      </c>
    </row>
    <row r="1429" spans="1:56" ht="14.4">
      <c r="A1429" s="110"/>
      <c r="B1429" s="112">
        <v>4</v>
      </c>
      <c r="C1429" s="111" t="s">
        <v>1408</v>
      </c>
      <c r="D1429" s="81"/>
      <c r="E1429" s="82"/>
      <c r="F1429" s="82"/>
      <c r="G1429" s="82"/>
      <c r="H1429" s="83">
        <f>Source!AL264</f>
        <v>10968.16</v>
      </c>
      <c r="I1429" s="84"/>
      <c r="J1429" s="85">
        <f>ROUND(Source!AC264*Source!I264, 2)</f>
        <v>14653.46</v>
      </c>
      <c r="K1429" s="84"/>
      <c r="L1429" s="86"/>
    </row>
    <row r="1430" spans="1:56" ht="14.4">
      <c r="A1430" s="110"/>
      <c r="B1430" s="111"/>
      <c r="C1430" s="111" t="s">
        <v>1376</v>
      </c>
      <c r="D1430" s="81" t="s">
        <v>1377</v>
      </c>
      <c r="E1430" s="82">
        <f>Source!AQ264</f>
        <v>119.78</v>
      </c>
      <c r="F1430" s="82">
        <f>ROUND(1.15*1.15,7)</f>
        <v>1.3225</v>
      </c>
      <c r="G1430" s="82">
        <f>ROUND(Source!U264, 7)</f>
        <v>211.63449080000001</v>
      </c>
      <c r="H1430" s="83"/>
      <c r="I1430" s="84"/>
      <c r="J1430" s="85"/>
      <c r="K1430" s="84"/>
      <c r="L1430" s="86"/>
    </row>
    <row r="1431" spans="1:56" ht="14.4">
      <c r="A1431" s="110"/>
      <c r="B1431" s="111"/>
      <c r="C1431" s="113" t="s">
        <v>1378</v>
      </c>
      <c r="D1431" s="89" t="s">
        <v>1377</v>
      </c>
      <c r="E1431" s="90">
        <f>Source!AR264</f>
        <v>4.22</v>
      </c>
      <c r="F1431" s="90">
        <f>ROUND(1.25*1.15,7)</f>
        <v>1.4375</v>
      </c>
      <c r="G1431" s="90">
        <f>ROUND(Source!V264, 7)</f>
        <v>8.1045099999999994</v>
      </c>
      <c r="H1431" s="91"/>
      <c r="I1431" s="92"/>
      <c r="J1431" s="93"/>
      <c r="K1431" s="92"/>
      <c r="L1431" s="94"/>
    </row>
    <row r="1432" spans="1:56" ht="14.4">
      <c r="A1432" s="110"/>
      <c r="B1432" s="111"/>
      <c r="C1432" s="111" t="s">
        <v>1379</v>
      </c>
      <c r="D1432" s="81"/>
      <c r="E1432" s="82"/>
      <c r="F1432" s="82"/>
      <c r="G1432" s="82"/>
      <c r="H1432" s="83">
        <f>H1426+H1427+H1429</f>
        <v>12129.75</v>
      </c>
      <c r="I1432" s="84"/>
      <c r="J1432" s="85">
        <f>J1426+J1427+J1429</f>
        <v>16728.97</v>
      </c>
      <c r="K1432" s="84"/>
      <c r="L1432" s="86"/>
    </row>
    <row r="1433" spans="1:56" ht="14.4">
      <c r="A1433" s="110"/>
      <c r="B1433" s="111"/>
      <c r="C1433" s="111" t="s">
        <v>1380</v>
      </c>
      <c r="D1433" s="81"/>
      <c r="E1433" s="82"/>
      <c r="F1433" s="82"/>
      <c r="G1433" s="82"/>
      <c r="H1433" s="83"/>
      <c r="I1433" s="84"/>
      <c r="J1433" s="85">
        <f>SUM(Q1423:Q1436)+SUM(V1423:V1436)</f>
        <v>1879.55</v>
      </c>
      <c r="K1433" s="84"/>
      <c r="L1433" s="86">
        <f>SUM(U1423:U1436)+SUM(W1423:W1436)</f>
        <v>45523</v>
      </c>
    </row>
    <row r="1434" spans="1:56" ht="14.4">
      <c r="A1434" s="110"/>
      <c r="B1434" s="111" t="s">
        <v>1535</v>
      </c>
      <c r="C1434" s="111" t="s">
        <v>1512</v>
      </c>
      <c r="D1434" s="81" t="s">
        <v>1383</v>
      </c>
      <c r="E1434" s="82">
        <f>Source!BZ264</f>
        <v>112</v>
      </c>
      <c r="F1434" s="82">
        <f>ROUND(0.9,7)</f>
        <v>0.9</v>
      </c>
      <c r="G1434" s="82">
        <f>Source!AT264</f>
        <v>100.8</v>
      </c>
      <c r="H1434" s="83"/>
      <c r="I1434" s="84"/>
      <c r="J1434" s="85">
        <f>SUM(AC1423:AC1436)</f>
        <v>1894.59</v>
      </c>
      <c r="K1434" s="84"/>
      <c r="L1434" s="86">
        <f>SUM(AD1423:AD1436)</f>
        <v>45887</v>
      </c>
    </row>
    <row r="1435" spans="1:56" ht="14.4">
      <c r="A1435" s="114"/>
      <c r="B1435" s="113" t="s">
        <v>1536</v>
      </c>
      <c r="C1435" s="113" t="s">
        <v>1514</v>
      </c>
      <c r="D1435" s="89" t="s">
        <v>1383</v>
      </c>
      <c r="E1435" s="90">
        <f>Source!CA264</f>
        <v>65</v>
      </c>
      <c r="F1435" s="90">
        <f>ROUND(0.85,7)</f>
        <v>0.85</v>
      </c>
      <c r="G1435" s="90">
        <f>Source!AU264</f>
        <v>55.25</v>
      </c>
      <c r="H1435" s="91"/>
      <c r="I1435" s="92"/>
      <c r="J1435" s="93">
        <f>SUM(AE1423:AE1436)</f>
        <v>1038.45</v>
      </c>
      <c r="K1435" s="92"/>
      <c r="L1435" s="94">
        <f>SUM(AF1423:AF1436)</f>
        <v>25151</v>
      </c>
    </row>
    <row r="1436" spans="1:56" ht="13.8">
      <c r="C1436" s="95" t="s">
        <v>1386</v>
      </c>
      <c r="D1436" s="95"/>
      <c r="E1436" s="95"/>
      <c r="F1436" s="95"/>
      <c r="G1436" s="95"/>
      <c r="H1436" s="95"/>
      <c r="I1436" s="95">
        <f>J1426+J1427+J1429+J1434+J1435</f>
        <v>19662.010000000002</v>
      </c>
      <c r="J1436" s="95"/>
      <c r="O1436" s="69">
        <f>I1436</f>
        <v>19662.010000000002</v>
      </c>
      <c r="P1436">
        <f>K1436</f>
        <v>0</v>
      </c>
      <c r="Q1436" s="69">
        <f>J1426</f>
        <v>1786.19</v>
      </c>
      <c r="R1436" s="69">
        <f>J1426</f>
        <v>1786.19</v>
      </c>
      <c r="U1436" s="70">
        <f>L1426</f>
        <v>43262</v>
      </c>
      <c r="V1436" s="69">
        <f>J1428</f>
        <v>93.36</v>
      </c>
      <c r="W1436" s="70">
        <f>L1428</f>
        <v>2261</v>
      </c>
      <c r="X1436" s="69">
        <f>J1427</f>
        <v>289.32</v>
      </c>
      <c r="Z1436" s="70">
        <f>L1427</f>
        <v>0</v>
      </c>
      <c r="AB1436" s="69">
        <f>J1429</f>
        <v>14653.46</v>
      </c>
      <c r="AN1436">
        <f>IF(Source!BI264&lt;=1,J1426+J1427+J1429+J1434+J1435, 0)</f>
        <v>19662.010000000002</v>
      </c>
      <c r="AO1436">
        <f>IF(Source!BI264&lt;=1,J1429, 0)</f>
        <v>14653.46</v>
      </c>
      <c r="AP1436">
        <f>IF(Source!BI264&lt;=1,J1427, 0)</f>
        <v>289.32</v>
      </c>
      <c r="AQ1436">
        <f>IF(Source!BI264&lt;=1,J1426, 0)</f>
        <v>1786.19</v>
      </c>
      <c r="AX1436">
        <f>IF(Source!BI264=2,J1426+J1427+J1429+J1434+J1435, 0)</f>
        <v>0</v>
      </c>
      <c r="AY1436">
        <f>IF(Source!BI264=2,J1429, 0)</f>
        <v>0</v>
      </c>
      <c r="AZ1436">
        <f>IF(Source!BI264=2,J1427, 0)</f>
        <v>0</v>
      </c>
      <c r="BA1436">
        <f>IF(Source!BI264=2,J1426, 0)</f>
        <v>0</v>
      </c>
    </row>
    <row r="1437" spans="1:56" ht="55.2">
      <c r="A1437" s="110" t="str">
        <f>Source!E265</f>
        <v>150</v>
      </c>
      <c r="B1437" s="111" t="str">
        <f>Source!F265</f>
        <v>101-0287</v>
      </c>
      <c r="C1437" s="111" t="str">
        <f>Source!G265</f>
        <v>Плитки керамические для полов гладкие неглазурованные одноцветные с красителем квадратные и прямоугольные</v>
      </c>
      <c r="D1437" s="81" t="str">
        <f>Source!H265</f>
        <v>м2</v>
      </c>
      <c r="E1437" s="82">
        <f>Source!K265</f>
        <v>-136.27199999999999</v>
      </c>
      <c r="F1437" s="82"/>
      <c r="G1437" s="82">
        <f>Source!I265</f>
        <v>-136.27199999999999</v>
      </c>
      <c r="H1437" s="83">
        <f>Source!AL265</f>
        <v>97.53</v>
      </c>
      <c r="I1437" s="84"/>
      <c r="J1437" s="85">
        <f>ROUND(Source!AC265*Source!I265, 2)</f>
        <v>-13290.61</v>
      </c>
      <c r="K1437" s="84"/>
      <c r="L1437" s="86"/>
      <c r="AC1437">
        <f>Source!X265</f>
        <v>0</v>
      </c>
      <c r="AD1437">
        <f>Source!HK265</f>
        <v>0</v>
      </c>
      <c r="AE1437">
        <f>Source!Y265</f>
        <v>0</v>
      </c>
      <c r="AF1437">
        <f>Source!HL265</f>
        <v>0</v>
      </c>
      <c r="AS1437">
        <f>IF(Source!BI265&lt;=1,AD1437, 0)</f>
        <v>0</v>
      </c>
      <c r="AT1437">
        <f>IF(Source!BI265&lt;=1,AF1437, 0)</f>
        <v>0</v>
      </c>
      <c r="BC1437">
        <f>IF(Source!BI265=2,AD1437, 0)</f>
        <v>0</v>
      </c>
      <c r="BD1437">
        <f>IF(Source!BI265=2,AF1437, 0)</f>
        <v>0</v>
      </c>
    </row>
    <row r="1439" spans="1:56">
      <c r="A1439" s="71"/>
      <c r="B1439" s="71"/>
      <c r="C1439" s="72" t="str">
        <f>"Объем: "&amp;Source!K265&amp;"="&amp;Source!I264&amp;"*"&amp;"-"&amp;"102"</f>
        <v>Объем: -136,272=1,336*-102</v>
      </c>
      <c r="D1439" s="71"/>
      <c r="E1439" s="71"/>
      <c r="F1439" s="71"/>
      <c r="G1439" s="71"/>
      <c r="H1439" s="71"/>
      <c r="I1439" s="71"/>
      <c r="J1439" s="71"/>
      <c r="K1439" s="71"/>
      <c r="L1439" s="71"/>
    </row>
    <row r="1440" spans="1:56" ht="13.8">
      <c r="C1440" s="95" t="s">
        <v>1386</v>
      </c>
      <c r="D1440" s="95"/>
      <c r="E1440" s="95"/>
      <c r="F1440" s="95"/>
      <c r="G1440" s="95"/>
      <c r="H1440" s="95"/>
      <c r="I1440" s="95">
        <f>J1437</f>
        <v>-13290.61</v>
      </c>
      <c r="J1440" s="95"/>
      <c r="O1440" s="69">
        <f>I1440</f>
        <v>-13290.61</v>
      </c>
      <c r="P1440">
        <f>K1440</f>
        <v>0</v>
      </c>
      <c r="Q1440">
        <f>0</f>
        <v>0</v>
      </c>
      <c r="R1440">
        <f>0</f>
        <v>0</v>
      </c>
      <c r="U1440">
        <f>0</f>
        <v>0</v>
      </c>
      <c r="V1440">
        <f>0</f>
        <v>0</v>
      </c>
      <c r="W1440">
        <f>0</f>
        <v>0</v>
      </c>
      <c r="X1440">
        <f>0</f>
        <v>0</v>
      </c>
      <c r="Z1440">
        <f>0</f>
        <v>0</v>
      </c>
      <c r="AB1440" s="69">
        <f>I1440</f>
        <v>-13290.61</v>
      </c>
      <c r="AN1440">
        <f>IF(Source!BI265&lt;=1,J1437, 0)</f>
        <v>-13290.61</v>
      </c>
      <c r="AO1440">
        <f>IF(Source!BI265&lt;=1,I1440, 0)</f>
        <v>-13290.61</v>
      </c>
      <c r="AP1440">
        <f>IF(Source!BI265&lt;=1,0, 0)</f>
        <v>0</v>
      </c>
      <c r="AQ1440">
        <f>IF(Source!BI265&lt;=1,0, 0)</f>
        <v>0</v>
      </c>
      <c r="AX1440">
        <f>IF(Source!BI265=2,J1437, 0)</f>
        <v>0</v>
      </c>
      <c r="AY1440">
        <f>IF(Source!BI265=2,I1440, 0)</f>
        <v>0</v>
      </c>
      <c r="AZ1440">
        <f>IF(Source!BI265=2,0, 0)</f>
        <v>0</v>
      </c>
      <c r="BA1440">
        <f>IF(Source!BI265=2,0, 0)</f>
        <v>0</v>
      </c>
    </row>
    <row r="1441" spans="1:56" ht="27.6">
      <c r="A1441" s="110" t="str">
        <f>Source!E266</f>
        <v>151</v>
      </c>
      <c r="B1441" s="111" t="str">
        <f>Source!F266</f>
        <v>101-5581</v>
      </c>
      <c r="C1441" s="111" t="str">
        <f>Source!G266</f>
        <v>Плитки керамогранитные размером 300х300х8 мм, темно-серые</v>
      </c>
      <c r="D1441" s="81" t="str">
        <f>Source!H266</f>
        <v>м2</v>
      </c>
      <c r="E1441" s="82">
        <f>Source!K266</f>
        <v>136.27199999999999</v>
      </c>
      <c r="F1441" s="82"/>
      <c r="G1441" s="82">
        <f>Source!I266</f>
        <v>136.27199999999999</v>
      </c>
      <c r="H1441" s="83">
        <f>Source!AL266</f>
        <v>76.91</v>
      </c>
      <c r="I1441" s="84"/>
      <c r="J1441" s="85">
        <f>ROUND(Source!AC266*Source!I266, 2)</f>
        <v>10480.68</v>
      </c>
      <c r="K1441" s="84"/>
      <c r="L1441" s="86"/>
      <c r="AC1441">
        <f>Source!X266</f>
        <v>0</v>
      </c>
      <c r="AD1441">
        <f>Source!HK266</f>
        <v>0</v>
      </c>
      <c r="AE1441">
        <f>Source!Y266</f>
        <v>0</v>
      </c>
      <c r="AF1441">
        <f>Source!HL266</f>
        <v>0</v>
      </c>
      <c r="AS1441">
        <f>IF(Source!BI266&lt;=1,AD1441, 0)</f>
        <v>0</v>
      </c>
      <c r="AT1441">
        <f>IF(Source!BI266&lt;=1,AF1441, 0)</f>
        <v>0</v>
      </c>
      <c r="BC1441">
        <f>IF(Source!BI266=2,AD1441, 0)</f>
        <v>0</v>
      </c>
      <c r="BD1441">
        <f>IF(Source!BI266=2,AF1441, 0)</f>
        <v>0</v>
      </c>
    </row>
    <row r="1442" spans="1:56">
      <c r="A1442" s="71"/>
      <c r="B1442" s="71"/>
      <c r="C1442" s="71"/>
      <c r="D1442" s="71"/>
      <c r="E1442" s="71"/>
      <c r="F1442" s="71"/>
      <c r="G1442" s="71"/>
      <c r="H1442" s="71"/>
      <c r="I1442" s="71"/>
      <c r="J1442" s="71"/>
      <c r="K1442" s="71"/>
      <c r="L1442" s="71"/>
    </row>
    <row r="1443" spans="1:56" ht="13.8">
      <c r="C1443" s="95" t="s">
        <v>1386</v>
      </c>
      <c r="D1443" s="95"/>
      <c r="E1443" s="95"/>
      <c r="F1443" s="95"/>
      <c r="G1443" s="95"/>
      <c r="H1443" s="95"/>
      <c r="I1443" s="95">
        <f>J1441</f>
        <v>10480.68</v>
      </c>
      <c r="J1443" s="95"/>
      <c r="O1443" s="69">
        <f>I1443</f>
        <v>10480.68</v>
      </c>
      <c r="P1443">
        <f>K1443</f>
        <v>0</v>
      </c>
      <c r="Q1443">
        <f>0</f>
        <v>0</v>
      </c>
      <c r="R1443">
        <f>0</f>
        <v>0</v>
      </c>
      <c r="U1443">
        <f>0</f>
        <v>0</v>
      </c>
      <c r="V1443">
        <f>0</f>
        <v>0</v>
      </c>
      <c r="W1443">
        <f>0</f>
        <v>0</v>
      </c>
      <c r="X1443">
        <f>0</f>
        <v>0</v>
      </c>
      <c r="Z1443">
        <f>0</f>
        <v>0</v>
      </c>
      <c r="AB1443" s="69">
        <f>I1443</f>
        <v>10480.68</v>
      </c>
      <c r="AN1443">
        <f>IF(Source!BI266&lt;=1,J1441, 0)</f>
        <v>10480.68</v>
      </c>
      <c r="AO1443">
        <f>IF(Source!BI266&lt;=1,I1443, 0)</f>
        <v>10480.68</v>
      </c>
      <c r="AP1443">
        <f>IF(Source!BI266&lt;=1,0, 0)</f>
        <v>0</v>
      </c>
      <c r="AQ1443">
        <f>IF(Source!BI266&lt;=1,0, 0)</f>
        <v>0</v>
      </c>
      <c r="AX1443">
        <f>IF(Source!BI266=2,J1441, 0)</f>
        <v>0</v>
      </c>
      <c r="AY1443">
        <f>IF(Source!BI266=2,I1443, 0)</f>
        <v>0</v>
      </c>
      <c r="AZ1443">
        <f>IF(Source!BI266=2,0, 0)</f>
        <v>0</v>
      </c>
      <c r="BA1443">
        <f>IF(Source!BI266=2,0, 0)</f>
        <v>0</v>
      </c>
    </row>
    <row r="1444" spans="1:56" ht="147">
      <c r="A1444" s="110" t="str">
        <f>Source!E267</f>
        <v>152</v>
      </c>
      <c r="B1444" s="111" t="str">
        <f>Source!F267</f>
        <v>18-03-004-3</v>
      </c>
      <c r="C1444" s="111" t="s">
        <v>1540</v>
      </c>
      <c r="D1444" s="81" t="str">
        <f>Source!H267</f>
        <v>100 м труб нитки регистра</v>
      </c>
      <c r="E1444" s="82">
        <f>Source!K267</f>
        <v>0.4</v>
      </c>
      <c r="F1444" s="82"/>
      <c r="G1444" s="82">
        <f>Source!I267</f>
        <v>0.4</v>
      </c>
      <c r="H1444" s="83"/>
      <c r="I1444" s="84"/>
      <c r="J1444" s="85"/>
      <c r="K1444" s="84"/>
      <c r="L1444" s="86"/>
      <c r="AC1444">
        <f>Source!X267</f>
        <v>82.85</v>
      </c>
      <c r="AD1444">
        <f>Source!HK267</f>
        <v>2007</v>
      </c>
      <c r="AE1444">
        <f>Source!Y267</f>
        <v>46.56</v>
      </c>
      <c r="AF1444">
        <f>Source!HL267</f>
        <v>1128</v>
      </c>
      <c r="AS1444">
        <f>IF(Source!BI267&lt;=1,AD1444, 0)</f>
        <v>2007</v>
      </c>
      <c r="AT1444">
        <f>IF(Source!BI267&lt;=1,AF1444, 0)</f>
        <v>1128</v>
      </c>
      <c r="BC1444">
        <f>IF(Source!BI267=2,AD1444, 0)</f>
        <v>0</v>
      </c>
      <c r="BD1444">
        <f>IF(Source!BI267=2,AF1444, 0)</f>
        <v>0</v>
      </c>
    </row>
    <row r="1446" spans="1:56">
      <c r="C1446" s="67" t="str">
        <f>"Объем: "&amp;Source!K267&amp;"=10*"&amp;"4/"&amp;"100"</f>
        <v>Объем: 0,4=10*4/100</v>
      </c>
    </row>
    <row r="1447" spans="1:56" ht="14.4">
      <c r="A1447" s="110"/>
      <c r="B1447" s="112">
        <v>1</v>
      </c>
      <c r="C1447" s="111" t="s">
        <v>1373</v>
      </c>
      <c r="D1447" s="81"/>
      <c r="E1447" s="82"/>
      <c r="F1447" s="82"/>
      <c r="G1447" s="82"/>
      <c r="H1447" s="83">
        <f>Source!AO267</f>
        <v>142.26</v>
      </c>
      <c r="I1447" s="84">
        <f>ROUND(1.15*1.15,7)</f>
        <v>1.3225</v>
      </c>
      <c r="J1447" s="85">
        <f>ROUND(Source!AF267*Source!I267, 2)</f>
        <v>75.260000000000005</v>
      </c>
      <c r="K1447" s="84">
        <f>IF(Source!BA267&lt;&gt; 0, Source!BA267, 1)</f>
        <v>24.22</v>
      </c>
      <c r="L1447" s="86">
        <f>Source!HJ267</f>
        <v>1823</v>
      </c>
    </row>
    <row r="1448" spans="1:56" ht="14.4">
      <c r="A1448" s="110"/>
      <c r="B1448" s="112">
        <v>3</v>
      </c>
      <c r="C1448" s="111" t="s">
        <v>1374</v>
      </c>
      <c r="D1448" s="81"/>
      <c r="E1448" s="82"/>
      <c r="F1448" s="82"/>
      <c r="G1448" s="82"/>
      <c r="H1448" s="83">
        <f>Source!AM267</f>
        <v>49.66</v>
      </c>
      <c r="I1448" s="84">
        <f>ROUND(1.25*1.15,7)</f>
        <v>1.4375</v>
      </c>
      <c r="J1448" s="85">
        <f>ROUND(Source!AD267*Source!I267, 2)</f>
        <v>28.55</v>
      </c>
      <c r="K1448" s="84"/>
      <c r="L1448" s="86"/>
    </row>
    <row r="1449" spans="1:56" ht="14.4">
      <c r="A1449" s="110"/>
      <c r="B1449" s="112">
        <v>2</v>
      </c>
      <c r="C1449" s="111" t="s">
        <v>1375</v>
      </c>
      <c r="D1449" s="81"/>
      <c r="E1449" s="82"/>
      <c r="F1449" s="82"/>
      <c r="G1449" s="82"/>
      <c r="H1449" s="83">
        <f>Source!AN267</f>
        <v>1.43</v>
      </c>
      <c r="I1449" s="84">
        <f>ROUND(1.25*1.15,7)</f>
        <v>1.4375</v>
      </c>
      <c r="J1449" s="87">
        <f>ROUND(Source!AE267*Source!I267, 2)</f>
        <v>0.82</v>
      </c>
      <c r="K1449" s="84">
        <f>IF(Source!BS267&lt;&gt; 0, Source!BS267, 1)</f>
        <v>24.22</v>
      </c>
      <c r="L1449" s="88">
        <f>Source!HI267</f>
        <v>20</v>
      </c>
    </row>
    <row r="1450" spans="1:56" ht="14.4">
      <c r="A1450" s="110"/>
      <c r="B1450" s="112">
        <v>4</v>
      </c>
      <c r="C1450" s="111" t="s">
        <v>1408</v>
      </c>
      <c r="D1450" s="81"/>
      <c r="E1450" s="82"/>
      <c r="F1450" s="82"/>
      <c r="G1450" s="82"/>
      <c r="H1450" s="83">
        <f>Source!AL267</f>
        <v>2093.87</v>
      </c>
      <c r="I1450" s="84"/>
      <c r="J1450" s="85">
        <f>ROUND(Source!AC267*Source!I267, 2)</f>
        <v>837.55</v>
      </c>
      <c r="K1450" s="84"/>
      <c r="L1450" s="86"/>
    </row>
    <row r="1451" spans="1:56" ht="14.4">
      <c r="A1451" s="110"/>
      <c r="B1451" s="111"/>
      <c r="C1451" s="111" t="s">
        <v>1376</v>
      </c>
      <c r="D1451" s="81" t="s">
        <v>1377</v>
      </c>
      <c r="E1451" s="82">
        <f>Source!AQ267</f>
        <v>16.239999999999998</v>
      </c>
      <c r="F1451" s="82">
        <f>ROUND(1.15*1.15,7)</f>
        <v>1.3225</v>
      </c>
      <c r="G1451" s="82">
        <f>ROUND(Source!U267, 7)</f>
        <v>8.5909600000000008</v>
      </c>
      <c r="H1451" s="83"/>
      <c r="I1451" s="84"/>
      <c r="J1451" s="85"/>
      <c r="K1451" s="84"/>
      <c r="L1451" s="86"/>
    </row>
    <row r="1452" spans="1:56" ht="14.4">
      <c r="A1452" s="110"/>
      <c r="B1452" s="111"/>
      <c r="C1452" s="113" t="s">
        <v>1378</v>
      </c>
      <c r="D1452" s="89" t="s">
        <v>1377</v>
      </c>
      <c r="E1452" s="90">
        <f>Source!AR267</f>
        <v>0.11</v>
      </c>
      <c r="F1452" s="90">
        <f>ROUND(1.25*1.15,7)</f>
        <v>1.4375</v>
      </c>
      <c r="G1452" s="90">
        <f>ROUND(Source!V267, 7)</f>
        <v>6.3250000000000001E-2</v>
      </c>
      <c r="H1452" s="91"/>
      <c r="I1452" s="92"/>
      <c r="J1452" s="93"/>
      <c r="K1452" s="92"/>
      <c r="L1452" s="94"/>
    </row>
    <row r="1453" spans="1:56" ht="14.4">
      <c r="A1453" s="110"/>
      <c r="B1453" s="111"/>
      <c r="C1453" s="111" t="s">
        <v>1379</v>
      </c>
      <c r="D1453" s="81"/>
      <c r="E1453" s="82"/>
      <c r="F1453" s="82"/>
      <c r="G1453" s="82"/>
      <c r="H1453" s="83">
        <f>H1447+H1448+H1450</f>
        <v>2285.79</v>
      </c>
      <c r="I1453" s="84"/>
      <c r="J1453" s="85">
        <f>J1447+J1448+J1450</f>
        <v>941.3599999999999</v>
      </c>
      <c r="K1453" s="84"/>
      <c r="L1453" s="86"/>
    </row>
    <row r="1454" spans="1:56" ht="14.4">
      <c r="A1454" s="110"/>
      <c r="B1454" s="111"/>
      <c r="C1454" s="111" t="s">
        <v>1380</v>
      </c>
      <c r="D1454" s="81"/>
      <c r="E1454" s="82"/>
      <c r="F1454" s="82"/>
      <c r="G1454" s="82"/>
      <c r="H1454" s="83"/>
      <c r="I1454" s="84"/>
      <c r="J1454" s="85">
        <f>SUM(Q1444:Q1457)+SUM(V1444:V1457)</f>
        <v>76.08</v>
      </c>
      <c r="K1454" s="84"/>
      <c r="L1454" s="86">
        <f>SUM(U1444:U1457)+SUM(W1444:W1457)</f>
        <v>1843</v>
      </c>
    </row>
    <row r="1455" spans="1:56" ht="69">
      <c r="A1455" s="110"/>
      <c r="B1455" s="111" t="s">
        <v>1503</v>
      </c>
      <c r="C1455" s="111" t="s">
        <v>1504</v>
      </c>
      <c r="D1455" s="81" t="s">
        <v>1383</v>
      </c>
      <c r="E1455" s="82">
        <f>Source!BZ267</f>
        <v>121</v>
      </c>
      <c r="F1455" s="82">
        <f>ROUND(0.9,7)</f>
        <v>0.9</v>
      </c>
      <c r="G1455" s="82">
        <f>Source!AT267</f>
        <v>108.9</v>
      </c>
      <c r="H1455" s="83"/>
      <c r="I1455" s="84"/>
      <c r="J1455" s="85">
        <f>SUM(AC1444:AC1457)</f>
        <v>82.85</v>
      </c>
      <c r="K1455" s="84"/>
      <c r="L1455" s="86">
        <f>SUM(AD1444:AD1457)</f>
        <v>2007</v>
      </c>
    </row>
    <row r="1456" spans="1:56" ht="69">
      <c r="A1456" s="114"/>
      <c r="B1456" s="113" t="s">
        <v>1505</v>
      </c>
      <c r="C1456" s="113" t="s">
        <v>1506</v>
      </c>
      <c r="D1456" s="89" t="s">
        <v>1383</v>
      </c>
      <c r="E1456" s="90">
        <f>Source!CA267</f>
        <v>72</v>
      </c>
      <c r="F1456" s="90">
        <f>ROUND(0.85,7)</f>
        <v>0.85</v>
      </c>
      <c r="G1456" s="90">
        <f>Source!AU267</f>
        <v>61.2</v>
      </c>
      <c r="H1456" s="91"/>
      <c r="I1456" s="92"/>
      <c r="J1456" s="93">
        <f>SUM(AE1444:AE1457)</f>
        <v>46.56</v>
      </c>
      <c r="K1456" s="92"/>
      <c r="L1456" s="94">
        <f>SUM(AF1444:AF1457)</f>
        <v>1128</v>
      </c>
    </row>
    <row r="1457" spans="1:56" ht="13.8">
      <c r="C1457" s="95" t="s">
        <v>1386</v>
      </c>
      <c r="D1457" s="95"/>
      <c r="E1457" s="95"/>
      <c r="F1457" s="95"/>
      <c r="G1457" s="95"/>
      <c r="H1457" s="95"/>
      <c r="I1457" s="95">
        <f>J1447+J1448+J1450+J1455+J1456</f>
        <v>1070.7699999999998</v>
      </c>
      <c r="J1457" s="95"/>
      <c r="O1457" s="69">
        <f>I1457</f>
        <v>1070.7699999999998</v>
      </c>
      <c r="P1457">
        <f>K1457</f>
        <v>0</v>
      </c>
      <c r="Q1457" s="69">
        <f>J1447</f>
        <v>75.260000000000005</v>
      </c>
      <c r="R1457" s="69">
        <f>J1447</f>
        <v>75.260000000000005</v>
      </c>
      <c r="U1457" s="70">
        <f>L1447</f>
        <v>1823</v>
      </c>
      <c r="V1457" s="69">
        <f>J1449</f>
        <v>0.82</v>
      </c>
      <c r="W1457" s="70">
        <f>L1449</f>
        <v>20</v>
      </c>
      <c r="X1457" s="69">
        <f>J1448</f>
        <v>28.55</v>
      </c>
      <c r="Z1457" s="70">
        <f>L1448</f>
        <v>0</v>
      </c>
      <c r="AB1457" s="69">
        <f>J1450</f>
        <v>837.55</v>
      </c>
      <c r="AN1457">
        <f>IF(Source!BI267&lt;=1,J1447+J1448+J1450+J1455+J1456, 0)</f>
        <v>1070.7699999999998</v>
      </c>
      <c r="AO1457">
        <f>IF(Source!BI267&lt;=1,J1450, 0)</f>
        <v>837.55</v>
      </c>
      <c r="AP1457">
        <f>IF(Source!BI267&lt;=1,J1448, 0)</f>
        <v>28.55</v>
      </c>
      <c r="AQ1457">
        <f>IF(Source!BI267&lt;=1,J1447, 0)</f>
        <v>75.260000000000005</v>
      </c>
      <c r="AX1457">
        <f>IF(Source!BI267=2,J1447+J1448+J1450+J1455+J1456, 0)</f>
        <v>0</v>
      </c>
      <c r="AY1457">
        <f>IF(Source!BI267=2,J1450, 0)</f>
        <v>0</v>
      </c>
      <c r="AZ1457">
        <f>IF(Source!BI267=2,J1448, 0)</f>
        <v>0</v>
      </c>
      <c r="BA1457">
        <f>IF(Source!BI267=2,J1447, 0)</f>
        <v>0</v>
      </c>
    </row>
    <row r="1458" spans="1:56" ht="174.6">
      <c r="A1458" s="110" t="str">
        <f>Source!E268</f>
        <v>153</v>
      </c>
      <c r="B1458" s="111" t="str">
        <f>Source!F268</f>
        <v>16-04-002-2</v>
      </c>
      <c r="C1458" s="111" t="s">
        <v>1541</v>
      </c>
      <c r="D1458" s="81" t="str">
        <f>Source!H268</f>
        <v>100 м трубопровода</v>
      </c>
      <c r="E1458" s="82">
        <f>Source!K268</f>
        <v>3.6</v>
      </c>
      <c r="F1458" s="82"/>
      <c r="G1458" s="82">
        <f>Source!I268</f>
        <v>3.6</v>
      </c>
      <c r="H1458" s="83"/>
      <c r="I1458" s="84"/>
      <c r="J1458" s="85"/>
      <c r="K1458" s="84"/>
      <c r="L1458" s="86"/>
      <c r="AC1458">
        <f>Source!X268</f>
        <v>8026.95</v>
      </c>
      <c r="AD1458">
        <f>Source!HK268</f>
        <v>194413</v>
      </c>
      <c r="AE1458">
        <f>Source!Y268</f>
        <v>4511.0200000000004</v>
      </c>
      <c r="AF1458">
        <f>Source!HL268</f>
        <v>109257</v>
      </c>
      <c r="AS1458">
        <f>IF(Source!BI268&lt;=1,AD1458, 0)</f>
        <v>194413</v>
      </c>
      <c r="AT1458">
        <f>IF(Source!BI268&lt;=1,AF1458, 0)</f>
        <v>109257</v>
      </c>
      <c r="BC1458">
        <f>IF(Source!BI268=2,AD1458, 0)</f>
        <v>0</v>
      </c>
      <c r="BD1458">
        <f>IF(Source!BI268=2,AF1458, 0)</f>
        <v>0</v>
      </c>
    </row>
    <row r="1460" spans="1:56">
      <c r="C1460" s="67" t="str">
        <f>"Объем: "&amp;Source!K268&amp;"=90*"&amp;"4/"&amp;"100"</f>
        <v>Объем: 3,6=90*4/100</v>
      </c>
    </row>
    <row r="1461" spans="1:56" ht="14.4">
      <c r="A1461" s="110"/>
      <c r="B1461" s="112">
        <v>1</v>
      </c>
      <c r="C1461" s="111" t="s">
        <v>1373</v>
      </c>
      <c r="D1461" s="81"/>
      <c r="E1461" s="82"/>
      <c r="F1461" s="82"/>
      <c r="G1461" s="82"/>
      <c r="H1461" s="83">
        <f>Source!AO268</f>
        <v>1432.05</v>
      </c>
      <c r="I1461" s="84">
        <f>ROUND(1.15*1.15,7)</f>
        <v>1.3225</v>
      </c>
      <c r="J1461" s="85">
        <f>ROUND(Source!AF268*Source!I268, 2)</f>
        <v>6817.99</v>
      </c>
      <c r="K1461" s="84">
        <f>IF(Source!BA268&lt;&gt; 0, Source!BA268, 1)</f>
        <v>24.22</v>
      </c>
      <c r="L1461" s="86">
        <f>Source!HJ268</f>
        <v>165132</v>
      </c>
    </row>
    <row r="1462" spans="1:56" ht="14.4">
      <c r="A1462" s="110"/>
      <c r="B1462" s="112">
        <v>3</v>
      </c>
      <c r="C1462" s="111" t="s">
        <v>1374</v>
      </c>
      <c r="D1462" s="81"/>
      <c r="E1462" s="82"/>
      <c r="F1462" s="82"/>
      <c r="G1462" s="82"/>
      <c r="H1462" s="83">
        <f>Source!AM268</f>
        <v>808.04</v>
      </c>
      <c r="I1462" s="84">
        <f>ROUND(1.25*1.15,7)</f>
        <v>1.4375</v>
      </c>
      <c r="J1462" s="85">
        <f>ROUND(Source!AD268*Source!I268, 2)</f>
        <v>4181.6099999999997</v>
      </c>
      <c r="K1462" s="84"/>
      <c r="L1462" s="86"/>
    </row>
    <row r="1463" spans="1:56" ht="14.4">
      <c r="A1463" s="110"/>
      <c r="B1463" s="112">
        <v>2</v>
      </c>
      <c r="C1463" s="111" t="s">
        <v>1375</v>
      </c>
      <c r="D1463" s="81"/>
      <c r="E1463" s="82"/>
      <c r="F1463" s="82"/>
      <c r="G1463" s="82"/>
      <c r="H1463" s="83">
        <f>Source!AN268</f>
        <v>106.85</v>
      </c>
      <c r="I1463" s="84">
        <f>ROUND(1.25*1.15,7)</f>
        <v>1.4375</v>
      </c>
      <c r="J1463" s="87">
        <f>ROUND(Source!AE268*Source!I268, 2)</f>
        <v>552.95000000000005</v>
      </c>
      <c r="K1463" s="84">
        <f>IF(Source!BS268&lt;&gt; 0, Source!BS268, 1)</f>
        <v>24.22</v>
      </c>
      <c r="L1463" s="88">
        <f>Source!HI268</f>
        <v>13392</v>
      </c>
    </row>
    <row r="1464" spans="1:56" ht="14.4">
      <c r="A1464" s="110"/>
      <c r="B1464" s="112">
        <v>4</v>
      </c>
      <c r="C1464" s="111" t="s">
        <v>1408</v>
      </c>
      <c r="D1464" s="81"/>
      <c r="E1464" s="82"/>
      <c r="F1464" s="82"/>
      <c r="G1464" s="82"/>
      <c r="H1464" s="83">
        <f>Source!AL268</f>
        <v>492.86</v>
      </c>
      <c r="I1464" s="84"/>
      <c r="J1464" s="85">
        <f>ROUND(Source!AC268*Source!I268, 2)</f>
        <v>1774.3</v>
      </c>
      <c r="K1464" s="84"/>
      <c r="L1464" s="86"/>
    </row>
    <row r="1465" spans="1:56" ht="14.4">
      <c r="A1465" s="110"/>
      <c r="B1465" s="111"/>
      <c r="C1465" s="111" t="s">
        <v>1376</v>
      </c>
      <c r="D1465" s="81" t="s">
        <v>1377</v>
      </c>
      <c r="E1465" s="82">
        <f>Source!AQ268</f>
        <v>149.63999999999999</v>
      </c>
      <c r="F1465" s="82">
        <f>ROUND(1.15*1.15,7)</f>
        <v>1.3225</v>
      </c>
      <c r="G1465" s="82">
        <f>ROUND(Source!U268, 7)</f>
        <v>712.43604000000005</v>
      </c>
      <c r="H1465" s="83"/>
      <c r="I1465" s="84"/>
      <c r="J1465" s="85"/>
      <c r="K1465" s="84"/>
      <c r="L1465" s="86"/>
    </row>
    <row r="1466" spans="1:56" ht="14.4">
      <c r="A1466" s="110"/>
      <c r="B1466" s="111"/>
      <c r="C1466" s="113" t="s">
        <v>1378</v>
      </c>
      <c r="D1466" s="89" t="s">
        <v>1377</v>
      </c>
      <c r="E1466" s="90">
        <f>Source!AR268</f>
        <v>8.1999999999999993</v>
      </c>
      <c r="F1466" s="90">
        <f>ROUND(1.25*1.15,7)</f>
        <v>1.4375</v>
      </c>
      <c r="G1466" s="90">
        <f>ROUND(Source!V268, 7)</f>
        <v>42.435000000000002</v>
      </c>
      <c r="H1466" s="91"/>
      <c r="I1466" s="92"/>
      <c r="J1466" s="93"/>
      <c r="K1466" s="92"/>
      <c r="L1466" s="94"/>
    </row>
    <row r="1467" spans="1:56" ht="14.4">
      <c r="A1467" s="110"/>
      <c r="B1467" s="111"/>
      <c r="C1467" s="111" t="s">
        <v>1379</v>
      </c>
      <c r="D1467" s="81"/>
      <c r="E1467" s="82"/>
      <c r="F1467" s="82"/>
      <c r="G1467" s="82"/>
      <c r="H1467" s="83">
        <f>H1461+H1462+H1464</f>
        <v>2732.9500000000003</v>
      </c>
      <c r="I1467" s="84"/>
      <c r="J1467" s="85">
        <f>J1461+J1462+J1464</f>
        <v>12773.899999999998</v>
      </c>
      <c r="K1467" s="84"/>
      <c r="L1467" s="86"/>
    </row>
    <row r="1468" spans="1:56" ht="14.4">
      <c r="A1468" s="110"/>
      <c r="B1468" s="111"/>
      <c r="C1468" s="111" t="s">
        <v>1380</v>
      </c>
      <c r="D1468" s="81"/>
      <c r="E1468" s="82"/>
      <c r="F1468" s="82"/>
      <c r="G1468" s="82"/>
      <c r="H1468" s="83"/>
      <c r="I1468" s="84"/>
      <c r="J1468" s="85">
        <f>SUM(Q1458:Q1471)+SUM(V1458:V1471)</f>
        <v>7370.94</v>
      </c>
      <c r="K1468" s="84"/>
      <c r="L1468" s="86">
        <f>SUM(U1458:U1471)+SUM(W1458:W1471)</f>
        <v>178524</v>
      </c>
    </row>
    <row r="1469" spans="1:56" ht="69">
      <c r="A1469" s="110"/>
      <c r="B1469" s="111" t="s">
        <v>1503</v>
      </c>
      <c r="C1469" s="111" t="s">
        <v>1504</v>
      </c>
      <c r="D1469" s="81" t="s">
        <v>1383</v>
      </c>
      <c r="E1469" s="82">
        <f>Source!BZ268</f>
        <v>121</v>
      </c>
      <c r="F1469" s="82">
        <f>ROUND(0.9,7)</f>
        <v>0.9</v>
      </c>
      <c r="G1469" s="82">
        <f>Source!AT268</f>
        <v>108.9</v>
      </c>
      <c r="H1469" s="83"/>
      <c r="I1469" s="84"/>
      <c r="J1469" s="85">
        <f>SUM(AC1458:AC1471)</f>
        <v>8026.95</v>
      </c>
      <c r="K1469" s="84"/>
      <c r="L1469" s="86">
        <f>SUM(AD1458:AD1471)</f>
        <v>194413</v>
      </c>
    </row>
    <row r="1470" spans="1:56" ht="69">
      <c r="A1470" s="114"/>
      <c r="B1470" s="113" t="s">
        <v>1505</v>
      </c>
      <c r="C1470" s="113" t="s">
        <v>1506</v>
      </c>
      <c r="D1470" s="89" t="s">
        <v>1383</v>
      </c>
      <c r="E1470" s="90">
        <f>Source!CA268</f>
        <v>72</v>
      </c>
      <c r="F1470" s="90">
        <f>ROUND(0.85,7)</f>
        <v>0.85</v>
      </c>
      <c r="G1470" s="90">
        <f>Source!AU268</f>
        <v>61.2</v>
      </c>
      <c r="H1470" s="91"/>
      <c r="I1470" s="92"/>
      <c r="J1470" s="93">
        <f>SUM(AE1458:AE1471)</f>
        <v>4511.0200000000004</v>
      </c>
      <c r="K1470" s="92"/>
      <c r="L1470" s="94">
        <f>SUM(AF1458:AF1471)</f>
        <v>109257</v>
      </c>
    </row>
    <row r="1471" spans="1:56" ht="13.8">
      <c r="C1471" s="95" t="s">
        <v>1386</v>
      </c>
      <c r="D1471" s="95"/>
      <c r="E1471" s="95"/>
      <c r="F1471" s="95"/>
      <c r="G1471" s="95"/>
      <c r="H1471" s="95"/>
      <c r="I1471" s="95">
        <f>J1461+J1462+J1464+J1469+J1470</f>
        <v>25311.87</v>
      </c>
      <c r="J1471" s="95"/>
      <c r="O1471" s="69">
        <f>I1471</f>
        <v>25311.87</v>
      </c>
      <c r="P1471">
        <f>K1471</f>
        <v>0</v>
      </c>
      <c r="Q1471" s="69">
        <f>J1461</f>
        <v>6817.99</v>
      </c>
      <c r="R1471" s="69">
        <f>J1461</f>
        <v>6817.99</v>
      </c>
      <c r="U1471" s="70">
        <f>L1461</f>
        <v>165132</v>
      </c>
      <c r="V1471" s="69">
        <f>J1463</f>
        <v>552.95000000000005</v>
      </c>
      <c r="W1471" s="70">
        <f>L1463</f>
        <v>13392</v>
      </c>
      <c r="X1471" s="69">
        <f>J1462</f>
        <v>4181.6099999999997</v>
      </c>
      <c r="Z1471" s="70">
        <f>L1462</f>
        <v>0</v>
      </c>
      <c r="AB1471" s="69">
        <f>J1464</f>
        <v>1774.3</v>
      </c>
      <c r="AN1471">
        <f>IF(Source!BI268&lt;=1,J1461+J1462+J1464+J1469+J1470, 0)</f>
        <v>25311.87</v>
      </c>
      <c r="AO1471">
        <f>IF(Source!BI268&lt;=1,J1464, 0)</f>
        <v>1774.3</v>
      </c>
      <c r="AP1471">
        <f>IF(Source!BI268&lt;=1,J1462, 0)</f>
        <v>4181.6099999999997</v>
      </c>
      <c r="AQ1471">
        <f>IF(Source!BI268&lt;=1,J1461, 0)</f>
        <v>6817.99</v>
      </c>
      <c r="AX1471">
        <f>IF(Source!BI268=2,J1461+J1462+J1464+J1469+J1470, 0)</f>
        <v>0</v>
      </c>
      <c r="AY1471">
        <f>IF(Source!BI268=2,J1464, 0)</f>
        <v>0</v>
      </c>
      <c r="AZ1471">
        <f>IF(Source!BI268=2,J1462, 0)</f>
        <v>0</v>
      </c>
      <c r="BA1471">
        <f>IF(Source!BI268=2,J1461, 0)</f>
        <v>0</v>
      </c>
    </row>
    <row r="1472" spans="1:56" ht="41.4">
      <c r="A1472" s="110" t="str">
        <f>Source!E269</f>
        <v>154</v>
      </c>
      <c r="B1472" s="111" t="str">
        <f>Source!F269</f>
        <v>507-0588</v>
      </c>
      <c r="C1472" s="111" t="str">
        <f>Source!G269</f>
        <v>Трубы напорные из полиэтилена низкого давления среднего типа, наружным диаметром 25 мм</v>
      </c>
      <c r="D1472" s="81" t="str">
        <f>Source!H269</f>
        <v>10 м</v>
      </c>
      <c r="E1472" s="82">
        <f>Source!K269</f>
        <v>-33.444000000000003</v>
      </c>
      <c r="F1472" s="82"/>
      <c r="G1472" s="82">
        <f>Source!I269</f>
        <v>-33.444000000000003</v>
      </c>
      <c r="H1472" s="83">
        <f>Source!AL269</f>
        <v>47.95</v>
      </c>
      <c r="I1472" s="84"/>
      <c r="J1472" s="85">
        <f>ROUND(Source!AC269*Source!I269, 2)</f>
        <v>-1603.64</v>
      </c>
      <c r="K1472" s="84"/>
      <c r="L1472" s="86"/>
      <c r="AC1472">
        <f>Source!X269</f>
        <v>0</v>
      </c>
      <c r="AD1472">
        <f>Source!HK269</f>
        <v>0</v>
      </c>
      <c r="AE1472">
        <f>Source!Y269</f>
        <v>0</v>
      </c>
      <c r="AF1472">
        <f>Source!HL269</f>
        <v>0</v>
      </c>
      <c r="AS1472">
        <f>IF(Source!BI269&lt;=1,AD1472, 0)</f>
        <v>0</v>
      </c>
      <c r="AT1472">
        <f>IF(Source!BI269&lt;=1,AF1472, 0)</f>
        <v>0</v>
      </c>
      <c r="BC1472">
        <f>IF(Source!BI269=2,AD1472, 0)</f>
        <v>0</v>
      </c>
      <c r="BD1472">
        <f>IF(Source!BI269=2,AF1472, 0)</f>
        <v>0</v>
      </c>
    </row>
    <row r="1474" spans="1:56">
      <c r="A1474" s="71"/>
      <c r="B1474" s="71"/>
      <c r="C1474" s="72" t="str">
        <f>"Объем: "&amp;Source!K269&amp;"="&amp;Source!I268&amp;"*"&amp;"-"&amp;"9,29"</f>
        <v>Объем: -33,444=3,6*-9,29</v>
      </c>
      <c r="D1474" s="71"/>
      <c r="E1474" s="71"/>
      <c r="F1474" s="71"/>
      <c r="G1474" s="71"/>
      <c r="H1474" s="71"/>
      <c r="I1474" s="71"/>
      <c r="J1474" s="71"/>
      <c r="K1474" s="71"/>
      <c r="L1474" s="71"/>
    </row>
    <row r="1475" spans="1:56" ht="13.8">
      <c r="C1475" s="95" t="s">
        <v>1386</v>
      </c>
      <c r="D1475" s="95"/>
      <c r="E1475" s="95"/>
      <c r="F1475" s="95"/>
      <c r="G1475" s="95"/>
      <c r="H1475" s="95"/>
      <c r="I1475" s="95">
        <f>J1472</f>
        <v>-1603.64</v>
      </c>
      <c r="J1475" s="95"/>
      <c r="O1475" s="69">
        <f>I1475</f>
        <v>-1603.64</v>
      </c>
      <c r="P1475">
        <f>K1475</f>
        <v>0</v>
      </c>
      <c r="Q1475">
        <f>0</f>
        <v>0</v>
      </c>
      <c r="R1475">
        <f>0</f>
        <v>0</v>
      </c>
      <c r="U1475">
        <f>0</f>
        <v>0</v>
      </c>
      <c r="V1475">
        <f>0</f>
        <v>0</v>
      </c>
      <c r="W1475">
        <f>0</f>
        <v>0</v>
      </c>
      <c r="X1475">
        <f>0</f>
        <v>0</v>
      </c>
      <c r="Z1475">
        <f>0</f>
        <v>0</v>
      </c>
      <c r="AB1475" s="69">
        <f>I1475</f>
        <v>-1603.64</v>
      </c>
      <c r="AN1475">
        <f>IF(Source!BI269&lt;=1,J1472, 0)</f>
        <v>0</v>
      </c>
      <c r="AO1475">
        <f>IF(Source!BI269&lt;=1,I1475, 0)</f>
        <v>0</v>
      </c>
      <c r="AP1475">
        <f>IF(Source!BI269&lt;=1,0, 0)</f>
        <v>0</v>
      </c>
      <c r="AQ1475">
        <f>IF(Source!BI269&lt;=1,0, 0)</f>
        <v>0</v>
      </c>
      <c r="AX1475">
        <f>IF(Source!BI269=2,J1472, 0)</f>
        <v>-1603.64</v>
      </c>
      <c r="AY1475">
        <f>IF(Source!BI269=2,I1475, 0)</f>
        <v>-1603.64</v>
      </c>
      <c r="AZ1475">
        <f>IF(Source!BI269=2,0, 0)</f>
        <v>0</v>
      </c>
      <c r="BA1475">
        <f>IF(Source!BI269=2,0, 0)</f>
        <v>0</v>
      </c>
    </row>
    <row r="1476" spans="1:56" ht="14.4">
      <c r="A1476" s="110" t="str">
        <f>Source!E270</f>
        <v>155</v>
      </c>
      <c r="B1476" s="111" t="str">
        <f>Source!F270</f>
        <v>507-3367</v>
      </c>
      <c r="C1476" s="111" t="str">
        <f>Source!G270</f>
        <v>Труба из полипропилена PN 25/25</v>
      </c>
      <c r="D1476" s="81" t="str">
        <f>Source!H270</f>
        <v>м</v>
      </c>
      <c r="E1476" s="82">
        <f>Source!K270</f>
        <v>334.44</v>
      </c>
      <c r="F1476" s="82"/>
      <c r="G1476" s="82">
        <f>Source!I270</f>
        <v>334.44</v>
      </c>
      <c r="H1476" s="83">
        <f>Source!AL270</f>
        <v>19</v>
      </c>
      <c r="I1476" s="84"/>
      <c r="J1476" s="85">
        <f>ROUND(Source!AC270*Source!I270, 2)</f>
        <v>6354.36</v>
      </c>
      <c r="K1476" s="84"/>
      <c r="L1476" s="86"/>
      <c r="AC1476">
        <f>Source!X270</f>
        <v>0</v>
      </c>
      <c r="AD1476">
        <f>Source!HK270</f>
        <v>0</v>
      </c>
      <c r="AE1476">
        <f>Source!Y270</f>
        <v>0</v>
      </c>
      <c r="AF1476">
        <f>Source!HL270</f>
        <v>0</v>
      </c>
      <c r="AS1476">
        <f>IF(Source!BI270&lt;=1,AD1476, 0)</f>
        <v>0</v>
      </c>
      <c r="AT1476">
        <f>IF(Source!BI270&lt;=1,AF1476, 0)</f>
        <v>0</v>
      </c>
      <c r="BC1476">
        <f>IF(Source!BI270=2,AD1476, 0)</f>
        <v>0</v>
      </c>
      <c r="BD1476">
        <f>IF(Source!BI270=2,AF1476, 0)</f>
        <v>0</v>
      </c>
    </row>
    <row r="1477" spans="1:56">
      <c r="A1477" s="71"/>
      <c r="B1477" s="71"/>
      <c r="C1477" s="71"/>
      <c r="D1477" s="71"/>
      <c r="E1477" s="71"/>
      <c r="F1477" s="71"/>
      <c r="G1477" s="71"/>
      <c r="H1477" s="71"/>
      <c r="I1477" s="71"/>
      <c r="J1477" s="71"/>
      <c r="K1477" s="71"/>
      <c r="L1477" s="71"/>
    </row>
    <row r="1478" spans="1:56" ht="13.8">
      <c r="C1478" s="95" t="s">
        <v>1386</v>
      </c>
      <c r="D1478" s="95"/>
      <c r="E1478" s="95"/>
      <c r="F1478" s="95"/>
      <c r="G1478" s="95"/>
      <c r="H1478" s="95"/>
      <c r="I1478" s="95">
        <f>J1476</f>
        <v>6354.36</v>
      </c>
      <c r="J1478" s="95"/>
      <c r="O1478" s="69">
        <f>I1478</f>
        <v>6354.36</v>
      </c>
      <c r="P1478">
        <f>K1478</f>
        <v>0</v>
      </c>
      <c r="Q1478">
        <f>0</f>
        <v>0</v>
      </c>
      <c r="R1478">
        <f>0</f>
        <v>0</v>
      </c>
      <c r="U1478">
        <f>0</f>
        <v>0</v>
      </c>
      <c r="V1478">
        <f>0</f>
        <v>0</v>
      </c>
      <c r="W1478">
        <f>0</f>
        <v>0</v>
      </c>
      <c r="X1478">
        <f>0</f>
        <v>0</v>
      </c>
      <c r="Z1478">
        <f>0</f>
        <v>0</v>
      </c>
      <c r="AB1478" s="69">
        <f>I1478</f>
        <v>6354.36</v>
      </c>
      <c r="AN1478">
        <f>IF(Source!BI270&lt;=1,J1476, 0)</f>
        <v>0</v>
      </c>
      <c r="AO1478">
        <f>IF(Source!BI270&lt;=1,I1478, 0)</f>
        <v>0</v>
      </c>
      <c r="AP1478">
        <f>IF(Source!BI270&lt;=1,0, 0)</f>
        <v>0</v>
      </c>
      <c r="AQ1478">
        <f>IF(Source!BI270&lt;=1,0, 0)</f>
        <v>0</v>
      </c>
      <c r="AX1478">
        <f>IF(Source!BI270=2,J1476, 0)</f>
        <v>6354.36</v>
      </c>
      <c r="AY1478">
        <f>IF(Source!BI270=2,I1478, 0)</f>
        <v>6354.36</v>
      </c>
      <c r="AZ1478">
        <f>IF(Source!BI270=2,0, 0)</f>
        <v>0</v>
      </c>
      <c r="BA1478">
        <f>IF(Source!BI270=2,0, 0)</f>
        <v>0</v>
      </c>
    </row>
    <row r="1479" spans="1:56" ht="147">
      <c r="A1479" s="110" t="str">
        <f>Source!E271</f>
        <v>156</v>
      </c>
      <c r="B1479" s="111" t="str">
        <f>Source!F271</f>
        <v>16-04-001-1</v>
      </c>
      <c r="C1479" s="111" t="s">
        <v>1542</v>
      </c>
      <c r="D1479" s="81" t="str">
        <f>Source!H271</f>
        <v>100 м трубопровода</v>
      </c>
      <c r="E1479" s="82">
        <f>Source!K271</f>
        <v>1.8</v>
      </c>
      <c r="F1479" s="82"/>
      <c r="G1479" s="82">
        <f>Source!I271</f>
        <v>1.8</v>
      </c>
      <c r="H1479" s="83"/>
      <c r="I1479" s="84"/>
      <c r="J1479" s="85"/>
      <c r="K1479" s="84"/>
      <c r="L1479" s="86"/>
      <c r="AC1479">
        <f>Source!X271</f>
        <v>1594.46</v>
      </c>
      <c r="AD1479">
        <f>Source!HK271</f>
        <v>38617</v>
      </c>
      <c r="AE1479">
        <f>Source!Y271</f>
        <v>896.06</v>
      </c>
      <c r="AF1479">
        <f>Source!HL271</f>
        <v>21702</v>
      </c>
      <c r="AS1479">
        <f>IF(Source!BI271&lt;=1,AD1479, 0)</f>
        <v>38617</v>
      </c>
      <c r="AT1479">
        <f>IF(Source!BI271&lt;=1,AF1479, 0)</f>
        <v>21702</v>
      </c>
      <c r="BC1479">
        <f>IF(Source!BI271=2,AD1479, 0)</f>
        <v>0</v>
      </c>
      <c r="BD1479">
        <f>IF(Source!BI271=2,AF1479, 0)</f>
        <v>0</v>
      </c>
    </row>
    <row r="1481" spans="1:56">
      <c r="C1481" s="67" t="str">
        <f>"Объем: "&amp;Source!K271&amp;"=180/"&amp;"100"</f>
        <v>Объем: 1,8=180/100</v>
      </c>
    </row>
    <row r="1482" spans="1:56" ht="14.4">
      <c r="A1482" s="110"/>
      <c r="B1482" s="112">
        <v>1</v>
      </c>
      <c r="C1482" s="111" t="s">
        <v>1373</v>
      </c>
      <c r="D1482" s="81"/>
      <c r="E1482" s="82"/>
      <c r="F1482" s="82"/>
      <c r="G1482" s="82"/>
      <c r="H1482" s="83">
        <f>Source!AO271</f>
        <v>614.78</v>
      </c>
      <c r="I1482" s="84">
        <f>ROUND(1.15*1.15,7)</f>
        <v>1.3225</v>
      </c>
      <c r="J1482" s="85">
        <f>ROUND(Source!AF271*Source!I271, 2)</f>
        <v>1463.48</v>
      </c>
      <c r="K1482" s="84">
        <f>IF(Source!BA271&lt;&gt; 0, Source!BA271, 1)</f>
        <v>24.22</v>
      </c>
      <c r="L1482" s="86">
        <f>Source!HJ271</f>
        <v>35445</v>
      </c>
    </row>
    <row r="1483" spans="1:56" ht="14.4">
      <c r="A1483" s="110"/>
      <c r="B1483" s="112">
        <v>3</v>
      </c>
      <c r="C1483" s="111" t="s">
        <v>1374</v>
      </c>
      <c r="D1483" s="81"/>
      <c r="E1483" s="82"/>
      <c r="F1483" s="82"/>
      <c r="G1483" s="82"/>
      <c r="H1483" s="83">
        <f>Source!AM271</f>
        <v>2.86</v>
      </c>
      <c r="I1483" s="84">
        <f>ROUND(1.25*1.15,7)</f>
        <v>1.4375</v>
      </c>
      <c r="J1483" s="85">
        <f>ROUND(Source!AD271*Source!I271, 2)</f>
        <v>7.4</v>
      </c>
      <c r="K1483" s="84"/>
      <c r="L1483" s="86"/>
    </row>
    <row r="1484" spans="1:56" ht="14.4">
      <c r="A1484" s="110"/>
      <c r="B1484" s="112">
        <v>2</v>
      </c>
      <c r="C1484" s="111" t="s">
        <v>1375</v>
      </c>
      <c r="D1484" s="81"/>
      <c r="E1484" s="82"/>
      <c r="F1484" s="82"/>
      <c r="G1484" s="82"/>
      <c r="H1484" s="83">
        <f>Source!AN271</f>
        <v>0.26</v>
      </c>
      <c r="I1484" s="84">
        <f>ROUND(1.25*1.15,7)</f>
        <v>1.4375</v>
      </c>
      <c r="J1484" s="87">
        <f>ROUND(Source!AE271*Source!I271, 2)</f>
        <v>0.67</v>
      </c>
      <c r="K1484" s="84">
        <f>IF(Source!BS271&lt;&gt; 0, Source!BS271, 1)</f>
        <v>24.22</v>
      </c>
      <c r="L1484" s="88">
        <f>Source!HI271</f>
        <v>16</v>
      </c>
    </row>
    <row r="1485" spans="1:56" ht="14.4">
      <c r="A1485" s="110"/>
      <c r="B1485" s="112">
        <v>4</v>
      </c>
      <c r="C1485" s="111" t="s">
        <v>1408</v>
      </c>
      <c r="D1485" s="81"/>
      <c r="E1485" s="82"/>
      <c r="F1485" s="82"/>
      <c r="G1485" s="82"/>
      <c r="H1485" s="83">
        <f>Source!AL271</f>
        <v>3974.01</v>
      </c>
      <c r="I1485" s="84"/>
      <c r="J1485" s="85">
        <f>ROUND(Source!AC271*Source!I271, 2)</f>
        <v>7153.22</v>
      </c>
      <c r="K1485" s="84"/>
      <c r="L1485" s="86"/>
    </row>
    <row r="1486" spans="1:56" ht="14.4">
      <c r="A1486" s="110"/>
      <c r="B1486" s="111"/>
      <c r="C1486" s="111" t="s">
        <v>1376</v>
      </c>
      <c r="D1486" s="81" t="s">
        <v>1377</v>
      </c>
      <c r="E1486" s="82">
        <f>Source!AQ271</f>
        <v>64.239999999999995</v>
      </c>
      <c r="F1486" s="82">
        <f>ROUND(1.15*1.15,7)</f>
        <v>1.3225</v>
      </c>
      <c r="G1486" s="82">
        <f>ROUND(Source!U271, 7)</f>
        <v>152.92331999999999</v>
      </c>
      <c r="H1486" s="83"/>
      <c r="I1486" s="84"/>
      <c r="J1486" s="85"/>
      <c r="K1486" s="84"/>
      <c r="L1486" s="86"/>
    </row>
    <row r="1487" spans="1:56" ht="14.4">
      <c r="A1487" s="110"/>
      <c r="B1487" s="111"/>
      <c r="C1487" s="113" t="s">
        <v>1378</v>
      </c>
      <c r="D1487" s="89" t="s">
        <v>1377</v>
      </c>
      <c r="E1487" s="90">
        <f>Source!AR271</f>
        <v>0.02</v>
      </c>
      <c r="F1487" s="90">
        <f>ROUND(1.25*1.15,7)</f>
        <v>1.4375</v>
      </c>
      <c r="G1487" s="90">
        <f>ROUND(Source!V271, 7)</f>
        <v>5.1749999999999997E-2</v>
      </c>
      <c r="H1487" s="91"/>
      <c r="I1487" s="92"/>
      <c r="J1487" s="93"/>
      <c r="K1487" s="92"/>
      <c r="L1487" s="94"/>
    </row>
    <row r="1488" spans="1:56" ht="14.4">
      <c r="A1488" s="110"/>
      <c r="B1488" s="111"/>
      <c r="C1488" s="111" t="s">
        <v>1379</v>
      </c>
      <c r="D1488" s="81"/>
      <c r="E1488" s="82"/>
      <c r="F1488" s="82"/>
      <c r="G1488" s="82"/>
      <c r="H1488" s="83">
        <f>H1482+H1483+H1485</f>
        <v>4591.6500000000005</v>
      </c>
      <c r="I1488" s="84"/>
      <c r="J1488" s="85">
        <f>J1482+J1483+J1485</f>
        <v>8624.1</v>
      </c>
      <c r="K1488" s="84"/>
      <c r="L1488" s="86"/>
    </row>
    <row r="1489" spans="1:56" ht="14.4">
      <c r="A1489" s="110"/>
      <c r="B1489" s="111"/>
      <c r="C1489" s="111" t="s">
        <v>1380</v>
      </c>
      <c r="D1489" s="81"/>
      <c r="E1489" s="82"/>
      <c r="F1489" s="82"/>
      <c r="G1489" s="82"/>
      <c r="H1489" s="83"/>
      <c r="I1489" s="84"/>
      <c r="J1489" s="85">
        <f>SUM(Q1479:Q1492)+SUM(V1479:V1492)</f>
        <v>1464.15</v>
      </c>
      <c r="K1489" s="84"/>
      <c r="L1489" s="86">
        <f>SUM(U1479:U1492)+SUM(W1479:W1492)</f>
        <v>35461</v>
      </c>
    </row>
    <row r="1490" spans="1:56" ht="69">
      <c r="A1490" s="110"/>
      <c r="B1490" s="111" t="s">
        <v>1503</v>
      </c>
      <c r="C1490" s="111" t="s">
        <v>1504</v>
      </c>
      <c r="D1490" s="81" t="s">
        <v>1383</v>
      </c>
      <c r="E1490" s="82">
        <f>Source!BZ271</f>
        <v>121</v>
      </c>
      <c r="F1490" s="82">
        <f>ROUND(0.9,7)</f>
        <v>0.9</v>
      </c>
      <c r="G1490" s="82">
        <f>Source!AT271</f>
        <v>108.9</v>
      </c>
      <c r="H1490" s="83"/>
      <c r="I1490" s="84"/>
      <c r="J1490" s="85">
        <f>SUM(AC1479:AC1492)</f>
        <v>1594.46</v>
      </c>
      <c r="K1490" s="84"/>
      <c r="L1490" s="86">
        <f>SUM(AD1479:AD1492)</f>
        <v>38617</v>
      </c>
    </row>
    <row r="1491" spans="1:56" ht="69">
      <c r="A1491" s="114"/>
      <c r="B1491" s="113" t="s">
        <v>1505</v>
      </c>
      <c r="C1491" s="113" t="s">
        <v>1506</v>
      </c>
      <c r="D1491" s="89" t="s">
        <v>1383</v>
      </c>
      <c r="E1491" s="90">
        <f>Source!CA271</f>
        <v>72</v>
      </c>
      <c r="F1491" s="90">
        <f>ROUND(0.85,7)</f>
        <v>0.85</v>
      </c>
      <c r="G1491" s="90">
        <f>Source!AU271</f>
        <v>61.2</v>
      </c>
      <c r="H1491" s="91"/>
      <c r="I1491" s="92"/>
      <c r="J1491" s="93">
        <f>SUM(AE1479:AE1492)</f>
        <v>896.06</v>
      </c>
      <c r="K1491" s="92"/>
      <c r="L1491" s="94">
        <f>SUM(AF1479:AF1492)</f>
        <v>21702</v>
      </c>
    </row>
    <row r="1492" spans="1:56" ht="13.8">
      <c r="C1492" s="95" t="s">
        <v>1386</v>
      </c>
      <c r="D1492" s="95"/>
      <c r="E1492" s="95"/>
      <c r="F1492" s="95"/>
      <c r="G1492" s="95"/>
      <c r="H1492" s="95"/>
      <c r="I1492" s="95">
        <f>J1482+J1483+J1485+J1490+J1491</f>
        <v>11114.62</v>
      </c>
      <c r="J1492" s="95"/>
      <c r="O1492" s="69">
        <f>I1492</f>
        <v>11114.62</v>
      </c>
      <c r="P1492">
        <f>K1492</f>
        <v>0</v>
      </c>
      <c r="Q1492" s="69">
        <f>J1482</f>
        <v>1463.48</v>
      </c>
      <c r="R1492" s="69">
        <f>J1482</f>
        <v>1463.48</v>
      </c>
      <c r="U1492" s="70">
        <f>L1482</f>
        <v>35445</v>
      </c>
      <c r="V1492" s="69">
        <f>J1484</f>
        <v>0.67</v>
      </c>
      <c r="W1492" s="70">
        <f>L1484</f>
        <v>16</v>
      </c>
      <c r="X1492" s="69">
        <f>J1483</f>
        <v>7.4</v>
      </c>
      <c r="Z1492" s="70">
        <f>L1483</f>
        <v>0</v>
      </c>
      <c r="AB1492" s="69">
        <f>J1485</f>
        <v>7153.22</v>
      </c>
      <c r="AN1492">
        <f>IF(Source!BI271&lt;=1,J1482+J1483+J1485+J1490+J1491, 0)</f>
        <v>11114.62</v>
      </c>
      <c r="AO1492">
        <f>IF(Source!BI271&lt;=1,J1485, 0)</f>
        <v>7153.22</v>
      </c>
      <c r="AP1492">
        <f>IF(Source!BI271&lt;=1,J1483, 0)</f>
        <v>7.4</v>
      </c>
      <c r="AQ1492">
        <f>IF(Source!BI271&lt;=1,J1482, 0)</f>
        <v>1463.48</v>
      </c>
      <c r="AX1492">
        <f>IF(Source!BI271=2,J1482+J1483+J1485+J1490+J1491, 0)</f>
        <v>0</v>
      </c>
      <c r="AY1492">
        <f>IF(Source!BI271=2,J1485, 0)</f>
        <v>0</v>
      </c>
      <c r="AZ1492">
        <f>IF(Source!BI271=2,J1483, 0)</f>
        <v>0</v>
      </c>
      <c r="BA1492">
        <f>IF(Source!BI271=2,J1482, 0)</f>
        <v>0</v>
      </c>
    </row>
    <row r="1493" spans="1:56" ht="147">
      <c r="A1493" s="110" t="str">
        <f>Source!E272</f>
        <v>157</v>
      </c>
      <c r="B1493" s="111" t="str">
        <f>Source!F272</f>
        <v>16-04-001-2</v>
      </c>
      <c r="C1493" s="111" t="s">
        <v>1543</v>
      </c>
      <c r="D1493" s="81" t="str">
        <f>Source!H272</f>
        <v>100 м трубопровода</v>
      </c>
      <c r="E1493" s="82">
        <f>Source!K272</f>
        <v>2</v>
      </c>
      <c r="F1493" s="82"/>
      <c r="G1493" s="82">
        <f>Source!I272</f>
        <v>2</v>
      </c>
      <c r="H1493" s="83"/>
      <c r="I1493" s="84"/>
      <c r="J1493" s="85"/>
      <c r="K1493" s="84"/>
      <c r="L1493" s="86"/>
      <c r="AC1493">
        <f>Source!X272</f>
        <v>1700.06</v>
      </c>
      <c r="AD1493">
        <f>Source!HK272</f>
        <v>41175</v>
      </c>
      <c r="AE1493">
        <f>Source!Y272</f>
        <v>955.41</v>
      </c>
      <c r="AF1493">
        <f>Source!HL272</f>
        <v>23140</v>
      </c>
      <c r="AS1493">
        <f>IF(Source!BI272&lt;=1,AD1493, 0)</f>
        <v>41175</v>
      </c>
      <c r="AT1493">
        <f>IF(Source!BI272&lt;=1,AF1493, 0)</f>
        <v>23140</v>
      </c>
      <c r="BC1493">
        <f>IF(Source!BI272=2,AD1493, 0)</f>
        <v>0</v>
      </c>
      <c r="BD1493">
        <f>IF(Source!BI272=2,AF1493, 0)</f>
        <v>0</v>
      </c>
    </row>
    <row r="1495" spans="1:56">
      <c r="C1495" s="67" t="str">
        <f>"Объем: "&amp;Source!K272&amp;"=50*"&amp;"4/"&amp;"100"</f>
        <v>Объем: 2=50*4/100</v>
      </c>
    </row>
    <row r="1496" spans="1:56" ht="14.4">
      <c r="A1496" s="110"/>
      <c r="B1496" s="112">
        <v>1</v>
      </c>
      <c r="C1496" s="111" t="s">
        <v>1373</v>
      </c>
      <c r="D1496" s="81"/>
      <c r="E1496" s="82"/>
      <c r="F1496" s="82"/>
      <c r="G1496" s="82"/>
      <c r="H1496" s="83">
        <f>Source!AO272</f>
        <v>589.51</v>
      </c>
      <c r="I1496" s="84">
        <f>ROUND(1.15*1.15,7)</f>
        <v>1.3225</v>
      </c>
      <c r="J1496" s="85">
        <f>ROUND(Source!AF272*Source!I272, 2)</f>
        <v>1559.25</v>
      </c>
      <c r="K1496" s="84">
        <f>IF(Source!BA272&lt;&gt; 0, Source!BA272, 1)</f>
        <v>24.22</v>
      </c>
      <c r="L1496" s="86">
        <f>Source!HJ272</f>
        <v>37765</v>
      </c>
    </row>
    <row r="1497" spans="1:56" ht="14.4">
      <c r="A1497" s="110"/>
      <c r="B1497" s="112">
        <v>3</v>
      </c>
      <c r="C1497" s="111" t="s">
        <v>1374</v>
      </c>
      <c r="D1497" s="81"/>
      <c r="E1497" s="82"/>
      <c r="F1497" s="82"/>
      <c r="G1497" s="82"/>
      <c r="H1497" s="83">
        <f>Source!AM272</f>
        <v>6.58</v>
      </c>
      <c r="I1497" s="84">
        <f>ROUND(1.25*1.15,7)</f>
        <v>1.4375</v>
      </c>
      <c r="J1497" s="85">
        <f>ROUND(Source!AD272*Source!I272, 2)</f>
        <v>18.920000000000002</v>
      </c>
      <c r="K1497" s="84"/>
      <c r="L1497" s="86"/>
    </row>
    <row r="1498" spans="1:56" ht="14.4">
      <c r="A1498" s="110"/>
      <c r="B1498" s="112">
        <v>2</v>
      </c>
      <c r="C1498" s="111" t="s">
        <v>1375</v>
      </c>
      <c r="D1498" s="81"/>
      <c r="E1498" s="82"/>
      <c r="F1498" s="82"/>
      <c r="G1498" s="82"/>
      <c r="H1498" s="83">
        <f>Source!AN272</f>
        <v>0.65</v>
      </c>
      <c r="I1498" s="84">
        <f>ROUND(1.25*1.15,7)</f>
        <v>1.4375</v>
      </c>
      <c r="J1498" s="87">
        <f>ROUND(Source!AE272*Source!I272, 2)</f>
        <v>1.87</v>
      </c>
      <c r="K1498" s="84">
        <f>IF(Source!BS272&lt;&gt; 0, Source!BS272, 1)</f>
        <v>24.22</v>
      </c>
      <c r="L1498" s="88">
        <f>Source!HI272</f>
        <v>45</v>
      </c>
    </row>
    <row r="1499" spans="1:56" ht="14.4">
      <c r="A1499" s="110"/>
      <c r="B1499" s="112">
        <v>4</v>
      </c>
      <c r="C1499" s="111" t="s">
        <v>1408</v>
      </c>
      <c r="D1499" s="81"/>
      <c r="E1499" s="82"/>
      <c r="F1499" s="82"/>
      <c r="G1499" s="82"/>
      <c r="H1499" s="83">
        <f>Source!AL272</f>
        <v>6560.37</v>
      </c>
      <c r="I1499" s="84"/>
      <c r="J1499" s="85">
        <f>ROUND(Source!AC272*Source!I272, 2)</f>
        <v>13120.74</v>
      </c>
      <c r="K1499" s="84"/>
      <c r="L1499" s="86"/>
    </row>
    <row r="1500" spans="1:56" ht="14.4">
      <c r="A1500" s="110"/>
      <c r="B1500" s="111"/>
      <c r="C1500" s="111" t="s">
        <v>1376</v>
      </c>
      <c r="D1500" s="81" t="s">
        <v>1377</v>
      </c>
      <c r="E1500" s="82">
        <f>Source!AQ272</f>
        <v>61.6</v>
      </c>
      <c r="F1500" s="82">
        <f>ROUND(1.15*1.15,7)</f>
        <v>1.3225</v>
      </c>
      <c r="G1500" s="82">
        <f>ROUND(Source!U272, 7)</f>
        <v>162.93199999999999</v>
      </c>
      <c r="H1500" s="83"/>
      <c r="I1500" s="84"/>
      <c r="J1500" s="85"/>
      <c r="K1500" s="84"/>
      <c r="L1500" s="86"/>
    </row>
    <row r="1501" spans="1:56" ht="14.4">
      <c r="A1501" s="110"/>
      <c r="B1501" s="111"/>
      <c r="C1501" s="113" t="s">
        <v>1378</v>
      </c>
      <c r="D1501" s="89" t="s">
        <v>1377</v>
      </c>
      <c r="E1501" s="90">
        <f>Source!AR272</f>
        <v>0.05</v>
      </c>
      <c r="F1501" s="90">
        <f>ROUND(1.25*1.15,7)</f>
        <v>1.4375</v>
      </c>
      <c r="G1501" s="90">
        <f>ROUND(Source!V272, 7)</f>
        <v>0.14374999999999999</v>
      </c>
      <c r="H1501" s="91"/>
      <c r="I1501" s="92"/>
      <c r="J1501" s="93"/>
      <c r="K1501" s="92"/>
      <c r="L1501" s="94"/>
    </row>
    <row r="1502" spans="1:56" ht="14.4">
      <c r="A1502" s="110"/>
      <c r="B1502" s="111"/>
      <c r="C1502" s="111" t="s">
        <v>1379</v>
      </c>
      <c r="D1502" s="81"/>
      <c r="E1502" s="82"/>
      <c r="F1502" s="82"/>
      <c r="G1502" s="82"/>
      <c r="H1502" s="83">
        <f>H1496+H1497+H1499</f>
        <v>7156.46</v>
      </c>
      <c r="I1502" s="84"/>
      <c r="J1502" s="85">
        <f>J1496+J1497+J1499</f>
        <v>14698.91</v>
      </c>
      <c r="K1502" s="84"/>
      <c r="L1502" s="86"/>
    </row>
    <row r="1503" spans="1:56" ht="14.4">
      <c r="A1503" s="110"/>
      <c r="B1503" s="111"/>
      <c r="C1503" s="111" t="s">
        <v>1380</v>
      </c>
      <c r="D1503" s="81"/>
      <c r="E1503" s="82"/>
      <c r="F1503" s="82"/>
      <c r="G1503" s="82"/>
      <c r="H1503" s="83"/>
      <c r="I1503" s="84"/>
      <c r="J1503" s="85">
        <f>SUM(Q1493:Q1506)+SUM(V1493:V1506)</f>
        <v>1561.12</v>
      </c>
      <c r="K1503" s="84"/>
      <c r="L1503" s="86">
        <f>SUM(U1493:U1506)+SUM(W1493:W1506)</f>
        <v>37810</v>
      </c>
    </row>
    <row r="1504" spans="1:56" ht="69">
      <c r="A1504" s="110"/>
      <c r="B1504" s="111" t="s">
        <v>1503</v>
      </c>
      <c r="C1504" s="111" t="s">
        <v>1504</v>
      </c>
      <c r="D1504" s="81" t="s">
        <v>1383</v>
      </c>
      <c r="E1504" s="82">
        <f>Source!BZ272</f>
        <v>121</v>
      </c>
      <c r="F1504" s="82">
        <f>ROUND(0.9,7)</f>
        <v>0.9</v>
      </c>
      <c r="G1504" s="82">
        <f>Source!AT272</f>
        <v>108.9</v>
      </c>
      <c r="H1504" s="83"/>
      <c r="I1504" s="84"/>
      <c r="J1504" s="85">
        <f>SUM(AC1493:AC1506)</f>
        <v>1700.06</v>
      </c>
      <c r="K1504" s="84"/>
      <c r="L1504" s="86">
        <f>SUM(AD1493:AD1506)</f>
        <v>41175</v>
      </c>
    </row>
    <row r="1505" spans="1:56" ht="69">
      <c r="A1505" s="114"/>
      <c r="B1505" s="113" t="s">
        <v>1505</v>
      </c>
      <c r="C1505" s="113" t="s">
        <v>1506</v>
      </c>
      <c r="D1505" s="89" t="s">
        <v>1383</v>
      </c>
      <c r="E1505" s="90">
        <f>Source!CA272</f>
        <v>72</v>
      </c>
      <c r="F1505" s="90">
        <f>ROUND(0.85,7)</f>
        <v>0.85</v>
      </c>
      <c r="G1505" s="90">
        <f>Source!AU272</f>
        <v>61.2</v>
      </c>
      <c r="H1505" s="91"/>
      <c r="I1505" s="92"/>
      <c r="J1505" s="93">
        <f>SUM(AE1493:AE1506)</f>
        <v>955.41</v>
      </c>
      <c r="K1505" s="92"/>
      <c r="L1505" s="94">
        <f>SUM(AF1493:AF1506)</f>
        <v>23140</v>
      </c>
    </row>
    <row r="1506" spans="1:56" ht="13.8">
      <c r="C1506" s="95" t="s">
        <v>1386</v>
      </c>
      <c r="D1506" s="95"/>
      <c r="E1506" s="95"/>
      <c r="F1506" s="95"/>
      <c r="G1506" s="95"/>
      <c r="H1506" s="95"/>
      <c r="I1506" s="95">
        <f>J1496+J1497+J1499+J1504+J1505</f>
        <v>17354.38</v>
      </c>
      <c r="J1506" s="95"/>
      <c r="O1506" s="69">
        <f>I1506</f>
        <v>17354.38</v>
      </c>
      <c r="P1506">
        <f>K1506</f>
        <v>0</v>
      </c>
      <c r="Q1506" s="69">
        <f>J1496</f>
        <v>1559.25</v>
      </c>
      <c r="R1506" s="69">
        <f>J1496</f>
        <v>1559.25</v>
      </c>
      <c r="U1506" s="70">
        <f>L1496</f>
        <v>37765</v>
      </c>
      <c r="V1506" s="69">
        <f>J1498</f>
        <v>1.87</v>
      </c>
      <c r="W1506" s="70">
        <f>L1498</f>
        <v>45</v>
      </c>
      <c r="X1506" s="69">
        <f>J1497</f>
        <v>18.920000000000002</v>
      </c>
      <c r="Z1506" s="70">
        <f>L1497</f>
        <v>0</v>
      </c>
      <c r="AB1506" s="69">
        <f>J1499</f>
        <v>13120.74</v>
      </c>
      <c r="AN1506">
        <f>IF(Source!BI272&lt;=1,J1496+J1497+J1499+J1504+J1505, 0)</f>
        <v>17354.38</v>
      </c>
      <c r="AO1506">
        <f>IF(Source!BI272&lt;=1,J1499, 0)</f>
        <v>13120.74</v>
      </c>
      <c r="AP1506">
        <f>IF(Source!BI272&lt;=1,J1497, 0)</f>
        <v>18.920000000000002</v>
      </c>
      <c r="AQ1506">
        <f>IF(Source!BI272&lt;=1,J1496, 0)</f>
        <v>1559.25</v>
      </c>
      <c r="AX1506">
        <f>IF(Source!BI272=2,J1496+J1497+J1499+J1504+J1505, 0)</f>
        <v>0</v>
      </c>
      <c r="AY1506">
        <f>IF(Source!BI272=2,J1499, 0)</f>
        <v>0</v>
      </c>
      <c r="AZ1506">
        <f>IF(Source!BI272=2,J1497, 0)</f>
        <v>0</v>
      </c>
      <c r="BA1506">
        <f>IF(Source!BI272=2,J1496, 0)</f>
        <v>0</v>
      </c>
    </row>
    <row r="1507" spans="1:56" ht="133.19999999999999">
      <c r="A1507" s="110" t="str">
        <f>Source!E273</f>
        <v>158</v>
      </c>
      <c r="B1507" s="111" t="str">
        <f>Source!F273</f>
        <v>17-01-003-1</v>
      </c>
      <c r="C1507" s="111" t="s">
        <v>1544</v>
      </c>
      <c r="D1507" s="81" t="str">
        <f>Source!H273</f>
        <v>10 компл.</v>
      </c>
      <c r="E1507" s="82">
        <f>Source!K273</f>
        <v>2.4</v>
      </c>
      <c r="F1507" s="82"/>
      <c r="G1507" s="82">
        <f>Source!I273</f>
        <v>2.4</v>
      </c>
      <c r="H1507" s="83"/>
      <c r="I1507" s="84"/>
      <c r="J1507" s="85"/>
      <c r="K1507" s="84"/>
      <c r="L1507" s="86"/>
      <c r="AC1507">
        <f>Source!X273</f>
        <v>797.53</v>
      </c>
      <c r="AD1507">
        <f>Source!HK273</f>
        <v>19317</v>
      </c>
      <c r="AE1507">
        <f>Source!Y273</f>
        <v>448.2</v>
      </c>
      <c r="AF1507">
        <f>Source!HL273</f>
        <v>10856</v>
      </c>
      <c r="AS1507">
        <f>IF(Source!BI273&lt;=1,AD1507, 0)</f>
        <v>19317</v>
      </c>
      <c r="AT1507">
        <f>IF(Source!BI273&lt;=1,AF1507, 0)</f>
        <v>10856</v>
      </c>
      <c r="BC1507">
        <f>IF(Source!BI273=2,AD1507, 0)</f>
        <v>0</v>
      </c>
      <c r="BD1507">
        <f>IF(Source!BI273=2,AF1507, 0)</f>
        <v>0</v>
      </c>
    </row>
    <row r="1509" spans="1:56">
      <c r="C1509" s="67" t="str">
        <f>"Объем: "&amp;Source!K273&amp;"=3*"&amp;"4*"&amp;"2/"&amp;"10"</f>
        <v>Объем: 2,4=3*4*2/10</v>
      </c>
    </row>
    <row r="1510" spans="1:56" ht="14.4">
      <c r="A1510" s="110"/>
      <c r="B1510" s="112">
        <v>1</v>
      </c>
      <c r="C1510" s="111" t="s">
        <v>1373</v>
      </c>
      <c r="D1510" s="81"/>
      <c r="E1510" s="82"/>
      <c r="F1510" s="82"/>
      <c r="G1510" s="82"/>
      <c r="H1510" s="83">
        <f>Source!AO273</f>
        <v>226.2</v>
      </c>
      <c r="I1510" s="84">
        <f>ROUND(1.15*1.15,7)</f>
        <v>1.3225</v>
      </c>
      <c r="J1510" s="85">
        <f>ROUND(Source!AF273*Source!I273, 2)</f>
        <v>717.96</v>
      </c>
      <c r="K1510" s="84">
        <f>IF(Source!BA273&lt;&gt; 0, Source!BA273, 1)</f>
        <v>24.22</v>
      </c>
      <c r="L1510" s="86">
        <f>Source!HJ273</f>
        <v>17389</v>
      </c>
    </row>
    <row r="1511" spans="1:56" ht="14.4">
      <c r="A1511" s="110"/>
      <c r="B1511" s="112">
        <v>3</v>
      </c>
      <c r="C1511" s="111" t="s">
        <v>1374</v>
      </c>
      <c r="D1511" s="81"/>
      <c r="E1511" s="82"/>
      <c r="F1511" s="82"/>
      <c r="G1511" s="82"/>
      <c r="H1511" s="83">
        <f>Source!AM273</f>
        <v>45.99</v>
      </c>
      <c r="I1511" s="84">
        <f>ROUND(1.25*1.15,7)</f>
        <v>1.4375</v>
      </c>
      <c r="J1511" s="85">
        <f>ROUND(Source!AD273*Source!I273, 2)</f>
        <v>158.66999999999999</v>
      </c>
      <c r="K1511" s="84"/>
      <c r="L1511" s="86"/>
    </row>
    <row r="1512" spans="1:56" ht="14.4">
      <c r="A1512" s="110"/>
      <c r="B1512" s="112">
        <v>2</v>
      </c>
      <c r="C1512" s="111" t="s">
        <v>1375</v>
      </c>
      <c r="D1512" s="81"/>
      <c r="E1512" s="82"/>
      <c r="F1512" s="82"/>
      <c r="G1512" s="82"/>
      <c r="H1512" s="83">
        <f>Source!AN273</f>
        <v>4.17</v>
      </c>
      <c r="I1512" s="84">
        <f>ROUND(1.25*1.15,7)</f>
        <v>1.4375</v>
      </c>
      <c r="J1512" s="87">
        <f>ROUND(Source!AE273*Source!I273, 2)</f>
        <v>14.39</v>
      </c>
      <c r="K1512" s="84">
        <f>IF(Source!BS273&lt;&gt; 0, Source!BS273, 1)</f>
        <v>24.22</v>
      </c>
      <c r="L1512" s="88">
        <f>Source!HI273</f>
        <v>349</v>
      </c>
    </row>
    <row r="1513" spans="1:56" ht="14.4">
      <c r="A1513" s="110"/>
      <c r="B1513" s="112">
        <v>4</v>
      </c>
      <c r="C1513" s="111" t="s">
        <v>1408</v>
      </c>
      <c r="D1513" s="81"/>
      <c r="E1513" s="82"/>
      <c r="F1513" s="82"/>
      <c r="G1513" s="82"/>
      <c r="H1513" s="83">
        <f>Source!AL273</f>
        <v>3697.34</v>
      </c>
      <c r="I1513" s="84"/>
      <c r="J1513" s="85">
        <f>ROUND(Source!AC273*Source!I273, 2)</f>
        <v>8873.6200000000008</v>
      </c>
      <c r="K1513" s="84"/>
      <c r="L1513" s="86"/>
    </row>
    <row r="1514" spans="1:56" ht="14.4">
      <c r="A1514" s="110"/>
      <c r="B1514" s="111"/>
      <c r="C1514" s="111" t="s">
        <v>1376</v>
      </c>
      <c r="D1514" s="81" t="s">
        <v>1377</v>
      </c>
      <c r="E1514" s="82">
        <f>Source!AQ273</f>
        <v>24.64</v>
      </c>
      <c r="F1514" s="82">
        <f>ROUND(1.15*1.15,7)</f>
        <v>1.3225</v>
      </c>
      <c r="G1514" s="82">
        <f>ROUND(Source!U273, 7)</f>
        <v>78.207359999999994</v>
      </c>
      <c r="H1514" s="83"/>
      <c r="I1514" s="84"/>
      <c r="J1514" s="85"/>
      <c r="K1514" s="84"/>
      <c r="L1514" s="86"/>
    </row>
    <row r="1515" spans="1:56" ht="14.4">
      <c r="A1515" s="110"/>
      <c r="B1515" s="111"/>
      <c r="C1515" s="113" t="s">
        <v>1378</v>
      </c>
      <c r="D1515" s="89" t="s">
        <v>1377</v>
      </c>
      <c r="E1515" s="90">
        <f>Source!AR273</f>
        <v>0.32</v>
      </c>
      <c r="F1515" s="90">
        <f>ROUND(1.25*1.15,7)</f>
        <v>1.4375</v>
      </c>
      <c r="G1515" s="90">
        <f>ROUND(Source!V273, 7)</f>
        <v>1.1040000000000001</v>
      </c>
      <c r="H1515" s="91"/>
      <c r="I1515" s="92"/>
      <c r="J1515" s="93"/>
      <c r="K1515" s="92"/>
      <c r="L1515" s="94"/>
    </row>
    <row r="1516" spans="1:56" ht="14.4">
      <c r="A1516" s="110"/>
      <c r="B1516" s="111"/>
      <c r="C1516" s="111" t="s">
        <v>1379</v>
      </c>
      <c r="D1516" s="81"/>
      <c r="E1516" s="82"/>
      <c r="F1516" s="82"/>
      <c r="G1516" s="82"/>
      <c r="H1516" s="83">
        <f>H1510+H1511+H1513</f>
        <v>3969.53</v>
      </c>
      <c r="I1516" s="84"/>
      <c r="J1516" s="85">
        <f>J1510+J1511+J1513</f>
        <v>9750.25</v>
      </c>
      <c r="K1516" s="84"/>
      <c r="L1516" s="86"/>
    </row>
    <row r="1517" spans="1:56" ht="14.4">
      <c r="A1517" s="110"/>
      <c r="B1517" s="111"/>
      <c r="C1517" s="111" t="s">
        <v>1380</v>
      </c>
      <c r="D1517" s="81"/>
      <c r="E1517" s="82"/>
      <c r="F1517" s="82"/>
      <c r="G1517" s="82"/>
      <c r="H1517" s="83"/>
      <c r="I1517" s="84"/>
      <c r="J1517" s="85">
        <f>SUM(Q1507:Q1520)+SUM(V1507:V1520)</f>
        <v>732.35</v>
      </c>
      <c r="K1517" s="84"/>
      <c r="L1517" s="86">
        <f>SUM(U1507:U1520)+SUM(W1507:W1520)</f>
        <v>17738</v>
      </c>
    </row>
    <row r="1518" spans="1:56" ht="69">
      <c r="A1518" s="110"/>
      <c r="B1518" s="111" t="s">
        <v>1503</v>
      </c>
      <c r="C1518" s="111" t="s">
        <v>1504</v>
      </c>
      <c r="D1518" s="81" t="s">
        <v>1383</v>
      </c>
      <c r="E1518" s="82">
        <f>Source!BZ273</f>
        <v>121</v>
      </c>
      <c r="F1518" s="82">
        <f>ROUND(0.9,7)</f>
        <v>0.9</v>
      </c>
      <c r="G1518" s="82">
        <f>Source!AT273</f>
        <v>108.9</v>
      </c>
      <c r="H1518" s="83"/>
      <c r="I1518" s="84"/>
      <c r="J1518" s="85">
        <f>SUM(AC1507:AC1520)</f>
        <v>797.53</v>
      </c>
      <c r="K1518" s="84"/>
      <c r="L1518" s="86">
        <f>SUM(AD1507:AD1520)</f>
        <v>19317</v>
      </c>
    </row>
    <row r="1519" spans="1:56" ht="69">
      <c r="A1519" s="114"/>
      <c r="B1519" s="113" t="s">
        <v>1505</v>
      </c>
      <c r="C1519" s="113" t="s">
        <v>1506</v>
      </c>
      <c r="D1519" s="89" t="s">
        <v>1383</v>
      </c>
      <c r="E1519" s="90">
        <f>Source!CA273</f>
        <v>72</v>
      </c>
      <c r="F1519" s="90">
        <f>ROUND(0.85,7)</f>
        <v>0.85</v>
      </c>
      <c r="G1519" s="90">
        <f>Source!AU273</f>
        <v>61.2</v>
      </c>
      <c r="H1519" s="91"/>
      <c r="I1519" s="92"/>
      <c r="J1519" s="93">
        <f>SUM(AE1507:AE1520)</f>
        <v>448.2</v>
      </c>
      <c r="K1519" s="92"/>
      <c r="L1519" s="94">
        <f>SUM(AF1507:AF1520)</f>
        <v>10856</v>
      </c>
    </row>
    <row r="1520" spans="1:56" ht="13.8">
      <c r="C1520" s="95" t="s">
        <v>1386</v>
      </c>
      <c r="D1520" s="95"/>
      <c r="E1520" s="95"/>
      <c r="F1520" s="95"/>
      <c r="G1520" s="95"/>
      <c r="H1520" s="95"/>
      <c r="I1520" s="95">
        <f>J1510+J1511+J1513+J1518+J1519</f>
        <v>10995.980000000001</v>
      </c>
      <c r="J1520" s="95"/>
      <c r="O1520" s="69">
        <f>I1520</f>
        <v>10995.980000000001</v>
      </c>
      <c r="P1520">
        <f>K1520</f>
        <v>0</v>
      </c>
      <c r="Q1520" s="69">
        <f>J1510</f>
        <v>717.96</v>
      </c>
      <c r="R1520" s="69">
        <f>J1510</f>
        <v>717.96</v>
      </c>
      <c r="U1520" s="70">
        <f>L1510</f>
        <v>17389</v>
      </c>
      <c r="V1520" s="69">
        <f>J1512</f>
        <v>14.39</v>
      </c>
      <c r="W1520" s="70">
        <f>L1512</f>
        <v>349</v>
      </c>
      <c r="X1520" s="69">
        <f>J1511</f>
        <v>158.66999999999999</v>
      </c>
      <c r="Z1520" s="70">
        <f>L1511</f>
        <v>0</v>
      </c>
      <c r="AB1520" s="69">
        <f>J1513</f>
        <v>8873.6200000000008</v>
      </c>
      <c r="AN1520">
        <f>IF(Source!BI273&lt;=1,J1510+J1511+J1513+J1518+J1519, 0)</f>
        <v>10995.980000000001</v>
      </c>
      <c r="AO1520">
        <f>IF(Source!BI273&lt;=1,J1513, 0)</f>
        <v>8873.6200000000008</v>
      </c>
      <c r="AP1520">
        <f>IF(Source!BI273&lt;=1,J1511, 0)</f>
        <v>158.66999999999999</v>
      </c>
      <c r="AQ1520">
        <f>IF(Source!BI273&lt;=1,J1510, 0)</f>
        <v>717.96</v>
      </c>
      <c r="AX1520">
        <f>IF(Source!BI273=2,J1510+J1511+J1513+J1518+J1519, 0)</f>
        <v>0</v>
      </c>
      <c r="AY1520">
        <f>IF(Source!BI273=2,J1513, 0)</f>
        <v>0</v>
      </c>
      <c r="AZ1520">
        <f>IF(Source!BI273=2,J1511, 0)</f>
        <v>0</v>
      </c>
      <c r="BA1520">
        <f>IF(Source!BI273=2,J1510, 0)</f>
        <v>0</v>
      </c>
    </row>
    <row r="1521" spans="1:56" ht="133.19999999999999">
      <c r="A1521" s="110" t="str">
        <f>Source!E274</f>
        <v>159</v>
      </c>
      <c r="B1521" s="111" t="str">
        <f>Source!F274</f>
        <v>17-01-001-14</v>
      </c>
      <c r="C1521" s="111" t="s">
        <v>1545</v>
      </c>
      <c r="D1521" s="81" t="str">
        <f>Source!H274</f>
        <v>10 компл.</v>
      </c>
      <c r="E1521" s="82">
        <f>Source!K274</f>
        <v>3.2</v>
      </c>
      <c r="F1521" s="82"/>
      <c r="G1521" s="82">
        <f>Source!I274</f>
        <v>3.2</v>
      </c>
      <c r="H1521" s="83"/>
      <c r="I1521" s="84"/>
      <c r="J1521" s="85"/>
      <c r="K1521" s="84"/>
      <c r="L1521" s="86"/>
      <c r="AC1521">
        <f>Source!X274</f>
        <v>935.4</v>
      </c>
      <c r="AD1521">
        <f>Source!HK274</f>
        <v>22656</v>
      </c>
      <c r="AE1521">
        <f>Source!Y274</f>
        <v>525.67999999999995</v>
      </c>
      <c r="AF1521">
        <f>Source!HL274</f>
        <v>12732</v>
      </c>
      <c r="AS1521">
        <f>IF(Source!BI274&lt;=1,AD1521, 0)</f>
        <v>22656</v>
      </c>
      <c r="AT1521">
        <f>IF(Source!BI274&lt;=1,AF1521, 0)</f>
        <v>12732</v>
      </c>
      <c r="BC1521">
        <f>IF(Source!BI274=2,AD1521, 0)</f>
        <v>0</v>
      </c>
      <c r="BD1521">
        <f>IF(Source!BI274=2,AF1521, 0)</f>
        <v>0</v>
      </c>
    </row>
    <row r="1523" spans="1:56">
      <c r="C1523" s="67" t="str">
        <f>"Объем: "&amp;Source!K274&amp;"=8*"&amp;"4/"&amp;"10"</f>
        <v>Объем: 3,2=8*4/10</v>
      </c>
    </row>
    <row r="1524" spans="1:56" ht="14.4">
      <c r="A1524" s="110"/>
      <c r="B1524" s="112">
        <v>1</v>
      </c>
      <c r="C1524" s="111" t="s">
        <v>1373</v>
      </c>
      <c r="D1524" s="81"/>
      <c r="E1524" s="82"/>
      <c r="F1524" s="82"/>
      <c r="G1524" s="82"/>
      <c r="H1524" s="83">
        <f>Source!AO274</f>
        <v>201.13</v>
      </c>
      <c r="I1524" s="84">
        <f>ROUND(1.15*1.15,7)</f>
        <v>1.3225</v>
      </c>
      <c r="J1524" s="85">
        <f>ROUND(Source!AF274*Source!I274, 2)</f>
        <v>851.18</v>
      </c>
      <c r="K1524" s="84">
        <f>IF(Source!BA274&lt;&gt; 0, Source!BA274, 1)</f>
        <v>24.22</v>
      </c>
      <c r="L1524" s="86">
        <f>Source!HJ274</f>
        <v>20616</v>
      </c>
    </row>
    <row r="1525" spans="1:56" ht="14.4">
      <c r="A1525" s="110"/>
      <c r="B1525" s="112">
        <v>3</v>
      </c>
      <c r="C1525" s="111" t="s">
        <v>1374</v>
      </c>
      <c r="D1525" s="81"/>
      <c r="E1525" s="82"/>
      <c r="F1525" s="82"/>
      <c r="G1525" s="82"/>
      <c r="H1525" s="83">
        <f>Source!AM274</f>
        <v>24.56</v>
      </c>
      <c r="I1525" s="84">
        <f>ROUND(1.25*1.15,7)</f>
        <v>1.4375</v>
      </c>
      <c r="J1525" s="85">
        <f>ROUND(Source!AD274*Source!I274, 2)</f>
        <v>112.98</v>
      </c>
      <c r="K1525" s="84"/>
      <c r="L1525" s="86"/>
    </row>
    <row r="1526" spans="1:56" ht="14.4">
      <c r="A1526" s="110"/>
      <c r="B1526" s="112">
        <v>2</v>
      </c>
      <c r="C1526" s="111" t="s">
        <v>1375</v>
      </c>
      <c r="D1526" s="81"/>
      <c r="E1526" s="82"/>
      <c r="F1526" s="82"/>
      <c r="G1526" s="82"/>
      <c r="H1526" s="83">
        <f>Source!AN274</f>
        <v>1.69</v>
      </c>
      <c r="I1526" s="84">
        <f>ROUND(1.25*1.15,7)</f>
        <v>1.4375</v>
      </c>
      <c r="J1526" s="87">
        <f>ROUND(Source!AE274*Source!I274, 2)</f>
        <v>7.77</v>
      </c>
      <c r="K1526" s="84">
        <f>IF(Source!BS274&lt;&gt; 0, Source!BS274, 1)</f>
        <v>24.22</v>
      </c>
      <c r="L1526" s="88">
        <f>Source!HI274</f>
        <v>188</v>
      </c>
    </row>
    <row r="1527" spans="1:56" ht="14.4">
      <c r="A1527" s="110"/>
      <c r="B1527" s="112">
        <v>4</v>
      </c>
      <c r="C1527" s="111" t="s">
        <v>1408</v>
      </c>
      <c r="D1527" s="81"/>
      <c r="E1527" s="82"/>
      <c r="F1527" s="82"/>
      <c r="G1527" s="82"/>
      <c r="H1527" s="83">
        <f>Source!AL274</f>
        <v>1477.52</v>
      </c>
      <c r="I1527" s="84"/>
      <c r="J1527" s="85">
        <f>ROUND(Source!AC274*Source!I274, 2)</f>
        <v>4728.0600000000004</v>
      </c>
      <c r="K1527" s="84"/>
      <c r="L1527" s="86"/>
    </row>
    <row r="1528" spans="1:56" ht="14.4">
      <c r="A1528" s="110"/>
      <c r="B1528" s="111"/>
      <c r="C1528" s="111" t="s">
        <v>1376</v>
      </c>
      <c r="D1528" s="81" t="s">
        <v>1377</v>
      </c>
      <c r="E1528" s="82">
        <f>Source!AQ274</f>
        <v>21.65</v>
      </c>
      <c r="F1528" s="82">
        <f>ROUND(1.15*1.15,7)</f>
        <v>1.3225</v>
      </c>
      <c r="G1528" s="82">
        <f>ROUND(Source!U274, 7)</f>
        <v>91.622799999999998</v>
      </c>
      <c r="H1528" s="83"/>
      <c r="I1528" s="84"/>
      <c r="J1528" s="85"/>
      <c r="K1528" s="84"/>
      <c r="L1528" s="86"/>
    </row>
    <row r="1529" spans="1:56" ht="14.4">
      <c r="A1529" s="110"/>
      <c r="B1529" s="111"/>
      <c r="C1529" s="113" t="s">
        <v>1378</v>
      </c>
      <c r="D1529" s="89" t="s">
        <v>1377</v>
      </c>
      <c r="E1529" s="90">
        <f>Source!AR274</f>
        <v>0.13</v>
      </c>
      <c r="F1529" s="90">
        <f>ROUND(1.25*1.15,7)</f>
        <v>1.4375</v>
      </c>
      <c r="G1529" s="90">
        <f>ROUND(Source!V274, 7)</f>
        <v>0.59799999999999998</v>
      </c>
      <c r="H1529" s="91"/>
      <c r="I1529" s="92"/>
      <c r="J1529" s="93"/>
      <c r="K1529" s="92"/>
      <c r="L1529" s="94"/>
    </row>
    <row r="1530" spans="1:56" ht="14.4">
      <c r="A1530" s="110"/>
      <c r="B1530" s="111"/>
      <c r="C1530" s="111" t="s">
        <v>1379</v>
      </c>
      <c r="D1530" s="81"/>
      <c r="E1530" s="82"/>
      <c r="F1530" s="82"/>
      <c r="G1530" s="82"/>
      <c r="H1530" s="83">
        <f>H1524+H1525+H1527</f>
        <v>1703.21</v>
      </c>
      <c r="I1530" s="84"/>
      <c r="J1530" s="85">
        <f>J1524+J1525+J1527</f>
        <v>5692.22</v>
      </c>
      <c r="K1530" s="84"/>
      <c r="L1530" s="86"/>
    </row>
    <row r="1531" spans="1:56" ht="14.4">
      <c r="A1531" s="110"/>
      <c r="B1531" s="111"/>
      <c r="C1531" s="111" t="s">
        <v>1380</v>
      </c>
      <c r="D1531" s="81"/>
      <c r="E1531" s="82"/>
      <c r="F1531" s="82"/>
      <c r="G1531" s="82"/>
      <c r="H1531" s="83"/>
      <c r="I1531" s="84"/>
      <c r="J1531" s="85">
        <f>SUM(Q1521:Q1534)+SUM(V1521:V1534)</f>
        <v>858.94999999999993</v>
      </c>
      <c r="K1531" s="84"/>
      <c r="L1531" s="86">
        <f>SUM(U1521:U1534)+SUM(W1521:W1534)</f>
        <v>20804</v>
      </c>
    </row>
    <row r="1532" spans="1:56" ht="69">
      <c r="A1532" s="110"/>
      <c r="B1532" s="111" t="s">
        <v>1503</v>
      </c>
      <c r="C1532" s="111" t="s">
        <v>1504</v>
      </c>
      <c r="D1532" s="81" t="s">
        <v>1383</v>
      </c>
      <c r="E1532" s="82">
        <f>Source!BZ274</f>
        <v>121</v>
      </c>
      <c r="F1532" s="82">
        <f>ROUND(0.9,7)</f>
        <v>0.9</v>
      </c>
      <c r="G1532" s="82">
        <f>Source!AT274</f>
        <v>108.9</v>
      </c>
      <c r="H1532" s="83"/>
      <c r="I1532" s="84"/>
      <c r="J1532" s="85">
        <f>SUM(AC1521:AC1534)</f>
        <v>935.4</v>
      </c>
      <c r="K1532" s="84"/>
      <c r="L1532" s="86">
        <f>SUM(AD1521:AD1534)</f>
        <v>22656</v>
      </c>
    </row>
    <row r="1533" spans="1:56" ht="69">
      <c r="A1533" s="114"/>
      <c r="B1533" s="113" t="s">
        <v>1505</v>
      </c>
      <c r="C1533" s="113" t="s">
        <v>1506</v>
      </c>
      <c r="D1533" s="89" t="s">
        <v>1383</v>
      </c>
      <c r="E1533" s="90">
        <f>Source!CA274</f>
        <v>72</v>
      </c>
      <c r="F1533" s="90">
        <f>ROUND(0.85,7)</f>
        <v>0.85</v>
      </c>
      <c r="G1533" s="90">
        <f>Source!AU274</f>
        <v>61.2</v>
      </c>
      <c r="H1533" s="91"/>
      <c r="I1533" s="92"/>
      <c r="J1533" s="93">
        <f>SUM(AE1521:AE1534)</f>
        <v>525.67999999999995</v>
      </c>
      <c r="K1533" s="92"/>
      <c r="L1533" s="94">
        <f>SUM(AF1521:AF1534)</f>
        <v>12732</v>
      </c>
    </row>
    <row r="1534" spans="1:56" ht="13.8">
      <c r="C1534" s="95" t="s">
        <v>1386</v>
      </c>
      <c r="D1534" s="95"/>
      <c r="E1534" s="95"/>
      <c r="F1534" s="95"/>
      <c r="G1534" s="95"/>
      <c r="H1534" s="95"/>
      <c r="I1534" s="95">
        <f>J1524+J1525+J1527+J1532+J1533</f>
        <v>7153.3</v>
      </c>
      <c r="J1534" s="95"/>
      <c r="O1534" s="69">
        <f>I1534</f>
        <v>7153.3</v>
      </c>
      <c r="P1534">
        <f>K1534</f>
        <v>0</v>
      </c>
      <c r="Q1534" s="69">
        <f>J1524</f>
        <v>851.18</v>
      </c>
      <c r="R1534" s="69">
        <f>J1524</f>
        <v>851.18</v>
      </c>
      <c r="U1534" s="70">
        <f>L1524</f>
        <v>20616</v>
      </c>
      <c r="V1534" s="69">
        <f>J1526</f>
        <v>7.77</v>
      </c>
      <c r="W1534" s="70">
        <f>L1526</f>
        <v>188</v>
      </c>
      <c r="X1534" s="69">
        <f>J1525</f>
        <v>112.98</v>
      </c>
      <c r="Z1534" s="70">
        <f>L1525</f>
        <v>0</v>
      </c>
      <c r="AB1534" s="69">
        <f>J1527</f>
        <v>4728.0600000000004</v>
      </c>
      <c r="AN1534">
        <f>IF(Source!BI274&lt;=1,J1524+J1525+J1527+J1532+J1533, 0)</f>
        <v>7153.3</v>
      </c>
      <c r="AO1534">
        <f>IF(Source!BI274&lt;=1,J1527, 0)</f>
        <v>4728.0600000000004</v>
      </c>
      <c r="AP1534">
        <f>IF(Source!BI274&lt;=1,J1525, 0)</f>
        <v>112.98</v>
      </c>
      <c r="AQ1534">
        <f>IF(Source!BI274&lt;=1,J1524, 0)</f>
        <v>851.18</v>
      </c>
      <c r="AX1534">
        <f>IF(Source!BI274=2,J1524+J1525+J1527+J1532+J1533, 0)</f>
        <v>0</v>
      </c>
      <c r="AY1534">
        <f>IF(Source!BI274=2,J1527, 0)</f>
        <v>0</v>
      </c>
      <c r="AZ1534">
        <f>IF(Source!BI274=2,J1525, 0)</f>
        <v>0</v>
      </c>
      <c r="BA1534">
        <f>IF(Source!BI274=2,J1524, 0)</f>
        <v>0</v>
      </c>
    </row>
    <row r="1535" spans="1:56" ht="41.4">
      <c r="A1535" s="110" t="str">
        <f>Source!E275</f>
        <v>160</v>
      </c>
      <c r="B1535" s="111" t="str">
        <f>Source!F275</f>
        <v>301-0616</v>
      </c>
      <c r="C1535" s="111" t="str">
        <f>Source!G275</f>
        <v>Смесители для умывальников СМ-УМ-ОРА с поворотным корпусом, одной рукояткой, с аэратором</v>
      </c>
      <c r="D1535" s="81" t="str">
        <f>Source!H275</f>
        <v>компл.</v>
      </c>
      <c r="E1535" s="82">
        <f>Source!K275</f>
        <v>32</v>
      </c>
      <c r="F1535" s="82"/>
      <c r="G1535" s="82">
        <f>Source!I275</f>
        <v>32</v>
      </c>
      <c r="H1535" s="83">
        <f>Source!AL275</f>
        <v>340.3</v>
      </c>
      <c r="I1535" s="84"/>
      <c r="J1535" s="85">
        <f>ROUND(Source!AC275*Source!I275, 2)</f>
        <v>10889.6</v>
      </c>
      <c r="K1535" s="84"/>
      <c r="L1535" s="86"/>
      <c r="AC1535">
        <f>Source!X275</f>
        <v>0</v>
      </c>
      <c r="AD1535">
        <f>Source!HK275</f>
        <v>0</v>
      </c>
      <c r="AE1535">
        <f>Source!Y275</f>
        <v>0</v>
      </c>
      <c r="AF1535">
        <f>Source!HL275</f>
        <v>0</v>
      </c>
      <c r="AS1535">
        <f>IF(Source!BI275&lt;=1,AD1535, 0)</f>
        <v>0</v>
      </c>
      <c r="AT1535">
        <f>IF(Source!BI275&lt;=1,AF1535, 0)</f>
        <v>0</v>
      </c>
      <c r="BC1535">
        <f>IF(Source!BI275=2,AD1535, 0)</f>
        <v>0</v>
      </c>
      <c r="BD1535">
        <f>IF(Source!BI275=2,AF1535, 0)</f>
        <v>0</v>
      </c>
    </row>
    <row r="1536" spans="1:56">
      <c r="A1536" s="71"/>
      <c r="B1536" s="71"/>
      <c r="C1536" s="71"/>
      <c r="D1536" s="71"/>
      <c r="E1536" s="71"/>
      <c r="F1536" s="71"/>
      <c r="G1536" s="71"/>
      <c r="H1536" s="71"/>
      <c r="I1536" s="71"/>
      <c r="J1536" s="71"/>
      <c r="K1536" s="71"/>
      <c r="L1536" s="71"/>
    </row>
    <row r="1537" spans="1:56" ht="13.8">
      <c r="C1537" s="95" t="s">
        <v>1386</v>
      </c>
      <c r="D1537" s="95"/>
      <c r="E1537" s="95"/>
      <c r="F1537" s="95"/>
      <c r="G1537" s="95"/>
      <c r="H1537" s="95"/>
      <c r="I1537" s="95">
        <f>J1535</f>
        <v>10889.6</v>
      </c>
      <c r="J1537" s="95"/>
      <c r="O1537" s="69">
        <f>I1537</f>
        <v>10889.6</v>
      </c>
      <c r="P1537">
        <f>K1537</f>
        <v>0</v>
      </c>
      <c r="Q1537">
        <f>0</f>
        <v>0</v>
      </c>
      <c r="R1537">
        <f>0</f>
        <v>0</v>
      </c>
      <c r="U1537">
        <f>0</f>
        <v>0</v>
      </c>
      <c r="V1537">
        <f>0</f>
        <v>0</v>
      </c>
      <c r="W1537">
        <f>0</f>
        <v>0</v>
      </c>
      <c r="X1537">
        <f>0</f>
        <v>0</v>
      </c>
      <c r="Z1537">
        <f>0</f>
        <v>0</v>
      </c>
      <c r="AB1537" s="69">
        <f>I1537</f>
        <v>10889.6</v>
      </c>
      <c r="AN1537">
        <f>IF(Source!BI275&lt;=1,J1535, 0)</f>
        <v>10889.6</v>
      </c>
      <c r="AO1537">
        <f>IF(Source!BI275&lt;=1,I1537, 0)</f>
        <v>10889.6</v>
      </c>
      <c r="AP1537">
        <f>IF(Source!BI275&lt;=1,0, 0)</f>
        <v>0</v>
      </c>
      <c r="AQ1537">
        <f>IF(Source!BI275&lt;=1,0, 0)</f>
        <v>0</v>
      </c>
      <c r="AX1537">
        <f>IF(Source!BI275=2,J1535, 0)</f>
        <v>0</v>
      </c>
      <c r="AY1537">
        <f>IF(Source!BI275=2,I1537, 0)</f>
        <v>0</v>
      </c>
      <c r="AZ1537">
        <f>IF(Source!BI275=2,0, 0)</f>
        <v>0</v>
      </c>
      <c r="BA1537">
        <f>IF(Source!BI275=2,0, 0)</f>
        <v>0</v>
      </c>
    </row>
    <row r="1538" spans="1:56" ht="133.19999999999999">
      <c r="A1538" s="110" t="str">
        <f>Source!E276</f>
        <v>161</v>
      </c>
      <c r="B1538" s="111" t="str">
        <f>Source!F276</f>
        <v>17-01-001-20</v>
      </c>
      <c r="C1538" s="111" t="s">
        <v>1546</v>
      </c>
      <c r="D1538" s="81" t="str">
        <f>Source!H276</f>
        <v>10 компл.</v>
      </c>
      <c r="E1538" s="82">
        <f>Source!K276</f>
        <v>0.8</v>
      </c>
      <c r="F1538" s="82"/>
      <c r="G1538" s="82">
        <f>Source!I276</f>
        <v>0.8</v>
      </c>
      <c r="H1538" s="83"/>
      <c r="I1538" s="84"/>
      <c r="J1538" s="85"/>
      <c r="K1538" s="84"/>
      <c r="L1538" s="86"/>
      <c r="AC1538">
        <f>Source!X276</f>
        <v>664.58</v>
      </c>
      <c r="AD1538">
        <f>Source!HK276</f>
        <v>16095</v>
      </c>
      <c r="AE1538">
        <f>Source!Y276</f>
        <v>373.49</v>
      </c>
      <c r="AF1538">
        <f>Source!HL276</f>
        <v>9045</v>
      </c>
      <c r="AS1538">
        <f>IF(Source!BI276&lt;=1,AD1538, 0)</f>
        <v>16095</v>
      </c>
      <c r="AT1538">
        <f>IF(Source!BI276&lt;=1,AF1538, 0)</f>
        <v>9045</v>
      </c>
      <c r="BC1538">
        <f>IF(Source!BI276=2,AD1538, 0)</f>
        <v>0</v>
      </c>
      <c r="BD1538">
        <f>IF(Source!BI276=2,AF1538, 0)</f>
        <v>0</v>
      </c>
    </row>
    <row r="1540" spans="1:56">
      <c r="C1540" s="67" t="str">
        <f>"Объем: "&amp;Source!K276&amp;"=2*"&amp;"4/"&amp;"10"</f>
        <v>Объем: 0,8=2*4/10</v>
      </c>
    </row>
    <row r="1541" spans="1:56" ht="14.4">
      <c r="A1541" s="110"/>
      <c r="B1541" s="112">
        <v>1</v>
      </c>
      <c r="C1541" s="111" t="s">
        <v>1373</v>
      </c>
      <c r="D1541" s="81"/>
      <c r="E1541" s="82"/>
      <c r="F1541" s="82"/>
      <c r="G1541" s="82"/>
      <c r="H1541" s="83">
        <f>Source!AO276</f>
        <v>568.17999999999995</v>
      </c>
      <c r="I1541" s="84">
        <f>ROUND(1.15*1.15,7)</f>
        <v>1.3225</v>
      </c>
      <c r="J1541" s="85">
        <f>ROUND(Source!AF276*Source!I276, 2)</f>
        <v>601.13</v>
      </c>
      <c r="K1541" s="84">
        <f>IF(Source!BA276&lt;&gt; 0, Source!BA276, 1)</f>
        <v>24.22</v>
      </c>
      <c r="L1541" s="86">
        <f>Source!HJ276</f>
        <v>14559</v>
      </c>
    </row>
    <row r="1542" spans="1:56" ht="14.4">
      <c r="A1542" s="110"/>
      <c r="B1542" s="112">
        <v>3</v>
      </c>
      <c r="C1542" s="111" t="s">
        <v>1374</v>
      </c>
      <c r="D1542" s="81"/>
      <c r="E1542" s="82"/>
      <c r="F1542" s="82"/>
      <c r="G1542" s="82"/>
      <c r="H1542" s="83">
        <f>Source!AM276</f>
        <v>85.52</v>
      </c>
      <c r="I1542" s="84">
        <f>ROUND(1.25*1.15,7)</f>
        <v>1.4375</v>
      </c>
      <c r="J1542" s="85">
        <f>ROUND(Source!AD276*Source!I276, 2)</f>
        <v>98.35</v>
      </c>
      <c r="K1542" s="84"/>
      <c r="L1542" s="86"/>
    </row>
    <row r="1543" spans="1:56" ht="14.4">
      <c r="A1543" s="110"/>
      <c r="B1543" s="112">
        <v>2</v>
      </c>
      <c r="C1543" s="111" t="s">
        <v>1375</v>
      </c>
      <c r="D1543" s="81"/>
      <c r="E1543" s="82"/>
      <c r="F1543" s="82"/>
      <c r="G1543" s="82"/>
      <c r="H1543" s="83">
        <f>Source!AN276</f>
        <v>7.95</v>
      </c>
      <c r="I1543" s="84">
        <f>ROUND(1.25*1.15,7)</f>
        <v>1.4375</v>
      </c>
      <c r="J1543" s="87">
        <f>ROUND(Source!AE276*Source!I276, 2)</f>
        <v>9.14</v>
      </c>
      <c r="K1543" s="84">
        <f>IF(Source!BS276&lt;&gt; 0, Source!BS276, 1)</f>
        <v>24.22</v>
      </c>
      <c r="L1543" s="88">
        <f>Source!HI276</f>
        <v>221</v>
      </c>
    </row>
    <row r="1544" spans="1:56" ht="14.4">
      <c r="A1544" s="110"/>
      <c r="B1544" s="112">
        <v>4</v>
      </c>
      <c r="C1544" s="111" t="s">
        <v>1408</v>
      </c>
      <c r="D1544" s="81"/>
      <c r="E1544" s="82"/>
      <c r="F1544" s="82"/>
      <c r="G1544" s="82"/>
      <c r="H1544" s="83">
        <f>Source!AL276</f>
        <v>56564.68</v>
      </c>
      <c r="I1544" s="84"/>
      <c r="J1544" s="85">
        <f>ROUND(Source!AC276*Source!I276, 2)</f>
        <v>45251.74</v>
      </c>
      <c r="K1544" s="84"/>
      <c r="L1544" s="86"/>
    </row>
    <row r="1545" spans="1:56" ht="14.4">
      <c r="A1545" s="110"/>
      <c r="B1545" s="111"/>
      <c r="C1545" s="111" t="s">
        <v>1376</v>
      </c>
      <c r="D1545" s="81" t="s">
        <v>1377</v>
      </c>
      <c r="E1545" s="82">
        <f>Source!AQ276</f>
        <v>61.16</v>
      </c>
      <c r="F1545" s="82">
        <f>ROUND(1.15*1.15,7)</f>
        <v>1.3225</v>
      </c>
      <c r="G1545" s="82">
        <f>ROUND(Source!U276, 7)</f>
        <v>64.707279999999997</v>
      </c>
      <c r="H1545" s="83"/>
      <c r="I1545" s="84"/>
      <c r="J1545" s="85"/>
      <c r="K1545" s="84"/>
      <c r="L1545" s="86"/>
    </row>
    <row r="1546" spans="1:56" ht="14.4">
      <c r="A1546" s="110"/>
      <c r="B1546" s="111"/>
      <c r="C1546" s="113" t="s">
        <v>1378</v>
      </c>
      <c r="D1546" s="89" t="s">
        <v>1377</v>
      </c>
      <c r="E1546" s="90">
        <f>Source!AR276</f>
        <v>0.61</v>
      </c>
      <c r="F1546" s="90">
        <f>ROUND(1.25*1.15,7)</f>
        <v>1.4375</v>
      </c>
      <c r="G1546" s="90">
        <f>ROUND(Source!V276, 7)</f>
        <v>0.70150000000000001</v>
      </c>
      <c r="H1546" s="91"/>
      <c r="I1546" s="92"/>
      <c r="J1546" s="93"/>
      <c r="K1546" s="92"/>
      <c r="L1546" s="94"/>
    </row>
    <row r="1547" spans="1:56" ht="14.4">
      <c r="A1547" s="110"/>
      <c r="B1547" s="111"/>
      <c r="C1547" s="111" t="s">
        <v>1379</v>
      </c>
      <c r="D1547" s="81"/>
      <c r="E1547" s="82"/>
      <c r="F1547" s="82"/>
      <c r="G1547" s="82"/>
      <c r="H1547" s="83">
        <f>H1541+H1542+H1544</f>
        <v>57218.38</v>
      </c>
      <c r="I1547" s="84"/>
      <c r="J1547" s="85">
        <f>J1541+J1542+J1544</f>
        <v>45951.22</v>
      </c>
      <c r="K1547" s="84"/>
      <c r="L1547" s="86"/>
    </row>
    <row r="1548" spans="1:56" ht="14.4">
      <c r="A1548" s="110"/>
      <c r="B1548" s="111"/>
      <c r="C1548" s="111" t="s">
        <v>1380</v>
      </c>
      <c r="D1548" s="81"/>
      <c r="E1548" s="82"/>
      <c r="F1548" s="82"/>
      <c r="G1548" s="82"/>
      <c r="H1548" s="83"/>
      <c r="I1548" s="84"/>
      <c r="J1548" s="85">
        <f>SUM(Q1538:Q1551)+SUM(V1538:V1551)</f>
        <v>610.27</v>
      </c>
      <c r="K1548" s="84"/>
      <c r="L1548" s="86">
        <f>SUM(U1538:U1551)+SUM(W1538:W1551)</f>
        <v>14780</v>
      </c>
    </row>
    <row r="1549" spans="1:56" ht="69">
      <c r="A1549" s="110"/>
      <c r="B1549" s="111" t="s">
        <v>1503</v>
      </c>
      <c r="C1549" s="111" t="s">
        <v>1504</v>
      </c>
      <c r="D1549" s="81" t="s">
        <v>1383</v>
      </c>
      <c r="E1549" s="82">
        <f>Source!BZ276</f>
        <v>121</v>
      </c>
      <c r="F1549" s="82">
        <f>ROUND(0.9,7)</f>
        <v>0.9</v>
      </c>
      <c r="G1549" s="82">
        <f>Source!AT276</f>
        <v>108.9</v>
      </c>
      <c r="H1549" s="83"/>
      <c r="I1549" s="84"/>
      <c r="J1549" s="85">
        <f>SUM(AC1538:AC1551)</f>
        <v>664.58</v>
      </c>
      <c r="K1549" s="84"/>
      <c r="L1549" s="86">
        <f>SUM(AD1538:AD1551)</f>
        <v>16095</v>
      </c>
    </row>
    <row r="1550" spans="1:56" ht="69">
      <c r="A1550" s="114"/>
      <c r="B1550" s="113" t="s">
        <v>1505</v>
      </c>
      <c r="C1550" s="113" t="s">
        <v>1506</v>
      </c>
      <c r="D1550" s="89" t="s">
        <v>1383</v>
      </c>
      <c r="E1550" s="90">
        <f>Source!CA276</f>
        <v>72</v>
      </c>
      <c r="F1550" s="90">
        <f>ROUND(0.85,7)</f>
        <v>0.85</v>
      </c>
      <c r="G1550" s="90">
        <f>Source!AU276</f>
        <v>61.2</v>
      </c>
      <c r="H1550" s="91"/>
      <c r="I1550" s="92"/>
      <c r="J1550" s="93">
        <f>SUM(AE1538:AE1551)</f>
        <v>373.49</v>
      </c>
      <c r="K1550" s="92"/>
      <c r="L1550" s="94">
        <f>SUM(AF1538:AF1551)</f>
        <v>9045</v>
      </c>
    </row>
    <row r="1551" spans="1:56" ht="13.8">
      <c r="C1551" s="95" t="s">
        <v>1386</v>
      </c>
      <c r="D1551" s="95"/>
      <c r="E1551" s="95"/>
      <c r="F1551" s="95"/>
      <c r="G1551" s="95"/>
      <c r="H1551" s="95"/>
      <c r="I1551" s="95">
        <f>J1541+J1542+J1544+J1549+J1550</f>
        <v>46989.29</v>
      </c>
      <c r="J1551" s="95"/>
      <c r="O1551" s="69">
        <f>I1551</f>
        <v>46989.29</v>
      </c>
      <c r="P1551">
        <f>K1551</f>
        <v>0</v>
      </c>
      <c r="Q1551" s="69">
        <f>J1541</f>
        <v>601.13</v>
      </c>
      <c r="R1551" s="69">
        <f>J1541</f>
        <v>601.13</v>
      </c>
      <c r="U1551" s="70">
        <f>L1541</f>
        <v>14559</v>
      </c>
      <c r="V1551" s="69">
        <f>J1543</f>
        <v>9.14</v>
      </c>
      <c r="W1551" s="70">
        <f>L1543</f>
        <v>221</v>
      </c>
      <c r="X1551" s="69">
        <f>J1542</f>
        <v>98.35</v>
      </c>
      <c r="Z1551" s="70">
        <f>L1542</f>
        <v>0</v>
      </c>
      <c r="AB1551" s="69">
        <f>J1544</f>
        <v>45251.74</v>
      </c>
      <c r="AN1551">
        <f>IF(Source!BI276&lt;=1,J1541+J1542+J1544+J1549+J1550, 0)</f>
        <v>46989.29</v>
      </c>
      <c r="AO1551">
        <f>IF(Source!BI276&lt;=1,J1544, 0)</f>
        <v>45251.74</v>
      </c>
      <c r="AP1551">
        <f>IF(Source!BI276&lt;=1,J1542, 0)</f>
        <v>98.35</v>
      </c>
      <c r="AQ1551">
        <f>IF(Source!BI276&lt;=1,J1541, 0)</f>
        <v>601.13</v>
      </c>
      <c r="AX1551">
        <f>IF(Source!BI276=2,J1541+J1542+J1544+J1549+J1550, 0)</f>
        <v>0</v>
      </c>
      <c r="AY1551">
        <f>IF(Source!BI276=2,J1544, 0)</f>
        <v>0</v>
      </c>
      <c r="AZ1551">
        <f>IF(Source!BI276=2,J1542, 0)</f>
        <v>0</v>
      </c>
      <c r="BA1551">
        <f>IF(Source!BI276=2,J1541, 0)</f>
        <v>0</v>
      </c>
    </row>
    <row r="1552" spans="1:56" ht="27.6">
      <c r="A1552" s="110" t="str">
        <f>Source!E277</f>
        <v>162</v>
      </c>
      <c r="B1552" s="111" t="str">
        <f>Source!F277</f>
        <v>301-0624</v>
      </c>
      <c r="C1552" s="111" t="str">
        <f>Source!G277</f>
        <v>Смесители для душевых установок СМ-Д-ШЛ с душевой сеткой на гибком шланге</v>
      </c>
      <c r="D1552" s="81" t="str">
        <f>Source!H277</f>
        <v>компл.</v>
      </c>
      <c r="E1552" s="82">
        <f>Source!K277</f>
        <v>8</v>
      </c>
      <c r="F1552" s="82"/>
      <c r="G1552" s="82">
        <f>Source!I277</f>
        <v>8</v>
      </c>
      <c r="H1552" s="83">
        <f>Source!AL277</f>
        <v>104.86</v>
      </c>
      <c r="I1552" s="84"/>
      <c r="J1552" s="85">
        <f>ROUND(Source!AC277*Source!I277, 2)</f>
        <v>838.88</v>
      </c>
      <c r="K1552" s="84"/>
      <c r="L1552" s="86"/>
      <c r="AC1552">
        <f>Source!X277</f>
        <v>0</v>
      </c>
      <c r="AD1552">
        <f>Source!HK277</f>
        <v>0</v>
      </c>
      <c r="AE1552">
        <f>Source!Y277</f>
        <v>0</v>
      </c>
      <c r="AF1552">
        <f>Source!HL277</f>
        <v>0</v>
      </c>
      <c r="AS1552">
        <f>IF(Source!BI277&lt;=1,AD1552, 0)</f>
        <v>0</v>
      </c>
      <c r="AT1552">
        <f>IF(Source!BI277&lt;=1,AF1552, 0)</f>
        <v>0</v>
      </c>
      <c r="BC1552">
        <f>IF(Source!BI277=2,AD1552, 0)</f>
        <v>0</v>
      </c>
      <c r="BD1552">
        <f>IF(Source!BI277=2,AF1552, 0)</f>
        <v>0</v>
      </c>
    </row>
    <row r="1553" spans="1:56">
      <c r="A1553" s="71"/>
      <c r="B1553" s="71"/>
      <c r="C1553" s="71"/>
      <c r="D1553" s="71"/>
      <c r="E1553" s="71"/>
      <c r="F1553" s="71"/>
      <c r="G1553" s="71"/>
      <c r="H1553" s="71"/>
      <c r="I1553" s="71"/>
      <c r="J1553" s="71"/>
      <c r="K1553" s="71"/>
      <c r="L1553" s="71"/>
    </row>
    <row r="1554" spans="1:56" ht="13.8">
      <c r="C1554" s="95" t="s">
        <v>1386</v>
      </c>
      <c r="D1554" s="95"/>
      <c r="E1554" s="95"/>
      <c r="F1554" s="95"/>
      <c r="G1554" s="95"/>
      <c r="H1554" s="95"/>
      <c r="I1554" s="95">
        <f>J1552</f>
        <v>838.88</v>
      </c>
      <c r="J1554" s="95"/>
      <c r="O1554" s="69">
        <f>I1554</f>
        <v>838.88</v>
      </c>
      <c r="P1554">
        <f>K1554</f>
        <v>0</v>
      </c>
      <c r="Q1554">
        <f>0</f>
        <v>0</v>
      </c>
      <c r="R1554">
        <f>0</f>
        <v>0</v>
      </c>
      <c r="U1554">
        <f>0</f>
        <v>0</v>
      </c>
      <c r="V1554">
        <f>0</f>
        <v>0</v>
      </c>
      <c r="W1554">
        <f>0</f>
        <v>0</v>
      </c>
      <c r="X1554">
        <f>0</f>
        <v>0</v>
      </c>
      <c r="Z1554">
        <f>0</f>
        <v>0</v>
      </c>
      <c r="AB1554" s="69">
        <f>I1554</f>
        <v>838.88</v>
      </c>
      <c r="AN1554">
        <f>IF(Source!BI277&lt;=1,J1552, 0)</f>
        <v>838.88</v>
      </c>
      <c r="AO1554">
        <f>IF(Source!BI277&lt;=1,I1554, 0)</f>
        <v>838.88</v>
      </c>
      <c r="AP1554">
        <f>IF(Source!BI277&lt;=1,0, 0)</f>
        <v>0</v>
      </c>
      <c r="AQ1554">
        <f>IF(Source!BI277&lt;=1,0, 0)</f>
        <v>0</v>
      </c>
      <c r="AX1554">
        <f>IF(Source!BI277=2,J1552, 0)</f>
        <v>0</v>
      </c>
      <c r="AY1554">
        <f>IF(Source!BI277=2,I1554, 0)</f>
        <v>0</v>
      </c>
      <c r="AZ1554">
        <f>IF(Source!BI277=2,0, 0)</f>
        <v>0</v>
      </c>
      <c r="BA1554">
        <f>IF(Source!BI277=2,0, 0)</f>
        <v>0</v>
      </c>
    </row>
    <row r="1555" spans="1:56" ht="13.8">
      <c r="C1555" s="79" t="str">
        <f>Source!G278</f>
        <v>Электромонтажные работы</v>
      </c>
    </row>
    <row r="1556" spans="1:56" ht="120.6">
      <c r="A1556" s="110" t="str">
        <f>Source!E279</f>
        <v>163</v>
      </c>
      <c r="B1556" s="111" t="str">
        <f>Source!F279</f>
        <v>м08-02-403-4</v>
      </c>
      <c r="C1556" s="111" t="s">
        <v>1547</v>
      </c>
      <c r="D1556" s="81" t="str">
        <f>Source!H279</f>
        <v>100 м</v>
      </c>
      <c r="E1556" s="82">
        <f>Source!K279</f>
        <v>8</v>
      </c>
      <c r="F1556" s="82"/>
      <c r="G1556" s="82">
        <f>Source!I279</f>
        <v>8</v>
      </c>
      <c r="H1556" s="83"/>
      <c r="I1556" s="84"/>
      <c r="J1556" s="85"/>
      <c r="K1556" s="84"/>
      <c r="L1556" s="86"/>
      <c r="AC1556">
        <f>Source!X279</f>
        <v>1287.67</v>
      </c>
      <c r="AD1556">
        <f>Source!HK279</f>
        <v>31187</v>
      </c>
      <c r="AE1556">
        <f>Source!Y279</f>
        <v>677.02</v>
      </c>
      <c r="AF1556">
        <f>Source!HL279</f>
        <v>16398</v>
      </c>
      <c r="AS1556">
        <f>IF(Source!BI279&lt;=1,AD1556, 0)</f>
        <v>0</v>
      </c>
      <c r="AT1556">
        <f>IF(Source!BI279&lt;=1,AF1556, 0)</f>
        <v>0</v>
      </c>
      <c r="BC1556">
        <f>IF(Source!BI279=2,AD1556, 0)</f>
        <v>31187</v>
      </c>
      <c r="BD1556">
        <f>IF(Source!BI279=2,AF1556, 0)</f>
        <v>16398</v>
      </c>
    </row>
    <row r="1558" spans="1:56">
      <c r="C1558" s="67" t="str">
        <f>"Объем: "&amp;Source!K279&amp;"=200*"&amp;"4/"&amp;"100"</f>
        <v>Объем: 8=200*4/100</v>
      </c>
    </row>
    <row r="1559" spans="1:56" ht="14.4">
      <c r="A1559" s="110"/>
      <c r="B1559" s="112">
        <v>1</v>
      </c>
      <c r="C1559" s="111" t="s">
        <v>1373</v>
      </c>
      <c r="D1559" s="81"/>
      <c r="E1559" s="82"/>
      <c r="F1559" s="82"/>
      <c r="G1559" s="82"/>
      <c r="H1559" s="83">
        <f>Source!AO279</f>
        <v>138.02000000000001</v>
      </c>
      <c r="I1559" s="84">
        <f>ROUND(1.2,7)</f>
        <v>1.2</v>
      </c>
      <c r="J1559" s="85">
        <f>ROUND(Source!AF279*Source!I279, 2)</f>
        <v>1324.99</v>
      </c>
      <c r="K1559" s="84">
        <f>IF(Source!BA279&lt;&gt; 0, Source!BA279, 1)</f>
        <v>24.22</v>
      </c>
      <c r="L1559" s="86">
        <f>Source!HJ279</f>
        <v>32091</v>
      </c>
    </row>
    <row r="1560" spans="1:56" ht="14.4">
      <c r="A1560" s="110"/>
      <c r="B1560" s="112">
        <v>3</v>
      </c>
      <c r="C1560" s="111" t="s">
        <v>1374</v>
      </c>
      <c r="D1560" s="81"/>
      <c r="E1560" s="82"/>
      <c r="F1560" s="82"/>
      <c r="G1560" s="82"/>
      <c r="H1560" s="83">
        <f>Source!AM279</f>
        <v>3.54</v>
      </c>
      <c r="I1560" s="84">
        <f>ROUND(1.2,7)</f>
        <v>1.2</v>
      </c>
      <c r="J1560" s="85">
        <f>ROUND(Source!AD279*Source!I279, 2)</f>
        <v>33.979999999999997</v>
      </c>
      <c r="K1560" s="84"/>
      <c r="L1560" s="86"/>
    </row>
    <row r="1561" spans="1:56" ht="14.4">
      <c r="A1561" s="110"/>
      <c r="B1561" s="112">
        <v>2</v>
      </c>
      <c r="C1561" s="111" t="s">
        <v>1375</v>
      </c>
      <c r="D1561" s="81"/>
      <c r="E1561" s="82"/>
      <c r="F1561" s="82"/>
      <c r="G1561" s="82"/>
      <c r="H1561" s="83">
        <f>Source!AN279</f>
        <v>0.26</v>
      </c>
      <c r="I1561" s="84">
        <f>ROUND(1.2,7)</f>
        <v>1.2</v>
      </c>
      <c r="J1561" s="87">
        <f>ROUND(Source!AE279*Source!I279, 2)</f>
        <v>2.5</v>
      </c>
      <c r="K1561" s="84">
        <f>IF(Source!BS279&lt;&gt; 0, Source!BS279, 1)</f>
        <v>24.22</v>
      </c>
      <c r="L1561" s="88">
        <f>Source!HI279</f>
        <v>61</v>
      </c>
    </row>
    <row r="1562" spans="1:56" ht="14.4">
      <c r="A1562" s="110"/>
      <c r="B1562" s="112">
        <v>4</v>
      </c>
      <c r="C1562" s="111" t="s">
        <v>1408</v>
      </c>
      <c r="D1562" s="81"/>
      <c r="E1562" s="82"/>
      <c r="F1562" s="82"/>
      <c r="G1562" s="82"/>
      <c r="H1562" s="83">
        <f>Source!AL279</f>
        <v>35.4</v>
      </c>
      <c r="I1562" s="84"/>
      <c r="J1562" s="85">
        <f>ROUND(Source!AC279*Source!I279, 2)</f>
        <v>283.2</v>
      </c>
      <c r="K1562" s="84"/>
      <c r="L1562" s="86"/>
    </row>
    <row r="1563" spans="1:56" ht="14.4">
      <c r="A1563" s="110"/>
      <c r="B1563" s="111"/>
      <c r="C1563" s="111" t="s">
        <v>1376</v>
      </c>
      <c r="D1563" s="81" t="s">
        <v>1377</v>
      </c>
      <c r="E1563" s="82">
        <f>Source!AQ279</f>
        <v>15.2</v>
      </c>
      <c r="F1563" s="82">
        <f>ROUND(1.2,7)</f>
        <v>1.2</v>
      </c>
      <c r="G1563" s="82">
        <f>ROUND(Source!U279, 7)</f>
        <v>145.91999999999999</v>
      </c>
      <c r="H1563" s="83"/>
      <c r="I1563" s="84"/>
      <c r="J1563" s="85"/>
      <c r="K1563" s="84"/>
      <c r="L1563" s="86"/>
    </row>
    <row r="1564" spans="1:56" ht="14.4">
      <c r="A1564" s="110"/>
      <c r="B1564" s="111"/>
      <c r="C1564" s="113" t="s">
        <v>1378</v>
      </c>
      <c r="D1564" s="89" t="s">
        <v>1377</v>
      </c>
      <c r="E1564" s="90">
        <f>Source!AR279</f>
        <v>0.02</v>
      </c>
      <c r="F1564" s="90">
        <f>ROUND(1.2,7)</f>
        <v>1.2</v>
      </c>
      <c r="G1564" s="90">
        <f>ROUND(Source!V279, 7)</f>
        <v>0.192</v>
      </c>
      <c r="H1564" s="91"/>
      <c r="I1564" s="92"/>
      <c r="J1564" s="93"/>
      <c r="K1564" s="92"/>
      <c r="L1564" s="94"/>
    </row>
    <row r="1565" spans="1:56" ht="14.4">
      <c r="A1565" s="110"/>
      <c r="B1565" s="111"/>
      <c r="C1565" s="111" t="s">
        <v>1379</v>
      </c>
      <c r="D1565" s="81"/>
      <c r="E1565" s="82"/>
      <c r="F1565" s="82"/>
      <c r="G1565" s="82"/>
      <c r="H1565" s="83">
        <f>H1559+H1560+H1562</f>
        <v>176.96</v>
      </c>
      <c r="I1565" s="84"/>
      <c r="J1565" s="85">
        <f>J1559+J1560+J1562</f>
        <v>1642.17</v>
      </c>
      <c r="K1565" s="84"/>
      <c r="L1565" s="86"/>
    </row>
    <row r="1566" spans="1:56" ht="14.4">
      <c r="A1566" s="110"/>
      <c r="B1566" s="111"/>
      <c r="C1566" s="111" t="s">
        <v>1380</v>
      </c>
      <c r="D1566" s="81"/>
      <c r="E1566" s="82"/>
      <c r="F1566" s="82"/>
      <c r="G1566" s="82"/>
      <c r="H1566" s="83"/>
      <c r="I1566" s="84"/>
      <c r="J1566" s="85">
        <f>SUM(Q1556:Q1569)+SUM(V1556:V1569)</f>
        <v>1327.49</v>
      </c>
      <c r="K1566" s="84"/>
      <c r="L1566" s="86">
        <f>SUM(U1556:U1569)+SUM(W1556:W1569)</f>
        <v>32152</v>
      </c>
    </row>
    <row r="1567" spans="1:56" ht="27.6">
      <c r="A1567" s="110"/>
      <c r="B1567" s="111" t="s">
        <v>1548</v>
      </c>
      <c r="C1567" s="111" t="s">
        <v>1549</v>
      </c>
      <c r="D1567" s="81" t="s">
        <v>1383</v>
      </c>
      <c r="E1567" s="82">
        <f>Source!BZ279</f>
        <v>97</v>
      </c>
      <c r="F1567" s="82"/>
      <c r="G1567" s="82">
        <f>Source!AT279</f>
        <v>97</v>
      </c>
      <c r="H1567" s="83"/>
      <c r="I1567" s="84"/>
      <c r="J1567" s="85">
        <f>SUM(AC1556:AC1569)</f>
        <v>1287.67</v>
      </c>
      <c r="K1567" s="84"/>
      <c r="L1567" s="86">
        <f>SUM(AD1556:AD1569)</f>
        <v>31187</v>
      </c>
    </row>
    <row r="1568" spans="1:56" ht="27.6">
      <c r="A1568" s="114"/>
      <c r="B1568" s="113" t="s">
        <v>1550</v>
      </c>
      <c r="C1568" s="113" t="s">
        <v>1551</v>
      </c>
      <c r="D1568" s="89" t="s">
        <v>1383</v>
      </c>
      <c r="E1568" s="90">
        <f>Source!CA279</f>
        <v>51</v>
      </c>
      <c r="F1568" s="90"/>
      <c r="G1568" s="90">
        <f>Source!AU279</f>
        <v>51</v>
      </c>
      <c r="H1568" s="91"/>
      <c r="I1568" s="92"/>
      <c r="J1568" s="93">
        <f>SUM(AE1556:AE1569)</f>
        <v>677.02</v>
      </c>
      <c r="K1568" s="92"/>
      <c r="L1568" s="94">
        <f>SUM(AF1556:AF1569)</f>
        <v>16398</v>
      </c>
    </row>
    <row r="1569" spans="1:56" ht="13.8">
      <c r="C1569" s="95" t="s">
        <v>1386</v>
      </c>
      <c r="D1569" s="95"/>
      <c r="E1569" s="95"/>
      <c r="F1569" s="95"/>
      <c r="G1569" s="95"/>
      <c r="H1569" s="95"/>
      <c r="I1569" s="95">
        <f>J1559+J1560+J1562+J1567+J1568</f>
        <v>3606.86</v>
      </c>
      <c r="J1569" s="95"/>
      <c r="O1569" s="69">
        <f>I1569</f>
        <v>3606.86</v>
      </c>
      <c r="P1569">
        <f>K1569</f>
        <v>0</v>
      </c>
      <c r="Q1569" s="69">
        <f>J1559</f>
        <v>1324.99</v>
      </c>
      <c r="R1569" s="69">
        <f>J1559</f>
        <v>1324.99</v>
      </c>
      <c r="U1569" s="70">
        <f>L1559</f>
        <v>32091</v>
      </c>
      <c r="V1569" s="69">
        <f>J1561</f>
        <v>2.5</v>
      </c>
      <c r="W1569" s="70">
        <f>L1561</f>
        <v>61</v>
      </c>
      <c r="X1569" s="69">
        <f>J1560</f>
        <v>33.979999999999997</v>
      </c>
      <c r="Z1569" s="70">
        <f>L1560</f>
        <v>0</v>
      </c>
      <c r="AB1569" s="69">
        <f>J1562</f>
        <v>283.2</v>
      </c>
      <c r="AN1569">
        <f>IF(Source!BI279&lt;=1,J1559+J1560+J1562+J1567+J1568, 0)</f>
        <v>0</v>
      </c>
      <c r="AO1569">
        <f>IF(Source!BI279&lt;=1,J1562, 0)</f>
        <v>0</v>
      </c>
      <c r="AP1569">
        <f>IF(Source!BI279&lt;=1,J1560, 0)</f>
        <v>0</v>
      </c>
      <c r="AQ1569">
        <f>IF(Source!BI279&lt;=1,J1559, 0)</f>
        <v>0</v>
      </c>
      <c r="AX1569">
        <f>IF(Source!BI279=2,J1559+J1560+J1562+J1567+J1568, 0)</f>
        <v>3606.86</v>
      </c>
      <c r="AY1569">
        <f>IF(Source!BI279=2,J1562, 0)</f>
        <v>283.2</v>
      </c>
      <c r="AZ1569">
        <f>IF(Source!BI279=2,J1560, 0)</f>
        <v>33.979999999999997</v>
      </c>
      <c r="BA1569">
        <f>IF(Source!BI279=2,J1559, 0)</f>
        <v>1324.99</v>
      </c>
    </row>
    <row r="1570" spans="1:56" ht="134.4">
      <c r="A1570" s="110" t="str">
        <f>Source!E280</f>
        <v>164</v>
      </c>
      <c r="B1570" s="111" t="str">
        <f>Source!F280</f>
        <v>м08-02-403-2</v>
      </c>
      <c r="C1570" s="111" t="s">
        <v>1552</v>
      </c>
      <c r="D1570" s="81" t="str">
        <f>Source!H280</f>
        <v>100 м</v>
      </c>
      <c r="E1570" s="82">
        <f>Source!K280</f>
        <v>4</v>
      </c>
      <c r="F1570" s="82"/>
      <c r="G1570" s="82">
        <f>Source!I280</f>
        <v>4</v>
      </c>
      <c r="H1570" s="83"/>
      <c r="I1570" s="84"/>
      <c r="J1570" s="85"/>
      <c r="K1570" s="84"/>
      <c r="L1570" s="86"/>
      <c r="AC1570">
        <f>Source!X280</f>
        <v>567.71</v>
      </c>
      <c r="AD1570">
        <f>Source!HK280</f>
        <v>13750</v>
      </c>
      <c r="AE1570">
        <f>Source!Y280</f>
        <v>298.49</v>
      </c>
      <c r="AF1570">
        <f>Source!HL280</f>
        <v>7229</v>
      </c>
      <c r="AS1570">
        <f>IF(Source!BI280&lt;=1,AD1570, 0)</f>
        <v>0</v>
      </c>
      <c r="AT1570">
        <f>IF(Source!BI280&lt;=1,AF1570, 0)</f>
        <v>0</v>
      </c>
      <c r="BC1570">
        <f>IF(Source!BI280=2,AD1570, 0)</f>
        <v>13750</v>
      </c>
      <c r="BD1570">
        <f>IF(Source!BI280=2,AF1570, 0)</f>
        <v>7229</v>
      </c>
    </row>
    <row r="1572" spans="1:56">
      <c r="C1572" s="67" t="str">
        <f>"Объем: "&amp;Source!K280&amp;"=100*"&amp;"4/"&amp;"100"</f>
        <v>Объем: 4=100*4/100</v>
      </c>
    </row>
    <row r="1573" spans="1:56" ht="14.4">
      <c r="A1573" s="110"/>
      <c r="B1573" s="112">
        <v>1</v>
      </c>
      <c r="C1573" s="111" t="s">
        <v>1373</v>
      </c>
      <c r="D1573" s="81"/>
      <c r="E1573" s="82"/>
      <c r="F1573" s="82"/>
      <c r="G1573" s="82"/>
      <c r="H1573" s="83">
        <f>Source!AO280</f>
        <v>121.67</v>
      </c>
      <c r="I1573" s="84">
        <f>ROUND(1.2,7)</f>
        <v>1.2</v>
      </c>
      <c r="J1573" s="85">
        <f>ROUND(Source!AF280*Source!I280, 2)</f>
        <v>584.02</v>
      </c>
      <c r="K1573" s="84">
        <f>IF(Source!BA280&lt;&gt; 0, Source!BA280, 1)</f>
        <v>24.22</v>
      </c>
      <c r="L1573" s="86">
        <f>Source!HJ280</f>
        <v>14145</v>
      </c>
    </row>
    <row r="1574" spans="1:56" ht="14.4">
      <c r="A1574" s="110"/>
      <c r="B1574" s="112">
        <v>3</v>
      </c>
      <c r="C1574" s="111" t="s">
        <v>1374</v>
      </c>
      <c r="D1574" s="81"/>
      <c r="E1574" s="82"/>
      <c r="F1574" s="82"/>
      <c r="G1574" s="82"/>
      <c r="H1574" s="83">
        <f>Source!AM280</f>
        <v>4.45</v>
      </c>
      <c r="I1574" s="84">
        <f>ROUND(1.2,7)</f>
        <v>1.2</v>
      </c>
      <c r="J1574" s="85">
        <f>ROUND(Source!AD280*Source!I280, 2)</f>
        <v>21.36</v>
      </c>
      <c r="K1574" s="84"/>
      <c r="L1574" s="86"/>
    </row>
    <row r="1575" spans="1:56" ht="14.4">
      <c r="A1575" s="110"/>
      <c r="B1575" s="112">
        <v>2</v>
      </c>
      <c r="C1575" s="111" t="s">
        <v>1375</v>
      </c>
      <c r="D1575" s="81"/>
      <c r="E1575" s="82"/>
      <c r="F1575" s="82"/>
      <c r="G1575" s="82"/>
      <c r="H1575" s="83">
        <f>Source!AN280</f>
        <v>0.26</v>
      </c>
      <c r="I1575" s="84">
        <f>ROUND(1.2,7)</f>
        <v>1.2</v>
      </c>
      <c r="J1575" s="87">
        <f>ROUND(Source!AE280*Source!I280, 2)</f>
        <v>1.25</v>
      </c>
      <c r="K1575" s="84">
        <f>IF(Source!BS280&lt;&gt; 0, Source!BS280, 1)</f>
        <v>24.22</v>
      </c>
      <c r="L1575" s="88">
        <f>Source!HI280</f>
        <v>30</v>
      </c>
    </row>
    <row r="1576" spans="1:56" ht="14.4">
      <c r="A1576" s="110"/>
      <c r="B1576" s="112">
        <v>4</v>
      </c>
      <c r="C1576" s="111" t="s">
        <v>1408</v>
      </c>
      <c r="D1576" s="81"/>
      <c r="E1576" s="82"/>
      <c r="F1576" s="82"/>
      <c r="G1576" s="82"/>
      <c r="H1576" s="83">
        <f>Source!AL280</f>
        <v>35.07</v>
      </c>
      <c r="I1576" s="84"/>
      <c r="J1576" s="85">
        <f>ROUND(Source!AC280*Source!I280, 2)</f>
        <v>140.28</v>
      </c>
      <c r="K1576" s="84"/>
      <c r="L1576" s="86"/>
    </row>
    <row r="1577" spans="1:56" ht="14.4">
      <c r="A1577" s="110"/>
      <c r="B1577" s="111"/>
      <c r="C1577" s="111" t="s">
        <v>1376</v>
      </c>
      <c r="D1577" s="81" t="s">
        <v>1377</v>
      </c>
      <c r="E1577" s="82">
        <f>Source!AQ280</f>
        <v>13.4</v>
      </c>
      <c r="F1577" s="82">
        <f>ROUND(1.2,7)</f>
        <v>1.2</v>
      </c>
      <c r="G1577" s="82">
        <f>ROUND(Source!U280, 7)</f>
        <v>64.319999999999993</v>
      </c>
      <c r="H1577" s="83"/>
      <c r="I1577" s="84"/>
      <c r="J1577" s="85"/>
      <c r="K1577" s="84"/>
      <c r="L1577" s="86"/>
    </row>
    <row r="1578" spans="1:56" ht="14.4">
      <c r="A1578" s="110"/>
      <c r="B1578" s="111"/>
      <c r="C1578" s="113" t="s">
        <v>1378</v>
      </c>
      <c r="D1578" s="89" t="s">
        <v>1377</v>
      </c>
      <c r="E1578" s="90">
        <f>Source!AR280</f>
        <v>0.02</v>
      </c>
      <c r="F1578" s="90">
        <f>ROUND(1.2,7)</f>
        <v>1.2</v>
      </c>
      <c r="G1578" s="90">
        <f>ROUND(Source!V280, 7)</f>
        <v>9.6000000000000002E-2</v>
      </c>
      <c r="H1578" s="91"/>
      <c r="I1578" s="92"/>
      <c r="J1578" s="93"/>
      <c r="K1578" s="92"/>
      <c r="L1578" s="94"/>
    </row>
    <row r="1579" spans="1:56" ht="14.4">
      <c r="A1579" s="110"/>
      <c r="B1579" s="111"/>
      <c r="C1579" s="111" t="s">
        <v>1379</v>
      </c>
      <c r="D1579" s="81"/>
      <c r="E1579" s="82"/>
      <c r="F1579" s="82"/>
      <c r="G1579" s="82"/>
      <c r="H1579" s="83">
        <f>H1573+H1574+H1576</f>
        <v>161.19</v>
      </c>
      <c r="I1579" s="84"/>
      <c r="J1579" s="85">
        <f>J1573+J1574+J1576</f>
        <v>745.66</v>
      </c>
      <c r="K1579" s="84"/>
      <c r="L1579" s="86"/>
    </row>
    <row r="1580" spans="1:56" ht="14.4">
      <c r="A1580" s="110"/>
      <c r="B1580" s="111"/>
      <c r="C1580" s="111" t="s">
        <v>1380</v>
      </c>
      <c r="D1580" s="81"/>
      <c r="E1580" s="82"/>
      <c r="F1580" s="82"/>
      <c r="G1580" s="82"/>
      <c r="H1580" s="83"/>
      <c r="I1580" s="84"/>
      <c r="J1580" s="85">
        <f>SUM(Q1570:Q1583)+SUM(V1570:V1583)</f>
        <v>585.27</v>
      </c>
      <c r="K1580" s="84"/>
      <c r="L1580" s="86">
        <f>SUM(U1570:U1583)+SUM(W1570:W1583)</f>
        <v>14175</v>
      </c>
    </row>
    <row r="1581" spans="1:56" ht="27.6">
      <c r="A1581" s="110"/>
      <c r="B1581" s="111" t="s">
        <v>1548</v>
      </c>
      <c r="C1581" s="111" t="s">
        <v>1549</v>
      </c>
      <c r="D1581" s="81" t="s">
        <v>1383</v>
      </c>
      <c r="E1581" s="82">
        <f>Source!BZ280</f>
        <v>97</v>
      </c>
      <c r="F1581" s="82"/>
      <c r="G1581" s="82">
        <f>Source!AT280</f>
        <v>97</v>
      </c>
      <c r="H1581" s="83"/>
      <c r="I1581" s="84"/>
      <c r="J1581" s="85">
        <f>SUM(AC1570:AC1583)</f>
        <v>567.71</v>
      </c>
      <c r="K1581" s="84"/>
      <c r="L1581" s="86">
        <f>SUM(AD1570:AD1583)</f>
        <v>13750</v>
      </c>
    </row>
    <row r="1582" spans="1:56" ht="27.6">
      <c r="A1582" s="114"/>
      <c r="B1582" s="113" t="s">
        <v>1550</v>
      </c>
      <c r="C1582" s="113" t="s">
        <v>1551</v>
      </c>
      <c r="D1582" s="89" t="s">
        <v>1383</v>
      </c>
      <c r="E1582" s="90">
        <f>Source!CA280</f>
        <v>51</v>
      </c>
      <c r="F1582" s="90"/>
      <c r="G1582" s="90">
        <f>Source!AU280</f>
        <v>51</v>
      </c>
      <c r="H1582" s="91"/>
      <c r="I1582" s="92"/>
      <c r="J1582" s="93">
        <f>SUM(AE1570:AE1583)</f>
        <v>298.49</v>
      </c>
      <c r="K1582" s="92"/>
      <c r="L1582" s="94">
        <f>SUM(AF1570:AF1583)</f>
        <v>7229</v>
      </c>
    </row>
    <row r="1583" spans="1:56" ht="13.8">
      <c r="C1583" s="95" t="s">
        <v>1386</v>
      </c>
      <c r="D1583" s="95"/>
      <c r="E1583" s="95"/>
      <c r="F1583" s="95"/>
      <c r="G1583" s="95"/>
      <c r="H1583" s="95"/>
      <c r="I1583" s="95">
        <f>J1573+J1574+J1576+J1581+J1582</f>
        <v>1611.86</v>
      </c>
      <c r="J1583" s="95"/>
      <c r="O1583" s="69">
        <f>I1583</f>
        <v>1611.86</v>
      </c>
      <c r="P1583">
        <f>K1583</f>
        <v>0</v>
      </c>
      <c r="Q1583" s="69">
        <f>J1573</f>
        <v>584.02</v>
      </c>
      <c r="R1583" s="69">
        <f>J1573</f>
        <v>584.02</v>
      </c>
      <c r="U1583" s="70">
        <f>L1573</f>
        <v>14145</v>
      </c>
      <c r="V1583" s="69">
        <f>J1575</f>
        <v>1.25</v>
      </c>
      <c r="W1583" s="70">
        <f>L1575</f>
        <v>30</v>
      </c>
      <c r="X1583" s="69">
        <f>J1574</f>
        <v>21.36</v>
      </c>
      <c r="Z1583" s="70">
        <f>L1574</f>
        <v>0</v>
      </c>
      <c r="AB1583" s="69">
        <f>J1576</f>
        <v>140.28</v>
      </c>
      <c r="AN1583">
        <f>IF(Source!BI280&lt;=1,J1573+J1574+J1576+J1581+J1582, 0)</f>
        <v>0</v>
      </c>
      <c r="AO1583">
        <f>IF(Source!BI280&lt;=1,J1576, 0)</f>
        <v>0</v>
      </c>
      <c r="AP1583">
        <f>IF(Source!BI280&lt;=1,J1574, 0)</f>
        <v>0</v>
      </c>
      <c r="AQ1583">
        <f>IF(Source!BI280&lt;=1,J1573, 0)</f>
        <v>0</v>
      </c>
      <c r="AX1583">
        <f>IF(Source!BI280=2,J1573+J1574+J1576+J1581+J1582, 0)</f>
        <v>1611.86</v>
      </c>
      <c r="AY1583">
        <f>IF(Source!BI280=2,J1576, 0)</f>
        <v>140.28</v>
      </c>
      <c r="AZ1583">
        <f>IF(Source!BI280=2,J1574, 0)</f>
        <v>21.36</v>
      </c>
      <c r="BA1583">
        <f>IF(Source!BI280=2,J1573, 0)</f>
        <v>584.02</v>
      </c>
    </row>
    <row r="1584" spans="1:56" ht="134.4">
      <c r="A1584" s="110" t="str">
        <f>Source!E281</f>
        <v>165</v>
      </c>
      <c r="B1584" s="111" t="str">
        <f>Source!F281</f>
        <v>м08-03-593-6</v>
      </c>
      <c r="C1584" s="111" t="s">
        <v>1553</v>
      </c>
      <c r="D1584" s="81" t="str">
        <f>Source!H281</f>
        <v>100 шт.</v>
      </c>
      <c r="E1584" s="82">
        <f>Source!K281</f>
        <v>0.24</v>
      </c>
      <c r="F1584" s="82"/>
      <c r="G1584" s="82">
        <f>Source!I281</f>
        <v>0.24</v>
      </c>
      <c r="H1584" s="83"/>
      <c r="I1584" s="84"/>
      <c r="J1584" s="85"/>
      <c r="K1584" s="84"/>
      <c r="L1584" s="86"/>
      <c r="AC1584">
        <f>Source!X281</f>
        <v>192.05</v>
      </c>
      <c r="AD1584">
        <f>Source!HK281</f>
        <v>4651</v>
      </c>
      <c r="AE1584">
        <f>Source!Y281</f>
        <v>100.97</v>
      </c>
      <c r="AF1584">
        <f>Source!HL281</f>
        <v>2445</v>
      </c>
      <c r="AS1584">
        <f>IF(Source!BI281&lt;=1,AD1584, 0)</f>
        <v>0</v>
      </c>
      <c r="AT1584">
        <f>IF(Source!BI281&lt;=1,AF1584, 0)</f>
        <v>0</v>
      </c>
      <c r="BC1584">
        <f>IF(Source!BI281=2,AD1584, 0)</f>
        <v>4651</v>
      </c>
      <c r="BD1584">
        <f>IF(Source!BI281=2,AF1584, 0)</f>
        <v>2445</v>
      </c>
    </row>
    <row r="1586" spans="1:56">
      <c r="C1586" s="67" t="str">
        <f>"Объем: "&amp;Source!K281&amp;"=6*"&amp;"4/"&amp;"100"</f>
        <v>Объем: 0,24=6*4/100</v>
      </c>
    </row>
    <row r="1587" spans="1:56" ht="14.4">
      <c r="A1587" s="110"/>
      <c r="B1587" s="112">
        <v>1</v>
      </c>
      <c r="C1587" s="111" t="s">
        <v>1373</v>
      </c>
      <c r="D1587" s="81"/>
      <c r="E1587" s="82"/>
      <c r="F1587" s="82"/>
      <c r="G1587" s="82"/>
      <c r="H1587" s="83">
        <f>Source!AO281</f>
        <v>676.02</v>
      </c>
      <c r="I1587" s="84">
        <f>ROUND(1.2,7)</f>
        <v>1.2</v>
      </c>
      <c r="J1587" s="85">
        <f>ROUND(Source!AF281*Source!I281, 2)</f>
        <v>194.69</v>
      </c>
      <c r="K1587" s="84">
        <f>IF(Source!BA281&lt;&gt; 0, Source!BA281, 1)</f>
        <v>24.22</v>
      </c>
      <c r="L1587" s="86">
        <f>Source!HJ281</f>
        <v>4715</v>
      </c>
    </row>
    <row r="1588" spans="1:56" ht="14.4">
      <c r="A1588" s="110"/>
      <c r="B1588" s="112">
        <v>3</v>
      </c>
      <c r="C1588" s="111" t="s">
        <v>1374</v>
      </c>
      <c r="D1588" s="81"/>
      <c r="E1588" s="82"/>
      <c r="F1588" s="82"/>
      <c r="G1588" s="82"/>
      <c r="H1588" s="83">
        <f>Source!AM281</f>
        <v>227.03</v>
      </c>
      <c r="I1588" s="84">
        <f>ROUND(1.2,7)</f>
        <v>1.2</v>
      </c>
      <c r="J1588" s="85">
        <f>ROUND(Source!AD281*Source!I281, 2)</f>
        <v>65.38</v>
      </c>
      <c r="K1588" s="84"/>
      <c r="L1588" s="86"/>
    </row>
    <row r="1589" spans="1:56" ht="14.4">
      <c r="A1589" s="110"/>
      <c r="B1589" s="112">
        <v>2</v>
      </c>
      <c r="C1589" s="111" t="s">
        <v>1375</v>
      </c>
      <c r="D1589" s="81"/>
      <c r="E1589" s="82"/>
      <c r="F1589" s="82"/>
      <c r="G1589" s="82"/>
      <c r="H1589" s="83">
        <f>Source!AN281</f>
        <v>11.47</v>
      </c>
      <c r="I1589" s="84">
        <f>ROUND(1.2,7)</f>
        <v>1.2</v>
      </c>
      <c r="J1589" s="87">
        <f>ROUND(Source!AE281*Source!I281, 2)</f>
        <v>3.3</v>
      </c>
      <c r="K1589" s="84">
        <f>IF(Source!BS281&lt;&gt; 0, Source!BS281, 1)</f>
        <v>24.22</v>
      </c>
      <c r="L1589" s="88">
        <f>Source!HI281</f>
        <v>80</v>
      </c>
    </row>
    <row r="1590" spans="1:56" ht="14.4">
      <c r="A1590" s="110"/>
      <c r="B1590" s="112">
        <v>4</v>
      </c>
      <c r="C1590" s="111" t="s">
        <v>1408</v>
      </c>
      <c r="D1590" s="81"/>
      <c r="E1590" s="82"/>
      <c r="F1590" s="82"/>
      <c r="G1590" s="82"/>
      <c r="H1590" s="83">
        <f>Source!AL281</f>
        <v>557.71</v>
      </c>
      <c r="I1590" s="84"/>
      <c r="J1590" s="85">
        <f>ROUND(Source!AC281*Source!I281, 2)</f>
        <v>133.85</v>
      </c>
      <c r="K1590" s="84"/>
      <c r="L1590" s="86"/>
    </row>
    <row r="1591" spans="1:56" ht="14.4">
      <c r="A1591" s="110"/>
      <c r="B1591" s="111"/>
      <c r="C1591" s="111" t="s">
        <v>1376</v>
      </c>
      <c r="D1591" s="81" t="s">
        <v>1377</v>
      </c>
      <c r="E1591" s="82">
        <f>Source!AQ281</f>
        <v>70.64</v>
      </c>
      <c r="F1591" s="82">
        <f>ROUND(1.2,7)</f>
        <v>1.2</v>
      </c>
      <c r="G1591" s="82">
        <f>ROUND(Source!U281, 7)</f>
        <v>20.34432</v>
      </c>
      <c r="H1591" s="83"/>
      <c r="I1591" s="84"/>
      <c r="J1591" s="85"/>
      <c r="K1591" s="84"/>
      <c r="L1591" s="86"/>
    </row>
    <row r="1592" spans="1:56" ht="14.4">
      <c r="A1592" s="110"/>
      <c r="B1592" s="111"/>
      <c r="C1592" s="113" t="s">
        <v>1378</v>
      </c>
      <c r="D1592" s="89" t="s">
        <v>1377</v>
      </c>
      <c r="E1592" s="90">
        <f>Source!AR281</f>
        <v>0.88</v>
      </c>
      <c r="F1592" s="90">
        <f>ROUND(1.2,7)</f>
        <v>1.2</v>
      </c>
      <c r="G1592" s="90">
        <f>ROUND(Source!V281, 7)</f>
        <v>0.25344</v>
      </c>
      <c r="H1592" s="91"/>
      <c r="I1592" s="92"/>
      <c r="J1592" s="93"/>
      <c r="K1592" s="92"/>
      <c r="L1592" s="94"/>
    </row>
    <row r="1593" spans="1:56" ht="14.4">
      <c r="A1593" s="110"/>
      <c r="B1593" s="111"/>
      <c r="C1593" s="111" t="s">
        <v>1379</v>
      </c>
      <c r="D1593" s="81"/>
      <c r="E1593" s="82"/>
      <c r="F1593" s="82"/>
      <c r="G1593" s="82"/>
      <c r="H1593" s="83">
        <f>H1587+H1588+H1590</f>
        <v>1460.76</v>
      </c>
      <c r="I1593" s="84"/>
      <c r="J1593" s="85">
        <f>J1587+J1588+J1590</f>
        <v>393.91999999999996</v>
      </c>
      <c r="K1593" s="84"/>
      <c r="L1593" s="86"/>
    </row>
    <row r="1594" spans="1:56" ht="14.4">
      <c r="A1594" s="110"/>
      <c r="B1594" s="111"/>
      <c r="C1594" s="111" t="s">
        <v>1380</v>
      </c>
      <c r="D1594" s="81"/>
      <c r="E1594" s="82"/>
      <c r="F1594" s="82"/>
      <c r="G1594" s="82"/>
      <c r="H1594" s="83"/>
      <c r="I1594" s="84"/>
      <c r="J1594" s="85">
        <f>SUM(Q1584:Q1597)+SUM(V1584:V1597)</f>
        <v>197.99</v>
      </c>
      <c r="K1594" s="84"/>
      <c r="L1594" s="86">
        <f>SUM(U1584:U1597)+SUM(W1584:W1597)</f>
        <v>4795</v>
      </c>
    </row>
    <row r="1595" spans="1:56" ht="27.6">
      <c r="A1595" s="110"/>
      <c r="B1595" s="111" t="s">
        <v>1548</v>
      </c>
      <c r="C1595" s="111" t="s">
        <v>1549</v>
      </c>
      <c r="D1595" s="81" t="s">
        <v>1383</v>
      </c>
      <c r="E1595" s="82">
        <f>Source!BZ281</f>
        <v>97</v>
      </c>
      <c r="F1595" s="82"/>
      <c r="G1595" s="82">
        <f>Source!AT281</f>
        <v>97</v>
      </c>
      <c r="H1595" s="83"/>
      <c r="I1595" s="84"/>
      <c r="J1595" s="85">
        <f>SUM(AC1584:AC1597)</f>
        <v>192.05</v>
      </c>
      <c r="K1595" s="84"/>
      <c r="L1595" s="86">
        <f>SUM(AD1584:AD1597)</f>
        <v>4651</v>
      </c>
    </row>
    <row r="1596" spans="1:56" ht="27.6">
      <c r="A1596" s="114"/>
      <c r="B1596" s="113" t="s">
        <v>1550</v>
      </c>
      <c r="C1596" s="113" t="s">
        <v>1551</v>
      </c>
      <c r="D1596" s="89" t="s">
        <v>1383</v>
      </c>
      <c r="E1596" s="90">
        <f>Source!CA281</f>
        <v>51</v>
      </c>
      <c r="F1596" s="90"/>
      <c r="G1596" s="90">
        <f>Source!AU281</f>
        <v>51</v>
      </c>
      <c r="H1596" s="91"/>
      <c r="I1596" s="92"/>
      <c r="J1596" s="93">
        <f>SUM(AE1584:AE1597)</f>
        <v>100.97</v>
      </c>
      <c r="K1596" s="92"/>
      <c r="L1596" s="94">
        <f>SUM(AF1584:AF1597)</f>
        <v>2445</v>
      </c>
    </row>
    <row r="1597" spans="1:56" ht="13.8">
      <c r="C1597" s="95" t="s">
        <v>1386</v>
      </c>
      <c r="D1597" s="95"/>
      <c r="E1597" s="95"/>
      <c r="F1597" s="95"/>
      <c r="G1597" s="95"/>
      <c r="H1597" s="95"/>
      <c r="I1597" s="95">
        <f>J1587+J1588+J1590+J1595+J1596</f>
        <v>686.94</v>
      </c>
      <c r="J1597" s="95"/>
      <c r="O1597" s="69">
        <f>I1597</f>
        <v>686.94</v>
      </c>
      <c r="P1597">
        <f>K1597</f>
        <v>0</v>
      </c>
      <c r="Q1597" s="69">
        <f>J1587</f>
        <v>194.69</v>
      </c>
      <c r="R1597" s="69">
        <f>J1587</f>
        <v>194.69</v>
      </c>
      <c r="U1597" s="70">
        <f>L1587</f>
        <v>4715</v>
      </c>
      <c r="V1597" s="69">
        <f>J1589</f>
        <v>3.3</v>
      </c>
      <c r="W1597" s="70">
        <f>L1589</f>
        <v>80</v>
      </c>
      <c r="X1597" s="69">
        <f>J1588</f>
        <v>65.38</v>
      </c>
      <c r="Z1597" s="70">
        <f>L1588</f>
        <v>0</v>
      </c>
      <c r="AB1597" s="69">
        <f>J1590</f>
        <v>133.85</v>
      </c>
      <c r="AN1597">
        <f>IF(Source!BI281&lt;=1,J1587+J1588+J1590+J1595+J1596, 0)</f>
        <v>0</v>
      </c>
      <c r="AO1597">
        <f>IF(Source!BI281&lt;=1,J1590, 0)</f>
        <v>0</v>
      </c>
      <c r="AP1597">
        <f>IF(Source!BI281&lt;=1,J1588, 0)</f>
        <v>0</v>
      </c>
      <c r="AQ1597">
        <f>IF(Source!BI281&lt;=1,J1587, 0)</f>
        <v>0</v>
      </c>
      <c r="AX1597">
        <f>IF(Source!BI281=2,J1587+J1588+J1590+J1595+J1596, 0)</f>
        <v>686.94</v>
      </c>
      <c r="AY1597">
        <f>IF(Source!BI281=2,J1590, 0)</f>
        <v>133.85</v>
      </c>
      <c r="AZ1597">
        <f>IF(Source!BI281=2,J1588, 0)</f>
        <v>65.38</v>
      </c>
      <c r="BA1597">
        <f>IF(Source!BI281=2,J1587, 0)</f>
        <v>194.69</v>
      </c>
    </row>
    <row r="1598" spans="1:56" ht="120.6">
      <c r="A1598" s="110" t="str">
        <f>Source!E282</f>
        <v>166</v>
      </c>
      <c r="B1598" s="111" t="str">
        <f>Source!F282</f>
        <v>м08-03-591-1</v>
      </c>
      <c r="C1598" s="111" t="s">
        <v>1554</v>
      </c>
      <c r="D1598" s="81" t="str">
        <f>Source!H282</f>
        <v>100 шт.</v>
      </c>
      <c r="E1598" s="82">
        <f>Source!K282</f>
        <v>0.12</v>
      </c>
      <c r="F1598" s="82"/>
      <c r="G1598" s="82">
        <f>Source!I282</f>
        <v>0.12</v>
      </c>
      <c r="H1598" s="83"/>
      <c r="I1598" s="84"/>
      <c r="J1598" s="85"/>
      <c r="K1598" s="84"/>
      <c r="L1598" s="86"/>
      <c r="AC1598">
        <f>Source!X282</f>
        <v>42.3</v>
      </c>
      <c r="AD1598">
        <f>Source!HK282</f>
        <v>1024</v>
      </c>
      <c r="AE1598">
        <f>Source!Y282</f>
        <v>22.24</v>
      </c>
      <c r="AF1598">
        <f>Source!HL282</f>
        <v>539</v>
      </c>
      <c r="AS1598">
        <f>IF(Source!BI282&lt;=1,AD1598, 0)</f>
        <v>0</v>
      </c>
      <c r="AT1598">
        <f>IF(Source!BI282&lt;=1,AF1598, 0)</f>
        <v>0</v>
      </c>
      <c r="BC1598">
        <f>IF(Source!BI282=2,AD1598, 0)</f>
        <v>1024</v>
      </c>
      <c r="BD1598">
        <f>IF(Source!BI282=2,AF1598, 0)</f>
        <v>539</v>
      </c>
    </row>
    <row r="1600" spans="1:56">
      <c r="C1600" s="67" t="str">
        <f>"Объем: "&amp;Source!K282&amp;"=3*"&amp;"4/"&amp;"100"</f>
        <v>Объем: 0,12=3*4/100</v>
      </c>
    </row>
    <row r="1601" spans="1:56" ht="14.4">
      <c r="A1601" s="110"/>
      <c r="B1601" s="112">
        <v>1</v>
      </c>
      <c r="C1601" s="111" t="s">
        <v>1373</v>
      </c>
      <c r="D1601" s="81"/>
      <c r="E1601" s="82"/>
      <c r="F1601" s="82"/>
      <c r="G1601" s="82"/>
      <c r="H1601" s="83">
        <f>Source!AO282</f>
        <v>302.41000000000003</v>
      </c>
      <c r="I1601" s="84">
        <f>ROUND(1.2,7)</f>
        <v>1.2</v>
      </c>
      <c r="J1601" s="85">
        <f>ROUND(Source!AF282*Source!I282, 2)</f>
        <v>43.55</v>
      </c>
      <c r="K1601" s="84">
        <f>IF(Source!BA282&lt;&gt; 0, Source!BA282, 1)</f>
        <v>24.22</v>
      </c>
      <c r="L1601" s="86">
        <f>Source!HJ282</f>
        <v>1055</v>
      </c>
    </row>
    <row r="1602" spans="1:56" ht="14.4">
      <c r="A1602" s="110"/>
      <c r="B1602" s="112">
        <v>3</v>
      </c>
      <c r="C1602" s="111" t="s">
        <v>1374</v>
      </c>
      <c r="D1602" s="81"/>
      <c r="E1602" s="82"/>
      <c r="F1602" s="82"/>
      <c r="G1602" s="82"/>
      <c r="H1602" s="83">
        <f>Source!AM282</f>
        <v>13.76</v>
      </c>
      <c r="I1602" s="84">
        <f>ROUND(1.2,7)</f>
        <v>1.2</v>
      </c>
      <c r="J1602" s="85">
        <f>ROUND(Source!AD282*Source!I282, 2)</f>
        <v>1.98</v>
      </c>
      <c r="K1602" s="84"/>
      <c r="L1602" s="86"/>
    </row>
    <row r="1603" spans="1:56" ht="14.4">
      <c r="A1603" s="110"/>
      <c r="B1603" s="112">
        <v>2</v>
      </c>
      <c r="C1603" s="111" t="s">
        <v>1375</v>
      </c>
      <c r="D1603" s="81"/>
      <c r="E1603" s="82"/>
      <c r="F1603" s="82"/>
      <c r="G1603" s="82"/>
      <c r="H1603" s="83">
        <f>Source!AN282</f>
        <v>0.39</v>
      </c>
      <c r="I1603" s="84">
        <f>ROUND(1.2,7)</f>
        <v>1.2</v>
      </c>
      <c r="J1603" s="87">
        <f>ROUND(Source!AE282*Source!I282, 2)</f>
        <v>0.06</v>
      </c>
      <c r="K1603" s="84">
        <f>IF(Source!BS282&lt;&gt; 0, Source!BS282, 1)</f>
        <v>24.22</v>
      </c>
      <c r="L1603" s="88">
        <f>Source!HI282</f>
        <v>1</v>
      </c>
    </row>
    <row r="1604" spans="1:56" ht="14.4">
      <c r="A1604" s="110"/>
      <c r="B1604" s="112">
        <v>4</v>
      </c>
      <c r="C1604" s="111" t="s">
        <v>1408</v>
      </c>
      <c r="D1604" s="81"/>
      <c r="E1604" s="82"/>
      <c r="F1604" s="82"/>
      <c r="G1604" s="82"/>
      <c r="H1604" s="83">
        <f>Source!AL282</f>
        <v>111.12</v>
      </c>
      <c r="I1604" s="84"/>
      <c r="J1604" s="85">
        <f>ROUND(Source!AC282*Source!I282, 2)</f>
        <v>13.33</v>
      </c>
      <c r="K1604" s="84"/>
      <c r="L1604" s="86"/>
    </row>
    <row r="1605" spans="1:56" ht="14.4">
      <c r="A1605" s="110"/>
      <c r="B1605" s="111"/>
      <c r="C1605" s="111" t="s">
        <v>1376</v>
      </c>
      <c r="D1605" s="81" t="s">
        <v>1377</v>
      </c>
      <c r="E1605" s="82">
        <f>Source!AQ282</f>
        <v>31.6</v>
      </c>
      <c r="F1605" s="82">
        <f>ROUND(1.2,7)</f>
        <v>1.2</v>
      </c>
      <c r="G1605" s="82">
        <f>ROUND(Source!U282, 7)</f>
        <v>4.5503999999999998</v>
      </c>
      <c r="H1605" s="83"/>
      <c r="I1605" s="84"/>
      <c r="J1605" s="85"/>
      <c r="K1605" s="84"/>
      <c r="L1605" s="86"/>
    </row>
    <row r="1606" spans="1:56" ht="14.4">
      <c r="A1606" s="110"/>
      <c r="B1606" s="111"/>
      <c r="C1606" s="113" t="s">
        <v>1378</v>
      </c>
      <c r="D1606" s="89" t="s">
        <v>1377</v>
      </c>
      <c r="E1606" s="90">
        <f>Source!AR282</f>
        <v>0.03</v>
      </c>
      <c r="F1606" s="90">
        <f>ROUND(1.2,7)</f>
        <v>1.2</v>
      </c>
      <c r="G1606" s="90">
        <f>ROUND(Source!V282, 7)</f>
        <v>4.3200000000000001E-3</v>
      </c>
      <c r="H1606" s="91"/>
      <c r="I1606" s="92"/>
      <c r="J1606" s="93"/>
      <c r="K1606" s="92"/>
      <c r="L1606" s="94"/>
    </row>
    <row r="1607" spans="1:56" ht="14.4">
      <c r="A1607" s="110"/>
      <c r="B1607" s="111"/>
      <c r="C1607" s="111" t="s">
        <v>1379</v>
      </c>
      <c r="D1607" s="81"/>
      <c r="E1607" s="82"/>
      <c r="F1607" s="82"/>
      <c r="G1607" s="82"/>
      <c r="H1607" s="83">
        <f>H1601+H1602+H1604</f>
        <v>427.29</v>
      </c>
      <c r="I1607" s="84"/>
      <c r="J1607" s="85">
        <f>J1601+J1602+J1604</f>
        <v>58.859999999999992</v>
      </c>
      <c r="K1607" s="84"/>
      <c r="L1607" s="86"/>
    </row>
    <row r="1608" spans="1:56" ht="14.4">
      <c r="A1608" s="110"/>
      <c r="B1608" s="111"/>
      <c r="C1608" s="111" t="s">
        <v>1380</v>
      </c>
      <c r="D1608" s="81"/>
      <c r="E1608" s="82"/>
      <c r="F1608" s="82"/>
      <c r="G1608" s="82"/>
      <c r="H1608" s="83"/>
      <c r="I1608" s="84"/>
      <c r="J1608" s="85">
        <f>SUM(Q1598:Q1611)+SUM(V1598:V1611)</f>
        <v>43.61</v>
      </c>
      <c r="K1608" s="84"/>
      <c r="L1608" s="86">
        <f>SUM(U1598:U1611)+SUM(W1598:W1611)</f>
        <v>1056</v>
      </c>
    </row>
    <row r="1609" spans="1:56" ht="27.6">
      <c r="A1609" s="110"/>
      <c r="B1609" s="111" t="s">
        <v>1548</v>
      </c>
      <c r="C1609" s="111" t="s">
        <v>1549</v>
      </c>
      <c r="D1609" s="81" t="s">
        <v>1383</v>
      </c>
      <c r="E1609" s="82">
        <f>Source!BZ282</f>
        <v>97</v>
      </c>
      <c r="F1609" s="82"/>
      <c r="G1609" s="82">
        <f>Source!AT282</f>
        <v>97</v>
      </c>
      <c r="H1609" s="83"/>
      <c r="I1609" s="84"/>
      <c r="J1609" s="85">
        <f>SUM(AC1598:AC1611)</f>
        <v>42.3</v>
      </c>
      <c r="K1609" s="84"/>
      <c r="L1609" s="86">
        <f>SUM(AD1598:AD1611)</f>
        <v>1024</v>
      </c>
    </row>
    <row r="1610" spans="1:56" ht="27.6">
      <c r="A1610" s="114"/>
      <c r="B1610" s="113" t="s">
        <v>1550</v>
      </c>
      <c r="C1610" s="113" t="s">
        <v>1551</v>
      </c>
      <c r="D1610" s="89" t="s">
        <v>1383</v>
      </c>
      <c r="E1610" s="90">
        <f>Source!CA282</f>
        <v>51</v>
      </c>
      <c r="F1610" s="90"/>
      <c r="G1610" s="90">
        <f>Source!AU282</f>
        <v>51</v>
      </c>
      <c r="H1610" s="91"/>
      <c r="I1610" s="92"/>
      <c r="J1610" s="93">
        <f>SUM(AE1598:AE1611)</f>
        <v>22.24</v>
      </c>
      <c r="K1610" s="92"/>
      <c r="L1610" s="94">
        <f>SUM(AF1598:AF1611)</f>
        <v>539</v>
      </c>
    </row>
    <row r="1611" spans="1:56" ht="13.8">
      <c r="C1611" s="95" t="s">
        <v>1386</v>
      </c>
      <c r="D1611" s="95"/>
      <c r="E1611" s="95"/>
      <c r="F1611" s="95"/>
      <c r="G1611" s="95"/>
      <c r="H1611" s="95"/>
      <c r="I1611" s="95">
        <f>J1601+J1602+J1604+J1609+J1610</f>
        <v>123.39999999999999</v>
      </c>
      <c r="J1611" s="95"/>
      <c r="O1611" s="69">
        <f>I1611</f>
        <v>123.39999999999999</v>
      </c>
      <c r="P1611">
        <f>K1611</f>
        <v>0</v>
      </c>
      <c r="Q1611" s="69">
        <f>J1601</f>
        <v>43.55</v>
      </c>
      <c r="R1611" s="69">
        <f>J1601</f>
        <v>43.55</v>
      </c>
      <c r="U1611" s="70">
        <f>L1601</f>
        <v>1055</v>
      </c>
      <c r="V1611" s="69">
        <f>J1603</f>
        <v>0.06</v>
      </c>
      <c r="W1611" s="70">
        <f>L1603</f>
        <v>1</v>
      </c>
      <c r="X1611" s="69">
        <f>J1602</f>
        <v>1.98</v>
      </c>
      <c r="Z1611" s="70">
        <f>L1602</f>
        <v>0</v>
      </c>
      <c r="AB1611" s="69">
        <f>J1604</f>
        <v>13.33</v>
      </c>
      <c r="AN1611">
        <f>IF(Source!BI282&lt;=1,J1601+J1602+J1604+J1609+J1610, 0)</f>
        <v>0</v>
      </c>
      <c r="AO1611">
        <f>IF(Source!BI282&lt;=1,J1604, 0)</f>
        <v>0</v>
      </c>
      <c r="AP1611">
        <f>IF(Source!BI282&lt;=1,J1602, 0)</f>
        <v>0</v>
      </c>
      <c r="AQ1611">
        <f>IF(Source!BI282&lt;=1,J1601, 0)</f>
        <v>0</v>
      </c>
      <c r="AX1611">
        <f>IF(Source!BI282=2,J1601+J1602+J1604+J1609+J1610, 0)</f>
        <v>123.39999999999999</v>
      </c>
      <c r="AY1611">
        <f>IF(Source!BI282=2,J1604, 0)</f>
        <v>13.33</v>
      </c>
      <c r="AZ1611">
        <f>IF(Source!BI282=2,J1602, 0)</f>
        <v>1.98</v>
      </c>
      <c r="BA1611">
        <f>IF(Source!BI282=2,J1601, 0)</f>
        <v>43.55</v>
      </c>
    </row>
    <row r="1612" spans="1:56" ht="106.8">
      <c r="A1612" s="110" t="str">
        <f>Source!E283</f>
        <v>167</v>
      </c>
      <c r="B1612" s="111" t="str">
        <f>Source!F283</f>
        <v>м08-03-591-8</v>
      </c>
      <c r="C1612" s="111" t="s">
        <v>1555</v>
      </c>
      <c r="D1612" s="81" t="str">
        <f>Source!H283</f>
        <v>100 шт.</v>
      </c>
      <c r="E1612" s="82">
        <f>Source!K283</f>
        <v>0.24</v>
      </c>
      <c r="F1612" s="82"/>
      <c r="G1612" s="82">
        <f>Source!I283</f>
        <v>0.24</v>
      </c>
      <c r="H1612" s="83"/>
      <c r="I1612" s="84"/>
      <c r="J1612" s="85"/>
      <c r="K1612" s="84"/>
      <c r="L1612" s="86"/>
      <c r="AC1612">
        <f>Source!X283</f>
        <v>92.5</v>
      </c>
      <c r="AD1612">
        <f>Source!HK283</f>
        <v>2241</v>
      </c>
      <c r="AE1612">
        <f>Source!Y283</f>
        <v>48.63</v>
      </c>
      <c r="AF1612">
        <f>Source!HL283</f>
        <v>1178</v>
      </c>
      <c r="AS1612">
        <f>IF(Source!BI283&lt;=1,AD1612, 0)</f>
        <v>0</v>
      </c>
      <c r="AT1612">
        <f>IF(Source!BI283&lt;=1,AF1612, 0)</f>
        <v>0</v>
      </c>
      <c r="BC1612">
        <f>IF(Source!BI283=2,AD1612, 0)</f>
        <v>2241</v>
      </c>
      <c r="BD1612">
        <f>IF(Source!BI283=2,AF1612, 0)</f>
        <v>1178</v>
      </c>
    </row>
    <row r="1614" spans="1:56">
      <c r="C1614" s="67" t="str">
        <f>"Объем: "&amp;Source!K283&amp;"=6*"&amp;"4/"&amp;"100"</f>
        <v>Объем: 0,24=6*4/100</v>
      </c>
    </row>
    <row r="1615" spans="1:56" ht="14.4">
      <c r="A1615" s="110"/>
      <c r="B1615" s="112">
        <v>1</v>
      </c>
      <c r="C1615" s="111" t="s">
        <v>1373</v>
      </c>
      <c r="D1615" s="81"/>
      <c r="E1615" s="82"/>
      <c r="F1615" s="82"/>
      <c r="G1615" s="82"/>
      <c r="H1615" s="83">
        <f>Source!AO283</f>
        <v>330.74</v>
      </c>
      <c r="I1615" s="84">
        <f>ROUND(1.2,7)</f>
        <v>1.2</v>
      </c>
      <c r="J1615" s="85">
        <f>ROUND(Source!AF283*Source!I283, 2)</f>
        <v>95.25</v>
      </c>
      <c r="K1615" s="84">
        <f>IF(Source!BA283&lt;&gt; 0, Source!BA283, 1)</f>
        <v>24.22</v>
      </c>
      <c r="L1615" s="86">
        <f>Source!HJ283</f>
        <v>2307</v>
      </c>
    </row>
    <row r="1616" spans="1:56" ht="14.4">
      <c r="A1616" s="110"/>
      <c r="B1616" s="112">
        <v>3</v>
      </c>
      <c r="C1616" s="111" t="s">
        <v>1374</v>
      </c>
      <c r="D1616" s="81"/>
      <c r="E1616" s="82"/>
      <c r="F1616" s="82"/>
      <c r="G1616" s="82"/>
      <c r="H1616" s="83">
        <f>Source!AM283</f>
        <v>13.76</v>
      </c>
      <c r="I1616" s="84">
        <f>ROUND(1.2,7)</f>
        <v>1.2</v>
      </c>
      <c r="J1616" s="85">
        <f>ROUND(Source!AD283*Source!I283, 2)</f>
        <v>3.96</v>
      </c>
      <c r="K1616" s="84"/>
      <c r="L1616" s="86"/>
    </row>
    <row r="1617" spans="1:56" ht="14.4">
      <c r="A1617" s="110"/>
      <c r="B1617" s="112">
        <v>2</v>
      </c>
      <c r="C1617" s="111" t="s">
        <v>1375</v>
      </c>
      <c r="D1617" s="81"/>
      <c r="E1617" s="82"/>
      <c r="F1617" s="82"/>
      <c r="G1617" s="82"/>
      <c r="H1617" s="83">
        <f>Source!AN283</f>
        <v>0.39</v>
      </c>
      <c r="I1617" s="84">
        <f>ROUND(1.2,7)</f>
        <v>1.2</v>
      </c>
      <c r="J1617" s="87">
        <f>ROUND(Source!AE283*Source!I283, 2)</f>
        <v>0.11</v>
      </c>
      <c r="K1617" s="84">
        <f>IF(Source!BS283&lt;&gt; 0, Source!BS283, 1)</f>
        <v>24.22</v>
      </c>
      <c r="L1617" s="88">
        <f>Source!HI283</f>
        <v>3</v>
      </c>
    </row>
    <row r="1618" spans="1:56" ht="14.4">
      <c r="A1618" s="110"/>
      <c r="B1618" s="112">
        <v>4</v>
      </c>
      <c r="C1618" s="111" t="s">
        <v>1408</v>
      </c>
      <c r="D1618" s="81"/>
      <c r="E1618" s="82"/>
      <c r="F1618" s="82"/>
      <c r="G1618" s="82"/>
      <c r="H1618" s="83">
        <f>Source!AL283</f>
        <v>111.68</v>
      </c>
      <c r="I1618" s="84"/>
      <c r="J1618" s="85">
        <f>ROUND(Source!AC283*Source!I283, 2)</f>
        <v>26.8</v>
      </c>
      <c r="K1618" s="84"/>
      <c r="L1618" s="86"/>
    </row>
    <row r="1619" spans="1:56" ht="14.4">
      <c r="A1619" s="110"/>
      <c r="B1619" s="111"/>
      <c r="C1619" s="111" t="s">
        <v>1376</v>
      </c>
      <c r="D1619" s="81" t="s">
        <v>1377</v>
      </c>
      <c r="E1619" s="82">
        <f>Source!AQ283</f>
        <v>34.56</v>
      </c>
      <c r="F1619" s="82">
        <f>ROUND(1.2,7)</f>
        <v>1.2</v>
      </c>
      <c r="G1619" s="82">
        <f>ROUND(Source!U283, 7)</f>
        <v>9.9532799999999995</v>
      </c>
      <c r="H1619" s="83"/>
      <c r="I1619" s="84"/>
      <c r="J1619" s="85"/>
      <c r="K1619" s="84"/>
      <c r="L1619" s="86"/>
    </row>
    <row r="1620" spans="1:56" ht="14.4">
      <c r="A1620" s="110"/>
      <c r="B1620" s="111"/>
      <c r="C1620" s="113" t="s">
        <v>1378</v>
      </c>
      <c r="D1620" s="89" t="s">
        <v>1377</v>
      </c>
      <c r="E1620" s="90">
        <f>Source!AR283</f>
        <v>0.03</v>
      </c>
      <c r="F1620" s="90">
        <f>ROUND(1.2,7)</f>
        <v>1.2</v>
      </c>
      <c r="G1620" s="90">
        <f>ROUND(Source!V283, 7)</f>
        <v>8.6400000000000001E-3</v>
      </c>
      <c r="H1620" s="91"/>
      <c r="I1620" s="92"/>
      <c r="J1620" s="93"/>
      <c r="K1620" s="92"/>
      <c r="L1620" s="94"/>
    </row>
    <row r="1621" spans="1:56" ht="14.4">
      <c r="A1621" s="110"/>
      <c r="B1621" s="111"/>
      <c r="C1621" s="111" t="s">
        <v>1379</v>
      </c>
      <c r="D1621" s="81"/>
      <c r="E1621" s="82"/>
      <c r="F1621" s="82"/>
      <c r="G1621" s="82"/>
      <c r="H1621" s="83">
        <f>H1615+H1616+H1618</f>
        <v>456.18</v>
      </c>
      <c r="I1621" s="84"/>
      <c r="J1621" s="85">
        <f>J1615+J1616+J1618</f>
        <v>126.00999999999999</v>
      </c>
      <c r="K1621" s="84"/>
      <c r="L1621" s="86"/>
    </row>
    <row r="1622" spans="1:56" ht="14.4">
      <c r="A1622" s="110"/>
      <c r="B1622" s="111"/>
      <c r="C1622" s="111" t="s">
        <v>1380</v>
      </c>
      <c r="D1622" s="81"/>
      <c r="E1622" s="82"/>
      <c r="F1622" s="82"/>
      <c r="G1622" s="82"/>
      <c r="H1622" s="83"/>
      <c r="I1622" s="84"/>
      <c r="J1622" s="85">
        <f>SUM(Q1612:Q1625)+SUM(V1612:V1625)</f>
        <v>95.36</v>
      </c>
      <c r="K1622" s="84"/>
      <c r="L1622" s="86">
        <f>SUM(U1612:U1625)+SUM(W1612:W1625)</f>
        <v>2310</v>
      </c>
    </row>
    <row r="1623" spans="1:56" ht="27.6">
      <c r="A1623" s="110"/>
      <c r="B1623" s="111" t="s">
        <v>1548</v>
      </c>
      <c r="C1623" s="111" t="s">
        <v>1549</v>
      </c>
      <c r="D1623" s="81" t="s">
        <v>1383</v>
      </c>
      <c r="E1623" s="82">
        <f>Source!BZ283</f>
        <v>97</v>
      </c>
      <c r="F1623" s="82"/>
      <c r="G1623" s="82">
        <f>Source!AT283</f>
        <v>97</v>
      </c>
      <c r="H1623" s="83"/>
      <c r="I1623" s="84"/>
      <c r="J1623" s="85">
        <f>SUM(AC1612:AC1625)</f>
        <v>92.5</v>
      </c>
      <c r="K1623" s="84"/>
      <c r="L1623" s="86">
        <f>SUM(AD1612:AD1625)</f>
        <v>2241</v>
      </c>
    </row>
    <row r="1624" spans="1:56" ht="27.6">
      <c r="A1624" s="114"/>
      <c r="B1624" s="113" t="s">
        <v>1550</v>
      </c>
      <c r="C1624" s="113" t="s">
        <v>1551</v>
      </c>
      <c r="D1624" s="89" t="s">
        <v>1383</v>
      </c>
      <c r="E1624" s="90">
        <f>Source!CA283</f>
        <v>51</v>
      </c>
      <c r="F1624" s="90"/>
      <c r="G1624" s="90">
        <f>Source!AU283</f>
        <v>51</v>
      </c>
      <c r="H1624" s="91"/>
      <c r="I1624" s="92"/>
      <c r="J1624" s="93">
        <f>SUM(AE1612:AE1625)</f>
        <v>48.63</v>
      </c>
      <c r="K1624" s="92"/>
      <c r="L1624" s="94">
        <f>SUM(AF1612:AF1625)</f>
        <v>1178</v>
      </c>
    </row>
    <row r="1625" spans="1:56" ht="13.8">
      <c r="C1625" s="95" t="s">
        <v>1386</v>
      </c>
      <c r="D1625" s="95"/>
      <c r="E1625" s="95"/>
      <c r="F1625" s="95"/>
      <c r="G1625" s="95"/>
      <c r="H1625" s="95"/>
      <c r="I1625" s="95">
        <f>J1615+J1616+J1618+J1623+J1624</f>
        <v>267.14</v>
      </c>
      <c r="J1625" s="95"/>
      <c r="O1625" s="69">
        <f>I1625</f>
        <v>267.14</v>
      </c>
      <c r="P1625">
        <f>K1625</f>
        <v>0</v>
      </c>
      <c r="Q1625" s="69">
        <f>J1615</f>
        <v>95.25</v>
      </c>
      <c r="R1625" s="69">
        <f>J1615</f>
        <v>95.25</v>
      </c>
      <c r="U1625" s="70">
        <f>L1615</f>
        <v>2307</v>
      </c>
      <c r="V1625" s="69">
        <f>J1617</f>
        <v>0.11</v>
      </c>
      <c r="W1625" s="70">
        <f>L1617</f>
        <v>3</v>
      </c>
      <c r="X1625" s="69">
        <f>J1616</f>
        <v>3.96</v>
      </c>
      <c r="Z1625" s="70">
        <f>L1616</f>
        <v>0</v>
      </c>
      <c r="AB1625" s="69">
        <f>J1618</f>
        <v>26.8</v>
      </c>
      <c r="AN1625">
        <f>IF(Source!BI283&lt;=1,J1615+J1616+J1618+J1623+J1624, 0)</f>
        <v>0</v>
      </c>
      <c r="AO1625">
        <f>IF(Source!BI283&lt;=1,J1618, 0)</f>
        <v>0</v>
      </c>
      <c r="AP1625">
        <f>IF(Source!BI283&lt;=1,J1616, 0)</f>
        <v>0</v>
      </c>
      <c r="AQ1625">
        <f>IF(Source!BI283&lt;=1,J1615, 0)</f>
        <v>0</v>
      </c>
      <c r="AX1625">
        <f>IF(Source!BI283=2,J1615+J1616+J1618+J1623+J1624, 0)</f>
        <v>267.14</v>
      </c>
      <c r="AY1625">
        <f>IF(Source!BI283=2,J1618, 0)</f>
        <v>26.8</v>
      </c>
      <c r="AZ1625">
        <f>IF(Source!BI283=2,J1616, 0)</f>
        <v>3.96</v>
      </c>
      <c r="BA1625">
        <f>IF(Source!BI283=2,J1615, 0)</f>
        <v>95.25</v>
      </c>
    </row>
    <row r="1626" spans="1:56" ht="13.8">
      <c r="C1626" s="79" t="str">
        <f>Source!G284</f>
        <v>Материалы, неучтенные ценником</v>
      </c>
    </row>
    <row r="1627" spans="1:56" ht="82.8">
      <c r="A1627" s="110" t="str">
        <f>Source!E285</f>
        <v>168</v>
      </c>
      <c r="B1627" s="111" t="str">
        <f>Source!F285</f>
        <v>501-8190</v>
      </c>
      <c r="C1627" s="111" t="str">
        <f>Source!G285</f>
        <v>Кабель силовой с медными жилами с поливинилхлоридной изоляцией в поливинилхлоридной оболочке без защитного покрова ВВГ, напряжением 0,66 Кв, число жил - 3 и сечением 1,5 мм2</v>
      </c>
      <c r="D1627" s="81" t="str">
        <f>Source!H285</f>
        <v>1000 м</v>
      </c>
      <c r="E1627" s="82">
        <f>Source!K285</f>
        <v>0.8</v>
      </c>
      <c r="F1627" s="82"/>
      <c r="G1627" s="82">
        <f>Source!I285</f>
        <v>0.8</v>
      </c>
      <c r="H1627" s="83">
        <f>Source!AL285</f>
        <v>3531.4</v>
      </c>
      <c r="I1627" s="84"/>
      <c r="J1627" s="85">
        <f>ROUND(Source!AC285*Source!I285, 2)</f>
        <v>2825.12</v>
      </c>
      <c r="K1627" s="84"/>
      <c r="L1627" s="86"/>
      <c r="AC1627">
        <f>Source!X285</f>
        <v>0</v>
      </c>
      <c r="AD1627">
        <f>Source!HK285</f>
        <v>0</v>
      </c>
      <c r="AE1627">
        <f>Source!Y285</f>
        <v>0</v>
      </c>
      <c r="AF1627">
        <f>Source!HL285</f>
        <v>0</v>
      </c>
      <c r="AS1627">
        <f>IF(Source!BI285&lt;=1,AD1627, 0)</f>
        <v>0</v>
      </c>
      <c r="AT1627">
        <f>IF(Source!BI285&lt;=1,AF1627, 0)</f>
        <v>0</v>
      </c>
      <c r="BC1627">
        <f>IF(Source!BI285=2,AD1627, 0)</f>
        <v>0</v>
      </c>
      <c r="BD1627">
        <f>IF(Source!BI285=2,AF1627, 0)</f>
        <v>0</v>
      </c>
    </row>
    <row r="1629" spans="1:56">
      <c r="A1629" s="71"/>
      <c r="B1629" s="71"/>
      <c r="C1629" s="72" t="str">
        <f>"Объем: "&amp;Source!K285&amp;"=200*"&amp;"4/"&amp;"1000"</f>
        <v>Объем: 0,8=200*4/1000</v>
      </c>
      <c r="D1629" s="71"/>
      <c r="E1629" s="71"/>
      <c r="F1629" s="71"/>
      <c r="G1629" s="71"/>
      <c r="H1629" s="71"/>
      <c r="I1629" s="71"/>
      <c r="J1629" s="71"/>
      <c r="K1629" s="71"/>
      <c r="L1629" s="71"/>
    </row>
    <row r="1630" spans="1:56" ht="13.8">
      <c r="C1630" s="95" t="s">
        <v>1386</v>
      </c>
      <c r="D1630" s="95"/>
      <c r="E1630" s="95"/>
      <c r="F1630" s="95"/>
      <c r="G1630" s="95"/>
      <c r="H1630" s="95"/>
      <c r="I1630" s="95">
        <f>J1627</f>
        <v>2825.12</v>
      </c>
      <c r="J1630" s="95"/>
      <c r="O1630" s="69">
        <f>I1630</f>
        <v>2825.12</v>
      </c>
      <c r="P1630">
        <f>K1630</f>
        <v>0</v>
      </c>
      <c r="Q1630">
        <f>0</f>
        <v>0</v>
      </c>
      <c r="R1630">
        <f>0</f>
        <v>0</v>
      </c>
      <c r="U1630">
        <f>0</f>
        <v>0</v>
      </c>
      <c r="V1630">
        <f>0</f>
        <v>0</v>
      </c>
      <c r="W1630">
        <f>0</f>
        <v>0</v>
      </c>
      <c r="X1630">
        <f>0</f>
        <v>0</v>
      </c>
      <c r="Z1630">
        <f>0</f>
        <v>0</v>
      </c>
      <c r="AB1630" s="69">
        <f>I1630</f>
        <v>2825.12</v>
      </c>
      <c r="AN1630">
        <f>IF(Source!BI285&lt;=1,J1627, 0)</f>
        <v>0</v>
      </c>
      <c r="AO1630">
        <f>IF(Source!BI285&lt;=1,I1630, 0)</f>
        <v>0</v>
      </c>
      <c r="AP1630">
        <f>IF(Source!BI285&lt;=1,0, 0)</f>
        <v>0</v>
      </c>
      <c r="AQ1630">
        <f>IF(Source!BI285&lt;=1,0, 0)</f>
        <v>0</v>
      </c>
      <c r="AX1630">
        <f>IF(Source!BI285=2,J1627, 0)</f>
        <v>2825.12</v>
      </c>
      <c r="AY1630">
        <f>IF(Source!BI285=2,I1630, 0)</f>
        <v>2825.12</v>
      </c>
      <c r="AZ1630">
        <f>IF(Source!BI285=2,0, 0)</f>
        <v>0</v>
      </c>
      <c r="BA1630">
        <f>IF(Source!BI285=2,0, 0)</f>
        <v>0</v>
      </c>
    </row>
    <row r="1631" spans="1:56" ht="82.8">
      <c r="A1631" s="110" t="str">
        <f>Source!E286</f>
        <v>169</v>
      </c>
      <c r="B1631" s="111" t="str">
        <f>Source!F286</f>
        <v>501-8191</v>
      </c>
      <c r="C1631" s="111" t="str">
        <f>Source!G286</f>
        <v>Кабель силовой с медными жилами с поливинилхлоридной изоляцией в поливинилхлоридной оболочке без защитного покрова ВВГ, напряжением 0,66 Кв, число жил - 3 и сечением 2,5 мм2</v>
      </c>
      <c r="D1631" s="81" t="str">
        <f>Source!H286</f>
        <v>1000 м</v>
      </c>
      <c r="E1631" s="82">
        <f>Source!K286</f>
        <v>0.4</v>
      </c>
      <c r="F1631" s="82"/>
      <c r="G1631" s="82">
        <f>Source!I286</f>
        <v>0.4</v>
      </c>
      <c r="H1631" s="83">
        <f>Source!AL286</f>
        <v>5655.1</v>
      </c>
      <c r="I1631" s="84"/>
      <c r="J1631" s="85">
        <f>ROUND(Source!AC286*Source!I286, 2)</f>
        <v>2262.04</v>
      </c>
      <c r="K1631" s="84"/>
      <c r="L1631" s="86"/>
      <c r="AC1631">
        <f>Source!X286</f>
        <v>0</v>
      </c>
      <c r="AD1631">
        <f>Source!HK286</f>
        <v>0</v>
      </c>
      <c r="AE1631">
        <f>Source!Y286</f>
        <v>0</v>
      </c>
      <c r="AF1631">
        <f>Source!HL286</f>
        <v>0</v>
      </c>
      <c r="AS1631">
        <f>IF(Source!BI286&lt;=1,AD1631, 0)</f>
        <v>0</v>
      </c>
      <c r="AT1631">
        <f>IF(Source!BI286&lt;=1,AF1631, 0)</f>
        <v>0</v>
      </c>
      <c r="BC1631">
        <f>IF(Source!BI286=2,AD1631, 0)</f>
        <v>0</v>
      </c>
      <c r="BD1631">
        <f>IF(Source!BI286=2,AF1631, 0)</f>
        <v>0</v>
      </c>
    </row>
    <row r="1633" spans="1:84">
      <c r="A1633" s="71"/>
      <c r="B1633" s="71"/>
      <c r="C1633" s="72" t="str">
        <f>"Объем: "&amp;Source!K286&amp;"=100*"&amp;"4/"&amp;"1000"</f>
        <v>Объем: 0,4=100*4/1000</v>
      </c>
      <c r="D1633" s="71"/>
      <c r="E1633" s="71"/>
      <c r="F1633" s="71"/>
      <c r="G1633" s="71"/>
      <c r="H1633" s="71"/>
      <c r="I1633" s="71"/>
      <c r="J1633" s="71"/>
      <c r="K1633" s="71"/>
      <c r="L1633" s="71"/>
    </row>
    <row r="1634" spans="1:84" ht="13.8">
      <c r="C1634" s="95" t="s">
        <v>1386</v>
      </c>
      <c r="D1634" s="95"/>
      <c r="E1634" s="95"/>
      <c r="F1634" s="95"/>
      <c r="G1634" s="95"/>
      <c r="H1634" s="95"/>
      <c r="I1634" s="95">
        <f>J1631</f>
        <v>2262.04</v>
      </c>
      <c r="J1634" s="95"/>
      <c r="O1634" s="69">
        <f>I1634</f>
        <v>2262.04</v>
      </c>
      <c r="P1634">
        <f>K1634</f>
        <v>0</v>
      </c>
      <c r="Q1634">
        <f>0</f>
        <v>0</v>
      </c>
      <c r="R1634">
        <f>0</f>
        <v>0</v>
      </c>
      <c r="U1634">
        <f>0</f>
        <v>0</v>
      </c>
      <c r="V1634">
        <f>0</f>
        <v>0</v>
      </c>
      <c r="W1634">
        <f>0</f>
        <v>0</v>
      </c>
      <c r="X1634">
        <f>0</f>
        <v>0</v>
      </c>
      <c r="Z1634">
        <f>0</f>
        <v>0</v>
      </c>
      <c r="AB1634" s="69">
        <f>I1634</f>
        <v>2262.04</v>
      </c>
      <c r="AN1634">
        <f>IF(Source!BI286&lt;=1,J1631, 0)</f>
        <v>0</v>
      </c>
      <c r="AO1634">
        <f>IF(Source!BI286&lt;=1,I1634, 0)</f>
        <v>0</v>
      </c>
      <c r="AP1634">
        <f>IF(Source!BI286&lt;=1,0, 0)</f>
        <v>0</v>
      </c>
      <c r="AQ1634">
        <f>IF(Source!BI286&lt;=1,0, 0)</f>
        <v>0</v>
      </c>
      <c r="AX1634">
        <f>IF(Source!BI286=2,J1631, 0)</f>
        <v>2262.04</v>
      </c>
      <c r="AY1634">
        <f>IF(Source!BI286=2,I1634, 0)</f>
        <v>2262.04</v>
      </c>
      <c r="AZ1634">
        <f>IF(Source!BI286=2,0, 0)</f>
        <v>0</v>
      </c>
      <c r="BA1634">
        <f>IF(Source!BI286=2,0, 0)</f>
        <v>0</v>
      </c>
    </row>
    <row r="1635" spans="1:84" ht="41.4">
      <c r="A1635" s="110" t="str">
        <f>Source!E287</f>
        <v>170</v>
      </c>
      <c r="B1635" s="111" t="str">
        <f>Source!F287</f>
        <v>503-0710</v>
      </c>
      <c r="C1635" s="111" t="str">
        <f>Source!G287</f>
        <v>Розетка 250В/16А, IP44 для наружного монтажа с заземляющими контактами и с защитной шторкой</v>
      </c>
      <c r="D1635" s="81" t="str">
        <f>Source!H287</f>
        <v>шт.</v>
      </c>
      <c r="E1635" s="82">
        <f>Source!K287</f>
        <v>24</v>
      </c>
      <c r="F1635" s="82"/>
      <c r="G1635" s="82">
        <f>Source!I287</f>
        <v>24</v>
      </c>
      <c r="H1635" s="83">
        <f>Source!AL287</f>
        <v>9.07</v>
      </c>
      <c r="I1635" s="84"/>
      <c r="J1635" s="85">
        <f>ROUND(Source!AC287*Source!I287, 2)</f>
        <v>217.68</v>
      </c>
      <c r="K1635" s="84"/>
      <c r="L1635" s="86"/>
      <c r="AC1635">
        <f>Source!X287</f>
        <v>0</v>
      </c>
      <c r="AD1635">
        <f>Source!HK287</f>
        <v>0</v>
      </c>
      <c r="AE1635">
        <f>Source!Y287</f>
        <v>0</v>
      </c>
      <c r="AF1635">
        <f>Source!HL287</f>
        <v>0</v>
      </c>
      <c r="AS1635">
        <f>IF(Source!BI287&lt;=1,AD1635, 0)</f>
        <v>0</v>
      </c>
      <c r="AT1635">
        <f>IF(Source!BI287&lt;=1,AF1635, 0)</f>
        <v>0</v>
      </c>
      <c r="BC1635">
        <f>IF(Source!BI287=2,AD1635, 0)</f>
        <v>0</v>
      </c>
      <c r="BD1635">
        <f>IF(Source!BI287=2,AF1635, 0)</f>
        <v>0</v>
      </c>
    </row>
    <row r="1637" spans="1:84">
      <c r="A1637" s="71"/>
      <c r="B1637" s="71"/>
      <c r="C1637" s="72" t="str">
        <f>"Объем: "&amp;Source!K287&amp;"=6*"&amp;"4"</f>
        <v>Объем: 24=6*4</v>
      </c>
      <c r="D1637" s="71"/>
      <c r="E1637" s="71"/>
      <c r="F1637" s="71"/>
      <c r="G1637" s="71"/>
      <c r="H1637" s="71"/>
      <c r="I1637" s="71"/>
      <c r="J1637" s="71"/>
      <c r="K1637" s="71"/>
      <c r="L1637" s="71"/>
    </row>
    <row r="1638" spans="1:84" ht="13.8">
      <c r="C1638" s="95" t="s">
        <v>1386</v>
      </c>
      <c r="D1638" s="95"/>
      <c r="E1638" s="95"/>
      <c r="F1638" s="95"/>
      <c r="G1638" s="95"/>
      <c r="H1638" s="95"/>
      <c r="I1638" s="95">
        <f>J1635</f>
        <v>217.68</v>
      </c>
      <c r="J1638" s="95"/>
      <c r="O1638" s="69">
        <f>I1638</f>
        <v>217.68</v>
      </c>
      <c r="P1638">
        <f>K1638</f>
        <v>0</v>
      </c>
      <c r="Q1638">
        <f>0</f>
        <v>0</v>
      </c>
      <c r="R1638">
        <f>0</f>
        <v>0</v>
      </c>
      <c r="U1638">
        <f>0</f>
        <v>0</v>
      </c>
      <c r="V1638">
        <f>0</f>
        <v>0</v>
      </c>
      <c r="W1638">
        <f>0</f>
        <v>0</v>
      </c>
      <c r="X1638">
        <f>0</f>
        <v>0</v>
      </c>
      <c r="Z1638">
        <f>0</f>
        <v>0</v>
      </c>
      <c r="AB1638" s="69">
        <f>I1638</f>
        <v>217.68</v>
      </c>
      <c r="AN1638">
        <f>IF(Source!BI287&lt;=1,J1635, 0)</f>
        <v>0</v>
      </c>
      <c r="AO1638">
        <f>IF(Source!BI287&lt;=1,I1638, 0)</f>
        <v>0</v>
      </c>
      <c r="AP1638">
        <f>IF(Source!BI287&lt;=1,0, 0)</f>
        <v>0</v>
      </c>
      <c r="AQ1638">
        <f>IF(Source!BI287&lt;=1,0, 0)</f>
        <v>0</v>
      </c>
      <c r="AX1638">
        <f>IF(Source!BI287=2,J1635, 0)</f>
        <v>217.68</v>
      </c>
      <c r="AY1638">
        <f>IF(Source!BI287=2,I1638, 0)</f>
        <v>217.68</v>
      </c>
      <c r="AZ1638">
        <f>IF(Source!BI287=2,0, 0)</f>
        <v>0</v>
      </c>
      <c r="BA1638">
        <f>IF(Source!BI287=2,0, 0)</f>
        <v>0</v>
      </c>
    </row>
    <row r="1639" spans="1:84" ht="27.6">
      <c r="A1639" s="110" t="str">
        <f>Source!E288</f>
        <v>171</v>
      </c>
      <c r="B1639" s="111" t="str">
        <f>Source!F288</f>
        <v>509-1441</v>
      </c>
      <c r="C1639" s="111" t="str">
        <f>Source!G288</f>
        <v>Выключатель одноклавишный для открытой проводки</v>
      </c>
      <c r="D1639" s="81" t="str">
        <f>Source!H288</f>
        <v>шт.</v>
      </c>
      <c r="E1639" s="82">
        <f>Source!K288</f>
        <v>12</v>
      </c>
      <c r="F1639" s="82"/>
      <c r="G1639" s="82">
        <f>Source!I288</f>
        <v>12</v>
      </c>
      <c r="H1639" s="83">
        <f>Source!AL288</f>
        <v>7.28</v>
      </c>
      <c r="I1639" s="84"/>
      <c r="J1639" s="85">
        <f>ROUND(Source!AC288*Source!I288, 2)</f>
        <v>87.36</v>
      </c>
      <c r="K1639" s="84"/>
      <c r="L1639" s="86"/>
      <c r="AC1639">
        <f>Source!X288</f>
        <v>0</v>
      </c>
      <c r="AD1639">
        <f>Source!HK288</f>
        <v>0</v>
      </c>
      <c r="AE1639">
        <f>Source!Y288</f>
        <v>0</v>
      </c>
      <c r="AF1639">
        <f>Source!HL288</f>
        <v>0</v>
      </c>
      <c r="AS1639">
        <f>IF(Source!BI288&lt;=1,AD1639, 0)</f>
        <v>0</v>
      </c>
      <c r="AT1639">
        <f>IF(Source!BI288&lt;=1,AF1639, 0)</f>
        <v>0</v>
      </c>
      <c r="BC1639">
        <f>IF(Source!BI288=2,AD1639, 0)</f>
        <v>0</v>
      </c>
      <c r="BD1639">
        <f>IF(Source!BI288=2,AF1639, 0)</f>
        <v>0</v>
      </c>
    </row>
    <row r="1641" spans="1:84">
      <c r="A1641" s="71"/>
      <c r="B1641" s="71"/>
      <c r="C1641" s="72" t="str">
        <f>"Объем: "&amp;Source!K288&amp;"=3*"&amp;"4"</f>
        <v>Объем: 12=3*4</v>
      </c>
      <c r="D1641" s="71"/>
      <c r="E1641" s="71"/>
      <c r="F1641" s="71"/>
      <c r="G1641" s="71"/>
      <c r="H1641" s="71"/>
      <c r="I1641" s="71"/>
      <c r="J1641" s="71"/>
      <c r="K1641" s="71"/>
      <c r="L1641" s="71"/>
    </row>
    <row r="1642" spans="1:84" ht="13.8">
      <c r="C1642" s="95" t="s">
        <v>1386</v>
      </c>
      <c r="D1642" s="95"/>
      <c r="E1642" s="95"/>
      <c r="F1642" s="95"/>
      <c r="G1642" s="95"/>
      <c r="H1642" s="95"/>
      <c r="I1642" s="95">
        <f>J1639</f>
        <v>87.36</v>
      </c>
      <c r="J1642" s="95"/>
      <c r="O1642" s="69">
        <f>I1642</f>
        <v>87.36</v>
      </c>
      <c r="P1642">
        <f>K1642</f>
        <v>0</v>
      </c>
      <c r="Q1642">
        <f>0</f>
        <v>0</v>
      </c>
      <c r="R1642">
        <f>0</f>
        <v>0</v>
      </c>
      <c r="U1642">
        <f>0</f>
        <v>0</v>
      </c>
      <c r="V1642">
        <f>0</f>
        <v>0</v>
      </c>
      <c r="W1642">
        <f>0</f>
        <v>0</v>
      </c>
      <c r="X1642">
        <f>0</f>
        <v>0</v>
      </c>
      <c r="Z1642">
        <f>0</f>
        <v>0</v>
      </c>
      <c r="AB1642" s="69">
        <f>I1642</f>
        <v>87.36</v>
      </c>
      <c r="AN1642">
        <f>IF(Source!BI288&lt;=1,J1639, 0)</f>
        <v>0</v>
      </c>
      <c r="AO1642">
        <f>IF(Source!BI288&lt;=1,I1642, 0)</f>
        <v>0</v>
      </c>
      <c r="AP1642">
        <f>IF(Source!BI288&lt;=1,0, 0)</f>
        <v>0</v>
      </c>
      <c r="AQ1642">
        <f>IF(Source!BI288&lt;=1,0, 0)</f>
        <v>0</v>
      </c>
      <c r="AX1642">
        <f>IF(Source!BI288=2,J1639, 0)</f>
        <v>87.36</v>
      </c>
      <c r="AY1642">
        <f>IF(Source!BI288=2,I1642, 0)</f>
        <v>87.36</v>
      </c>
      <c r="AZ1642">
        <f>IF(Source!BI288=2,0, 0)</f>
        <v>0</v>
      </c>
      <c r="BA1642">
        <f>IF(Source!BI288=2,0, 0)</f>
        <v>0</v>
      </c>
    </row>
    <row r="1643" spans="1:84" ht="14.4">
      <c r="A1643" s="110" t="str">
        <f>Source!E289</f>
        <v>172</v>
      </c>
      <c r="B1643" s="111" t="str">
        <f>Source!F289</f>
        <v>509-0762</v>
      </c>
      <c r="C1643" s="111" t="str">
        <f>Source!G289</f>
        <v>Светильники НСП 41-200-001 (IP 52)</v>
      </c>
      <c r="D1643" s="81" t="str">
        <f>Source!H289</f>
        <v>шт.</v>
      </c>
      <c r="E1643" s="82">
        <f>Source!K289</f>
        <v>12</v>
      </c>
      <c r="F1643" s="82"/>
      <c r="G1643" s="82">
        <f>Source!I289</f>
        <v>12</v>
      </c>
      <c r="H1643" s="83">
        <f>Source!AL289</f>
        <v>132.78</v>
      </c>
      <c r="I1643" s="84"/>
      <c r="J1643" s="85">
        <f>ROUND(Source!AC289*Source!I289, 2)</f>
        <v>1593.36</v>
      </c>
      <c r="K1643" s="84"/>
      <c r="L1643" s="86"/>
      <c r="AC1643">
        <f>Source!X289</f>
        <v>0</v>
      </c>
      <c r="AD1643">
        <f>Source!HK289</f>
        <v>0</v>
      </c>
      <c r="AE1643">
        <f>Source!Y289</f>
        <v>0</v>
      </c>
      <c r="AF1643">
        <f>Source!HL289</f>
        <v>0</v>
      </c>
      <c r="AS1643">
        <f>IF(Source!BI289&lt;=1,AD1643, 0)</f>
        <v>0</v>
      </c>
      <c r="AT1643">
        <f>IF(Source!BI289&lt;=1,AF1643, 0)</f>
        <v>0</v>
      </c>
      <c r="BC1643">
        <f>IF(Source!BI289=2,AD1643, 0)</f>
        <v>0</v>
      </c>
      <c r="BD1643">
        <f>IF(Source!BI289=2,AF1643, 0)</f>
        <v>0</v>
      </c>
    </row>
    <row r="1645" spans="1:84">
      <c r="A1645" s="71"/>
      <c r="B1645" s="71"/>
      <c r="C1645" s="72" t="str">
        <f>"Объем: "&amp;Source!K289&amp;"=3*"&amp;"4"</f>
        <v>Объем: 12=3*4</v>
      </c>
      <c r="D1645" s="71"/>
      <c r="E1645" s="71"/>
      <c r="F1645" s="71"/>
      <c r="G1645" s="71"/>
      <c r="H1645" s="71"/>
      <c r="I1645" s="71"/>
      <c r="J1645" s="71"/>
      <c r="K1645" s="71"/>
      <c r="L1645" s="71"/>
    </row>
    <row r="1646" spans="1:84" ht="13.8">
      <c r="C1646" s="95" t="s">
        <v>1386</v>
      </c>
      <c r="D1646" s="95"/>
      <c r="E1646" s="95"/>
      <c r="F1646" s="95"/>
      <c r="G1646" s="95"/>
      <c r="H1646" s="95"/>
      <c r="I1646" s="95">
        <f>J1643</f>
        <v>1593.36</v>
      </c>
      <c r="J1646" s="95"/>
      <c r="O1646" s="69">
        <f>I1646</f>
        <v>1593.36</v>
      </c>
      <c r="P1646">
        <f>K1646</f>
        <v>0</v>
      </c>
      <c r="Q1646">
        <f>0</f>
        <v>0</v>
      </c>
      <c r="R1646">
        <f>0</f>
        <v>0</v>
      </c>
      <c r="U1646">
        <f>0</f>
        <v>0</v>
      </c>
      <c r="V1646">
        <f>0</f>
        <v>0</v>
      </c>
      <c r="W1646">
        <f>0</f>
        <v>0</v>
      </c>
      <c r="X1646">
        <f>0</f>
        <v>0</v>
      </c>
      <c r="Z1646">
        <f>0</f>
        <v>0</v>
      </c>
      <c r="AB1646" s="69">
        <f>I1646</f>
        <v>1593.36</v>
      </c>
      <c r="AN1646">
        <f>IF(Source!BI289&lt;=1,J1643, 0)</f>
        <v>0</v>
      </c>
      <c r="AO1646">
        <f>IF(Source!BI289&lt;=1,I1646, 0)</f>
        <v>0</v>
      </c>
      <c r="AP1646">
        <f>IF(Source!BI289&lt;=1,0, 0)</f>
        <v>0</v>
      </c>
      <c r="AQ1646">
        <f>IF(Source!BI289&lt;=1,0, 0)</f>
        <v>0</v>
      </c>
      <c r="AX1646">
        <f>IF(Source!BI289=2,J1643, 0)</f>
        <v>1593.36</v>
      </c>
      <c r="AY1646">
        <f>IF(Source!BI289=2,I1646, 0)</f>
        <v>1593.36</v>
      </c>
      <c r="AZ1646">
        <f>IF(Source!BI289=2,0, 0)</f>
        <v>0</v>
      </c>
      <c r="BA1646">
        <f>IF(Source!BI289=2,0, 0)</f>
        <v>0</v>
      </c>
    </row>
    <row r="1648" spans="1:84" ht="13.8">
      <c r="A1648" s="97"/>
      <c r="B1648" s="98"/>
      <c r="C1648" s="99" t="s">
        <v>1392</v>
      </c>
      <c r="D1648" s="99"/>
      <c r="E1648" s="99"/>
      <c r="F1648" s="99"/>
      <c r="G1648" s="99"/>
      <c r="H1648" s="99"/>
      <c r="I1648" s="100"/>
      <c r="J1648" s="101">
        <f>J1650+J1651+J1652+J1653</f>
        <v>597168.92999999993</v>
      </c>
      <c r="K1648" s="101"/>
      <c r="L1648" s="102"/>
      <c r="CF1648" s="118" t="s">
        <v>1392</v>
      </c>
    </row>
    <row r="1649" spans="1:12" ht="13.8">
      <c r="A1649" s="103"/>
      <c r="B1649" s="104"/>
      <c r="C1649" s="105" t="s">
        <v>1393</v>
      </c>
      <c r="D1649" s="106"/>
      <c r="E1649" s="106"/>
      <c r="F1649" s="106"/>
      <c r="G1649" s="106"/>
      <c r="H1649" s="106"/>
      <c r="I1649" s="107"/>
      <c r="J1649" s="108"/>
      <c r="K1649" s="108"/>
      <c r="L1649" s="109"/>
    </row>
    <row r="1650" spans="1:12" ht="13.8">
      <c r="A1650" s="103"/>
      <c r="B1650" s="104"/>
      <c r="C1650" s="106" t="s">
        <v>1394</v>
      </c>
      <c r="D1650" s="106"/>
      <c r="E1650" s="106"/>
      <c r="F1650" s="106"/>
      <c r="G1650" s="106"/>
      <c r="H1650" s="106"/>
      <c r="I1650" s="107"/>
      <c r="J1650" s="108">
        <f>SUM(Q995:Q1646)</f>
        <v>38858.299999999996</v>
      </c>
      <c r="K1650" s="108"/>
      <c r="L1650" s="109"/>
    </row>
    <row r="1651" spans="1:12" ht="13.8">
      <c r="A1651" s="103"/>
      <c r="B1651" s="104"/>
      <c r="C1651" s="106" t="s">
        <v>1395</v>
      </c>
      <c r="D1651" s="106"/>
      <c r="E1651" s="106"/>
      <c r="F1651" s="106"/>
      <c r="G1651" s="106"/>
      <c r="H1651" s="106"/>
      <c r="I1651" s="107"/>
      <c r="J1651" s="108">
        <f>Source!F303</f>
        <v>13476.89</v>
      </c>
      <c r="K1651" s="108"/>
      <c r="L1651" s="109"/>
    </row>
    <row r="1652" spans="1:12" ht="13.8">
      <c r="A1652" s="103"/>
      <c r="B1652" s="104"/>
      <c r="C1652" s="106" t="s">
        <v>1396</v>
      </c>
      <c r="D1652" s="106"/>
      <c r="E1652" s="106"/>
      <c r="F1652" s="106"/>
      <c r="G1652" s="106"/>
      <c r="H1652" s="106"/>
      <c r="I1652" s="107"/>
      <c r="J1652" s="108">
        <f>Source!F294-J1657</f>
        <v>544833.74</v>
      </c>
      <c r="K1652" s="108"/>
      <c r="L1652" s="109"/>
    </row>
    <row r="1653" spans="1:12" ht="13.8" hidden="1" customHeight="1">
      <c r="A1653" s="103"/>
      <c r="B1653" s="104"/>
      <c r="C1653" s="106" t="s">
        <v>1397</v>
      </c>
      <c r="D1653" s="106"/>
      <c r="E1653" s="106"/>
      <c r="F1653" s="106"/>
      <c r="G1653" s="106"/>
      <c r="H1653" s="106"/>
      <c r="I1653" s="107"/>
      <c r="J1653" s="108">
        <f>Source!F316</f>
        <v>0</v>
      </c>
      <c r="K1653" s="108"/>
      <c r="L1653" s="109"/>
    </row>
    <row r="1654" spans="1:12" ht="13.8">
      <c r="A1654" s="103"/>
      <c r="B1654" s="104"/>
      <c r="C1654" s="106" t="s">
        <v>1398</v>
      </c>
      <c r="D1654" s="106"/>
      <c r="E1654" s="106"/>
      <c r="F1654" s="106"/>
      <c r="G1654" s="106"/>
      <c r="H1654" s="106"/>
      <c r="I1654" s="107"/>
      <c r="J1654" s="108">
        <f>SUM(Q995:Q1646)+SUM(V995:V1646)</f>
        <v>40447.81</v>
      </c>
      <c r="K1654" s="108"/>
      <c r="L1654" s="109"/>
    </row>
    <row r="1655" spans="1:12" ht="13.8">
      <c r="A1655" s="103"/>
      <c r="B1655" s="104"/>
      <c r="C1655" s="106" t="s">
        <v>1399</v>
      </c>
      <c r="D1655" s="106"/>
      <c r="E1655" s="106"/>
      <c r="F1655" s="106"/>
      <c r="G1655" s="106"/>
      <c r="H1655" s="106"/>
      <c r="I1655" s="107"/>
      <c r="J1655" s="108">
        <f>Source!F317</f>
        <v>40959.97</v>
      </c>
      <c r="K1655" s="108"/>
      <c r="L1655" s="109"/>
    </row>
    <row r="1656" spans="1:12" ht="13.8">
      <c r="A1656" s="103"/>
      <c r="B1656" s="104"/>
      <c r="C1656" s="106" t="s">
        <v>1400</v>
      </c>
      <c r="D1656" s="106"/>
      <c r="E1656" s="106"/>
      <c r="F1656" s="106"/>
      <c r="G1656" s="106"/>
      <c r="H1656" s="106"/>
      <c r="I1656" s="107"/>
      <c r="J1656" s="108">
        <f>Source!F318</f>
        <v>23283.200000000001</v>
      </c>
      <c r="K1656" s="108"/>
      <c r="L1656" s="109"/>
    </row>
    <row r="1657" spans="1:12" ht="13.8" hidden="1" customHeight="1">
      <c r="A1657" s="103"/>
      <c r="B1657" s="104"/>
      <c r="C1657" s="106" t="s">
        <v>1401</v>
      </c>
      <c r="D1657" s="106"/>
      <c r="E1657" s="106"/>
      <c r="F1657" s="106"/>
      <c r="G1657" s="106"/>
      <c r="H1657" s="106"/>
      <c r="I1657" s="107"/>
      <c r="J1657" s="108">
        <f>Source!F300</f>
        <v>0</v>
      </c>
      <c r="K1657" s="108"/>
      <c r="L1657" s="109"/>
    </row>
    <row r="1658" spans="1:12" ht="13.8" hidden="1" customHeight="1">
      <c r="A1658" s="103"/>
      <c r="B1658" s="104"/>
      <c r="C1658" s="106" t="s">
        <v>1402</v>
      </c>
      <c r="D1658" s="106"/>
      <c r="E1658" s="106"/>
      <c r="F1658" s="106"/>
      <c r="G1658" s="106"/>
      <c r="H1658" s="106"/>
      <c r="I1658" s="107"/>
      <c r="J1658" s="108">
        <f>Source!F310</f>
        <v>0</v>
      </c>
      <c r="K1658" s="108"/>
      <c r="L1658" s="109"/>
    </row>
    <row r="1659" spans="1:12" ht="13.8">
      <c r="A1659" s="97"/>
      <c r="B1659" s="98"/>
      <c r="C1659" s="99" t="s">
        <v>1403</v>
      </c>
      <c r="D1659" s="99"/>
      <c r="E1659" s="99"/>
      <c r="F1659" s="99"/>
      <c r="G1659" s="99"/>
      <c r="H1659" s="99"/>
      <c r="I1659" s="100"/>
      <c r="J1659" s="101">
        <f>Source!F319</f>
        <v>661412.1</v>
      </c>
      <c r="K1659" s="101"/>
      <c r="L1659" s="102"/>
    </row>
    <row r="1660" spans="1:12" ht="13.8">
      <c r="A1660" s="103"/>
      <c r="B1660" s="104"/>
      <c r="C1660" s="105" t="s">
        <v>1393</v>
      </c>
      <c r="D1660" s="106"/>
      <c r="E1660" s="106"/>
      <c r="F1660" s="106"/>
      <c r="G1660" s="106"/>
      <c r="H1660" s="106"/>
      <c r="I1660" s="107"/>
      <c r="J1660" s="108"/>
      <c r="K1660" s="108"/>
      <c r="L1660" s="109"/>
    </row>
    <row r="1661" spans="1:12" ht="13.8">
      <c r="A1661" s="103"/>
      <c r="B1661" s="104"/>
      <c r="C1661" s="106" t="s">
        <v>1404</v>
      </c>
      <c r="D1661" s="106"/>
      <c r="E1661" s="106"/>
      <c r="F1661" s="106"/>
      <c r="G1661" s="106"/>
      <c r="H1661" s="106"/>
      <c r="I1661" s="107"/>
      <c r="J1661" s="108"/>
      <c r="K1661" s="108"/>
      <c r="L1661" s="109">
        <f>SUM(BS995:BS1646)</f>
        <v>1808891</v>
      </c>
    </row>
    <row r="1662" spans="1:12" ht="13.8" hidden="1" customHeight="1">
      <c r="A1662" s="103"/>
      <c r="B1662" s="104"/>
      <c r="C1662" s="106" t="s">
        <v>1405</v>
      </c>
      <c r="D1662" s="106"/>
      <c r="E1662" s="106"/>
      <c r="F1662" s="106"/>
      <c r="G1662" s="106"/>
      <c r="H1662" s="106"/>
      <c r="I1662" s="107"/>
      <c r="J1662" s="108"/>
      <c r="K1662" s="108"/>
      <c r="L1662" s="109">
        <f>SUM(BT995:BT1646)</f>
        <v>0</v>
      </c>
    </row>
    <row r="1664" spans="1:12" ht="13.8">
      <c r="A1664" s="97"/>
      <c r="B1664" s="98"/>
      <c r="C1664" s="99" t="s">
        <v>1556</v>
      </c>
      <c r="D1664" s="99"/>
      <c r="E1664" s="99"/>
      <c r="F1664" s="99"/>
      <c r="G1664" s="99"/>
      <c r="H1664" s="99"/>
      <c r="I1664" s="100"/>
      <c r="J1664" s="101"/>
      <c r="K1664" s="101"/>
      <c r="L1664" s="102"/>
    </row>
    <row r="1665" spans="1:12" ht="13.8">
      <c r="A1665" s="97"/>
      <c r="B1665" s="98"/>
      <c r="C1665" s="99" t="s">
        <v>1557</v>
      </c>
      <c r="D1665" s="99"/>
      <c r="E1665" s="99"/>
      <c r="F1665" s="99"/>
      <c r="G1665" s="99"/>
      <c r="H1665" s="99"/>
      <c r="I1665" s="100"/>
      <c r="J1665" s="101">
        <f>J1667+J1668+J1669+J1670</f>
        <v>1324870.2400000007</v>
      </c>
      <c r="K1665" s="101"/>
      <c r="L1665" s="102">
        <f>L1667+L1668+L1669+L1670</f>
        <v>9554231</v>
      </c>
    </row>
    <row r="1666" spans="1:12" ht="13.8">
      <c r="A1666" s="103"/>
      <c r="B1666" s="104"/>
      <c r="C1666" s="105" t="s">
        <v>1393</v>
      </c>
      <c r="D1666" s="106"/>
      <c r="E1666" s="106"/>
      <c r="F1666" s="106"/>
      <c r="G1666" s="106"/>
      <c r="H1666" s="106"/>
      <c r="I1666" s="107"/>
      <c r="J1666" s="108"/>
      <c r="K1666" s="108"/>
      <c r="L1666" s="109"/>
    </row>
    <row r="1667" spans="1:12" ht="13.8">
      <c r="A1667" s="103"/>
      <c r="B1667" s="104"/>
      <c r="C1667" s="106" t="s">
        <v>1394</v>
      </c>
      <c r="D1667" s="106"/>
      <c r="E1667" s="106"/>
      <c r="F1667" s="106"/>
      <c r="G1667" s="106"/>
      <c r="H1667" s="106"/>
      <c r="I1667" s="107"/>
      <c r="J1667" s="108">
        <f>SUM(Q47:Q1662)</f>
        <v>74023.900000000038</v>
      </c>
      <c r="K1667" s="108"/>
      <c r="L1667" s="109">
        <f>SUM(U47:U1662)</f>
        <v>1792859</v>
      </c>
    </row>
    <row r="1668" spans="1:12" ht="52.8">
      <c r="A1668" s="103"/>
      <c r="B1668" s="104" t="str">
        <f>Source!V414</f>
        <v>Приложение №2 к письму Минстроя России от03.06.2021 №23038-ИФ/09</v>
      </c>
      <c r="C1668" s="106" t="s">
        <v>1395</v>
      </c>
      <c r="D1668" s="106"/>
      <c r="E1668" s="106"/>
      <c r="F1668" s="106"/>
      <c r="G1668" s="106"/>
      <c r="H1668" s="106"/>
      <c r="I1668" s="107"/>
      <c r="J1668" s="108">
        <f>SUM(X47:X1662)</f>
        <v>25876.259999999991</v>
      </c>
      <c r="K1668" s="108">
        <f>Source!E414</f>
        <v>7.64</v>
      </c>
      <c r="L1668" s="109">
        <f>ROUND(J1668*K1668, 0)</f>
        <v>197695</v>
      </c>
    </row>
    <row r="1669" spans="1:12" ht="52.8">
      <c r="A1669" s="103"/>
      <c r="B1669" s="104" t="str">
        <f>Source!U414</f>
        <v>Приложение №2 к письму Минстроя России от03.06.2021 №23038-ИФ/09</v>
      </c>
      <c r="C1669" s="106" t="s">
        <v>1396</v>
      </c>
      <c r="D1669" s="106"/>
      <c r="E1669" s="106"/>
      <c r="F1669" s="106"/>
      <c r="G1669" s="106"/>
      <c r="H1669" s="106"/>
      <c r="I1669" s="107"/>
      <c r="J1669" s="108">
        <f>SUM(AB47:AB1662)-J1674</f>
        <v>1221152.8100000008</v>
      </c>
      <c r="K1669" s="108">
        <f>Source!D414</f>
        <v>6.17</v>
      </c>
      <c r="L1669" s="109">
        <f>ROUND(J1669*K1669, 0)</f>
        <v>7534513</v>
      </c>
    </row>
    <row r="1670" spans="1:12" ht="52.8">
      <c r="A1670" s="103"/>
      <c r="B1670" s="104" t="str">
        <f>Source!AB414</f>
        <v>Приложение №2 к письму Минстроя России от03.06.2021 №23038-ИФ/09</v>
      </c>
      <c r="C1670" s="106" t="s">
        <v>1397</v>
      </c>
      <c r="D1670" s="106"/>
      <c r="E1670" s="106"/>
      <c r="F1670" s="106"/>
      <c r="G1670" s="106"/>
      <c r="H1670" s="106"/>
      <c r="I1670" s="107"/>
      <c r="J1670" s="108">
        <f>SUM(AR47:AR1662)+SUM(BB47:BB1662)+SUM(BI47:BI1662)+SUM(BP47:BP1662)</f>
        <v>3817.27</v>
      </c>
      <c r="K1670" s="108">
        <f>Source!L414</f>
        <v>7.64</v>
      </c>
      <c r="L1670" s="109">
        <f>ROUND(J1670*K1670, 0)</f>
        <v>29164</v>
      </c>
    </row>
    <row r="1671" spans="1:12" ht="13.8">
      <c r="A1671" s="103"/>
      <c r="B1671" s="104"/>
      <c r="C1671" s="106" t="s">
        <v>1558</v>
      </c>
      <c r="D1671" s="106"/>
      <c r="E1671" s="106"/>
      <c r="F1671" s="106"/>
      <c r="G1671" s="106"/>
      <c r="H1671" s="106"/>
      <c r="I1671" s="107"/>
      <c r="J1671" s="108">
        <f>SUM(Q47:Q1662)+SUM(V47:V1662)</f>
        <v>77462.010000000038</v>
      </c>
      <c r="K1671" s="108"/>
      <c r="L1671" s="109">
        <f>SUM(U47:U1662)+SUM(W47:W1662)</f>
        <v>1876129</v>
      </c>
    </row>
    <row r="1672" spans="1:12" ht="13.8">
      <c r="A1672" s="103"/>
      <c r="B1672" s="104"/>
      <c r="C1672" s="106" t="s">
        <v>1559</v>
      </c>
      <c r="D1672" s="106"/>
      <c r="E1672" s="106"/>
      <c r="F1672" s="106"/>
      <c r="G1672" s="106"/>
      <c r="H1672" s="106"/>
      <c r="I1672" s="107"/>
      <c r="J1672" s="108">
        <f>SUM(AC47:AC1662)</f>
        <v>75587.099999999991</v>
      </c>
      <c r="K1672" s="108"/>
      <c r="L1672" s="109">
        <f>SUM(AD47:AD1662)</f>
        <v>1830716</v>
      </c>
    </row>
    <row r="1673" spans="1:12" ht="13.8">
      <c r="A1673" s="103"/>
      <c r="B1673" s="104"/>
      <c r="C1673" s="106" t="s">
        <v>1560</v>
      </c>
      <c r="D1673" s="106"/>
      <c r="E1673" s="106"/>
      <c r="F1673" s="106"/>
      <c r="G1673" s="106"/>
      <c r="H1673" s="106"/>
      <c r="I1673" s="107"/>
      <c r="J1673" s="108">
        <f>SUM(AE47:AE1662)</f>
        <v>42668.109999999986</v>
      </c>
      <c r="K1673" s="108"/>
      <c r="L1673" s="109">
        <f>SUM(AF47:AF1662)</f>
        <v>1033424</v>
      </c>
    </row>
    <row r="1674" spans="1:12" ht="13.8" hidden="1" customHeight="1">
      <c r="A1674" s="103"/>
      <c r="B1674" s="104" t="str">
        <f>Source!Y414</f>
        <v/>
      </c>
      <c r="C1674" s="106" t="s">
        <v>1561</v>
      </c>
      <c r="D1674" s="106"/>
      <c r="E1674" s="106"/>
      <c r="F1674" s="106"/>
      <c r="G1674" s="106"/>
      <c r="H1674" s="106"/>
      <c r="I1674" s="107"/>
      <c r="J1674" s="108">
        <f>SUM(BH47:BH1662)+SUM(BI47:BI1662)</f>
        <v>0</v>
      </c>
      <c r="K1674" s="108">
        <f>Source!H414</f>
        <v>1</v>
      </c>
      <c r="L1674" s="109">
        <f>ROUND(J1674*K1674, 0)</f>
        <v>0</v>
      </c>
    </row>
    <row r="1675" spans="1:12" ht="13.8" hidden="1" customHeight="1">
      <c r="A1675" s="103"/>
      <c r="B1675" s="104"/>
      <c r="C1675" s="106" t="s">
        <v>1562</v>
      </c>
      <c r="D1675" s="106"/>
      <c r="E1675" s="106"/>
      <c r="F1675" s="106"/>
      <c r="G1675" s="106"/>
      <c r="H1675" s="106"/>
      <c r="I1675" s="107"/>
      <c r="J1675" s="108">
        <f>J1678+J1677</f>
        <v>0</v>
      </c>
      <c r="K1675" s="108"/>
      <c r="L1675" s="109">
        <f>ROUND(L1678+L1677, 0)</f>
        <v>0</v>
      </c>
    </row>
    <row r="1676" spans="1:12" ht="13.8" hidden="1" customHeight="1">
      <c r="A1676" s="103"/>
      <c r="B1676" s="104"/>
      <c r="C1676" s="105" t="s">
        <v>1393</v>
      </c>
      <c r="D1676" s="106"/>
      <c r="E1676" s="106"/>
      <c r="F1676" s="106"/>
      <c r="G1676" s="106"/>
      <c r="H1676" s="106"/>
      <c r="I1676" s="107"/>
      <c r="J1676" s="108"/>
      <c r="K1676" s="108"/>
      <c r="L1676" s="109"/>
    </row>
    <row r="1677" spans="1:12" ht="13.8" hidden="1" customHeight="1">
      <c r="A1677" s="103"/>
      <c r="B1677" s="104" t="str">
        <f>Source!AA414</f>
        <v/>
      </c>
      <c r="C1677" s="106" t="s">
        <v>1563</v>
      </c>
      <c r="D1677" s="106"/>
      <c r="E1677" s="106"/>
      <c r="F1677" s="106"/>
      <c r="G1677" s="106"/>
      <c r="H1677" s="106"/>
      <c r="I1677" s="107"/>
      <c r="J1677" s="108">
        <f>SUM(BN47:BN1662)</f>
        <v>0</v>
      </c>
      <c r="K1677" s="108">
        <f>Source!K414</f>
        <v>1</v>
      </c>
      <c r="L1677" s="109">
        <f>SUM(BU47:BU1662)</f>
        <v>0</v>
      </c>
    </row>
    <row r="1678" spans="1:12" ht="13.8" hidden="1" customHeight="1">
      <c r="A1678" s="103"/>
      <c r="B1678" s="104" t="str">
        <f>Source!Z414</f>
        <v/>
      </c>
      <c r="C1678" s="106" t="s">
        <v>1564</v>
      </c>
      <c r="D1678" s="106"/>
      <c r="E1678" s="106"/>
      <c r="F1678" s="106"/>
      <c r="G1678" s="106"/>
      <c r="H1678" s="106"/>
      <c r="I1678" s="107"/>
      <c r="J1678" s="108">
        <f>SUM(BM47:BM1662)</f>
        <v>0</v>
      </c>
      <c r="K1678" s="108">
        <f>Source!I414</f>
        <v>1</v>
      </c>
      <c r="L1678" s="109">
        <f>ROUND(J1678*K1678, 0)</f>
        <v>0</v>
      </c>
    </row>
    <row r="1679" spans="1:12" ht="13.8">
      <c r="A1679" s="97"/>
      <c r="B1679" s="98"/>
      <c r="C1679" s="99" t="s">
        <v>1556</v>
      </c>
      <c r="D1679" s="99"/>
      <c r="E1679" s="99"/>
      <c r="F1679" s="99"/>
      <c r="G1679" s="99"/>
      <c r="H1679" s="99"/>
      <c r="I1679" s="100"/>
      <c r="J1679" s="101">
        <f>J1665+J1672+J1673+J1674</f>
        <v>1443125.4500000007</v>
      </c>
      <c r="K1679" s="101"/>
      <c r="L1679" s="102">
        <f>L1665+L1672+L1673+L1674</f>
        <v>12418371</v>
      </c>
    </row>
    <row r="1680" spans="1:12" ht="13.8">
      <c r="A1680" s="103"/>
      <c r="B1680" s="104"/>
      <c r="C1680" s="105" t="s">
        <v>1393</v>
      </c>
      <c r="D1680" s="106"/>
      <c r="E1680" s="106"/>
      <c r="F1680" s="106"/>
      <c r="G1680" s="106"/>
      <c r="H1680" s="106"/>
      <c r="I1680" s="107"/>
      <c r="J1680" s="108"/>
      <c r="K1680" s="108"/>
      <c r="L1680" s="109"/>
    </row>
    <row r="1681" spans="1:12" ht="13.8">
      <c r="A1681" s="103"/>
      <c r="B1681" s="104"/>
      <c r="C1681" s="106" t="s">
        <v>1404</v>
      </c>
      <c r="D1681" s="106"/>
      <c r="E1681" s="106"/>
      <c r="F1681" s="106"/>
      <c r="G1681" s="106"/>
      <c r="H1681" s="106"/>
      <c r="I1681" s="107"/>
      <c r="J1681" s="108"/>
      <c r="K1681" s="108"/>
      <c r="L1681" s="109">
        <f>SUM(BS47:BS1662)</f>
        <v>5340808</v>
      </c>
    </row>
    <row r="1682" spans="1:12" ht="13.8" hidden="1" customHeight="1">
      <c r="A1682" s="103"/>
      <c r="B1682" s="104"/>
      <c r="C1682" s="106" t="s">
        <v>1405</v>
      </c>
      <c r="D1682" s="106"/>
      <c r="E1682" s="106"/>
      <c r="F1682" s="106"/>
      <c r="G1682" s="106"/>
      <c r="H1682" s="106"/>
      <c r="I1682" s="107"/>
      <c r="J1682" s="108"/>
      <c r="K1682" s="108"/>
      <c r="L1682" s="109">
        <f>SUM(BT47:BT1662)</f>
        <v>0</v>
      </c>
    </row>
    <row r="1685" spans="1:12" ht="13.8">
      <c r="A1685" s="77" t="s">
        <v>1565</v>
      </c>
      <c r="B1685" s="77"/>
      <c r="C1685" s="68" t="str">
        <f>IF(Source!AC12&lt;&gt;"", Source!AC12," ")</f>
        <v xml:space="preserve"> </v>
      </c>
      <c r="D1685" s="68"/>
      <c r="E1685" s="68"/>
      <c r="F1685" s="68"/>
      <c r="G1685" s="68"/>
      <c r="H1685" s="14" t="str">
        <f>IF(Source!AB12&lt;&gt;"", Source!AB12," ")</f>
        <v xml:space="preserve"> </v>
      </c>
      <c r="I1685" s="14"/>
      <c r="J1685" s="14"/>
      <c r="K1685" s="14"/>
    </row>
    <row r="1686" spans="1:12" ht="13.8">
      <c r="A1686" s="13"/>
      <c r="B1686" s="13"/>
      <c r="C1686" s="78" t="s">
        <v>1566</v>
      </c>
      <c r="D1686" s="78"/>
      <c r="E1686" s="78"/>
      <c r="F1686" s="78"/>
      <c r="G1686" s="78"/>
      <c r="H1686" s="13"/>
      <c r="I1686" s="13"/>
      <c r="J1686" s="13"/>
      <c r="K1686" s="13"/>
    </row>
    <row r="1687" spans="1:12" ht="13.8">
      <c r="A1687" s="13"/>
      <c r="B1687" s="13"/>
      <c r="C1687" s="13"/>
      <c r="D1687" s="13"/>
      <c r="E1687" s="13"/>
      <c r="F1687" s="13"/>
      <c r="G1687" s="13"/>
      <c r="H1687" s="13"/>
      <c r="I1687" s="13"/>
      <c r="J1687" s="13"/>
      <c r="K1687" s="13"/>
    </row>
    <row r="1688" spans="1:12" ht="13.8">
      <c r="A1688" s="77" t="s">
        <v>1567</v>
      </c>
      <c r="B1688" s="77"/>
      <c r="C1688" s="68" t="str">
        <f>IF(Source!AE12&lt;&gt;"", Source!AE12," ")</f>
        <v xml:space="preserve"> </v>
      </c>
      <c r="D1688" s="68"/>
      <c r="E1688" s="68"/>
      <c r="F1688" s="68"/>
      <c r="G1688" s="68"/>
      <c r="H1688" s="14" t="str">
        <f>IF(Source!AD12&lt;&gt;"", Source!AD12," ")</f>
        <v xml:space="preserve"> </v>
      </c>
      <c r="I1688" s="14"/>
      <c r="J1688" s="14"/>
      <c r="K1688" s="14"/>
    </row>
    <row r="1689" spans="1:12" ht="13.8">
      <c r="A1689" s="13"/>
      <c r="B1689" s="13"/>
      <c r="C1689" s="78" t="s">
        <v>1566</v>
      </c>
      <c r="D1689" s="78"/>
      <c r="E1689" s="78"/>
      <c r="F1689" s="78"/>
      <c r="G1689" s="78"/>
      <c r="H1689" s="13"/>
      <c r="I1689" s="13"/>
      <c r="J1689" s="13"/>
      <c r="K1689" s="13"/>
    </row>
  </sheetData>
  <mergeCells count="463">
    <mergeCell ref="C1667:H1667"/>
    <mergeCell ref="C1666:H1666"/>
    <mergeCell ref="C1665:H1665"/>
    <mergeCell ref="C1664:H1664"/>
    <mergeCell ref="C1682:H1682"/>
    <mergeCell ref="C1681:H1681"/>
    <mergeCell ref="C1680:H1680"/>
    <mergeCell ref="C1679:H1679"/>
    <mergeCell ref="C1678:H1678"/>
    <mergeCell ref="C1677:H1677"/>
    <mergeCell ref="C1650:H1650"/>
    <mergeCell ref="C1676:H1676"/>
    <mergeCell ref="C1675:H1675"/>
    <mergeCell ref="C1674:H1674"/>
    <mergeCell ref="C1673:H1673"/>
    <mergeCell ref="C1672:H1672"/>
    <mergeCell ref="C1671:H1671"/>
    <mergeCell ref="C1670:H1670"/>
    <mergeCell ref="C1669:H1669"/>
    <mergeCell ref="C1668:H1668"/>
    <mergeCell ref="C1656:H1656"/>
    <mergeCell ref="C1655:H1655"/>
    <mergeCell ref="C1654:H1654"/>
    <mergeCell ref="C1653:H1653"/>
    <mergeCell ref="C1652:H1652"/>
    <mergeCell ref="C1651:H1651"/>
    <mergeCell ref="C1662:H1662"/>
    <mergeCell ref="C1661:H1661"/>
    <mergeCell ref="C1660:H1660"/>
    <mergeCell ref="C1659:H1659"/>
    <mergeCell ref="C1658:H1658"/>
    <mergeCell ref="C1657:H1657"/>
    <mergeCell ref="I1625:J1625"/>
    <mergeCell ref="C1625:H1625"/>
    <mergeCell ref="I1611:J1611"/>
    <mergeCell ref="C1611:H1611"/>
    <mergeCell ref="I1597:J1597"/>
    <mergeCell ref="C1597:H1597"/>
    <mergeCell ref="I1638:J1638"/>
    <mergeCell ref="C1638:H1638"/>
    <mergeCell ref="I1634:J1634"/>
    <mergeCell ref="C1634:H1634"/>
    <mergeCell ref="I1630:J1630"/>
    <mergeCell ref="C1630:H1630"/>
    <mergeCell ref="C1649:H1649"/>
    <mergeCell ref="C1648:H1648"/>
    <mergeCell ref="I1646:J1646"/>
    <mergeCell ref="C1646:H1646"/>
    <mergeCell ref="I1642:J1642"/>
    <mergeCell ref="C1642:H1642"/>
    <mergeCell ref="I1506:J1506"/>
    <mergeCell ref="C1506:H1506"/>
    <mergeCell ref="I1492:J1492"/>
    <mergeCell ref="C1492:H1492"/>
    <mergeCell ref="I1478:J1478"/>
    <mergeCell ref="C1478:H1478"/>
    <mergeCell ref="I1537:J1537"/>
    <mergeCell ref="C1537:H1537"/>
    <mergeCell ref="I1534:J1534"/>
    <mergeCell ref="C1534:H1534"/>
    <mergeCell ref="I1520:J1520"/>
    <mergeCell ref="C1520:H1520"/>
    <mergeCell ref="I1380:J1380"/>
    <mergeCell ref="C1380:H1380"/>
    <mergeCell ref="I1583:J1583"/>
    <mergeCell ref="C1583:H1583"/>
    <mergeCell ref="I1569:J1569"/>
    <mergeCell ref="C1569:H1569"/>
    <mergeCell ref="I1554:J1554"/>
    <mergeCell ref="C1554:H1554"/>
    <mergeCell ref="I1551:J1551"/>
    <mergeCell ref="C1551:H1551"/>
    <mergeCell ref="I1422:J1422"/>
    <mergeCell ref="C1422:H1422"/>
    <mergeCell ref="I1408:J1408"/>
    <mergeCell ref="C1408:H1408"/>
    <mergeCell ref="I1394:J1394"/>
    <mergeCell ref="C1394:H1394"/>
    <mergeCell ref="C1457:H1457"/>
    <mergeCell ref="I1443:J1443"/>
    <mergeCell ref="C1443:H1443"/>
    <mergeCell ref="I1440:J1440"/>
    <mergeCell ref="C1440:H1440"/>
    <mergeCell ref="I1436:J1436"/>
    <mergeCell ref="C1436:H1436"/>
    <mergeCell ref="I1304:J1304"/>
    <mergeCell ref="C1304:H1304"/>
    <mergeCell ref="I1301:J1301"/>
    <mergeCell ref="C1301:H1301"/>
    <mergeCell ref="I1297:J1297"/>
    <mergeCell ref="I1475:J1475"/>
    <mergeCell ref="C1475:H1475"/>
    <mergeCell ref="I1471:J1471"/>
    <mergeCell ref="C1471:H1471"/>
    <mergeCell ref="I1457:J1457"/>
    <mergeCell ref="C1345:H1345"/>
    <mergeCell ref="I1331:J1331"/>
    <mergeCell ref="C1331:H1331"/>
    <mergeCell ref="I1321:J1321"/>
    <mergeCell ref="C1321:H1321"/>
    <mergeCell ref="I1308:J1308"/>
    <mergeCell ref="C1308:H1308"/>
    <mergeCell ref="I1223:J1223"/>
    <mergeCell ref="C1223:H1223"/>
    <mergeCell ref="I1366:J1366"/>
    <mergeCell ref="C1366:H1366"/>
    <mergeCell ref="K1352:L1352"/>
    <mergeCell ref="I1352:J1352"/>
    <mergeCell ref="C1352:H1352"/>
    <mergeCell ref="I1349:J1349"/>
    <mergeCell ref="C1349:H1349"/>
    <mergeCell ref="I1345:J1345"/>
    <mergeCell ref="I1242:J1242"/>
    <mergeCell ref="C1242:H1242"/>
    <mergeCell ref="I1239:J1239"/>
    <mergeCell ref="C1239:H1239"/>
    <mergeCell ref="I1235:J1235"/>
    <mergeCell ref="C1235:H1235"/>
    <mergeCell ref="I1277:J1277"/>
    <mergeCell ref="C1277:H1277"/>
    <mergeCell ref="I1264:J1264"/>
    <mergeCell ref="C1264:H1264"/>
    <mergeCell ref="I1253:J1253"/>
    <mergeCell ref="C1253:H1253"/>
    <mergeCell ref="C1297:H1297"/>
    <mergeCell ref="I1293:J1293"/>
    <mergeCell ref="C1293:H1293"/>
    <mergeCell ref="K1280:L1280"/>
    <mergeCell ref="I1280:J1280"/>
    <mergeCell ref="C1280:H1280"/>
    <mergeCell ref="I1116:J1116"/>
    <mergeCell ref="C1116:H1116"/>
    <mergeCell ref="I1103:J1103"/>
    <mergeCell ref="C1103:H1103"/>
    <mergeCell ref="I1090:J1090"/>
    <mergeCell ref="C1090:H1090"/>
    <mergeCell ref="I1155:J1155"/>
    <mergeCell ref="C1155:H1155"/>
    <mergeCell ref="I1142:J1142"/>
    <mergeCell ref="C1142:H1142"/>
    <mergeCell ref="I1129:J1129"/>
    <mergeCell ref="C1129:H1129"/>
    <mergeCell ref="C992:H992"/>
    <mergeCell ref="C991:H991"/>
    <mergeCell ref="I1209:J1209"/>
    <mergeCell ref="C1209:H1209"/>
    <mergeCell ref="I1195:J1195"/>
    <mergeCell ref="C1195:H1195"/>
    <mergeCell ref="I1181:J1181"/>
    <mergeCell ref="C1181:H1181"/>
    <mergeCell ref="I1168:J1168"/>
    <mergeCell ref="C1168:H1168"/>
    <mergeCell ref="I1015:J1015"/>
    <mergeCell ref="C1015:H1015"/>
    <mergeCell ref="I1005:J1005"/>
    <mergeCell ref="C1005:H1005"/>
    <mergeCell ref="A995:L995"/>
    <mergeCell ref="C993:H993"/>
    <mergeCell ref="C1063:H1063"/>
    <mergeCell ref="I1049:J1049"/>
    <mergeCell ref="C1049:H1049"/>
    <mergeCell ref="I1037:J1037"/>
    <mergeCell ref="C1037:H1037"/>
    <mergeCell ref="I1026:J1026"/>
    <mergeCell ref="C1026:H1026"/>
    <mergeCell ref="I977:J977"/>
    <mergeCell ref="C977:H977"/>
    <mergeCell ref="I972:J972"/>
    <mergeCell ref="C972:H972"/>
    <mergeCell ref="I960:J960"/>
    <mergeCell ref="I1078:J1078"/>
    <mergeCell ref="C1078:H1078"/>
    <mergeCell ref="I1066:J1066"/>
    <mergeCell ref="C1066:H1066"/>
    <mergeCell ref="I1063:J1063"/>
    <mergeCell ref="C984:H984"/>
    <mergeCell ref="C983:H983"/>
    <mergeCell ref="C982:H982"/>
    <mergeCell ref="C981:H981"/>
    <mergeCell ref="C980:H980"/>
    <mergeCell ref="C979:H979"/>
    <mergeCell ref="C990:H990"/>
    <mergeCell ref="C989:H989"/>
    <mergeCell ref="C988:H988"/>
    <mergeCell ref="C987:H987"/>
    <mergeCell ref="C986:H986"/>
    <mergeCell ref="C985:H985"/>
    <mergeCell ref="I868:J868"/>
    <mergeCell ref="C868:H868"/>
    <mergeCell ref="I854:J854"/>
    <mergeCell ref="C854:H854"/>
    <mergeCell ref="I840:J840"/>
    <mergeCell ref="C840:H840"/>
    <mergeCell ref="I911:J911"/>
    <mergeCell ref="C911:H911"/>
    <mergeCell ref="I897:J897"/>
    <mergeCell ref="C897:H897"/>
    <mergeCell ref="I883:J883"/>
    <mergeCell ref="C883:H883"/>
    <mergeCell ref="I943:J943"/>
    <mergeCell ref="C943:H943"/>
    <mergeCell ref="I939:J939"/>
    <mergeCell ref="C939:H939"/>
    <mergeCell ref="I925:J925"/>
    <mergeCell ref="C925:H925"/>
    <mergeCell ref="C960:H960"/>
    <mergeCell ref="I949:J949"/>
    <mergeCell ref="C949:H949"/>
    <mergeCell ref="K946:L946"/>
    <mergeCell ref="I946:J946"/>
    <mergeCell ref="C946:H946"/>
    <mergeCell ref="I697:J697"/>
    <mergeCell ref="C697:H697"/>
    <mergeCell ref="I683:J683"/>
    <mergeCell ref="C683:H683"/>
    <mergeCell ref="I668:J668"/>
    <mergeCell ref="C668:H668"/>
    <mergeCell ref="I740:J740"/>
    <mergeCell ref="C740:H740"/>
    <mergeCell ref="I726:J726"/>
    <mergeCell ref="C726:H726"/>
    <mergeCell ref="I711:J711"/>
    <mergeCell ref="C711:H711"/>
    <mergeCell ref="I783:J783"/>
    <mergeCell ref="C783:H783"/>
    <mergeCell ref="I769:J769"/>
    <mergeCell ref="C769:H769"/>
    <mergeCell ref="I754:J754"/>
    <mergeCell ref="C754:H754"/>
    <mergeCell ref="I826:J826"/>
    <mergeCell ref="C826:H826"/>
    <mergeCell ref="I811:J811"/>
    <mergeCell ref="C811:H811"/>
    <mergeCell ref="I797:J797"/>
    <mergeCell ref="C797:H797"/>
    <mergeCell ref="K530:L530"/>
    <mergeCell ref="I530:J530"/>
    <mergeCell ref="C530:H530"/>
    <mergeCell ref="I527:J527"/>
    <mergeCell ref="C527:H527"/>
    <mergeCell ref="I523:J523"/>
    <mergeCell ref="I569:J569"/>
    <mergeCell ref="C569:H569"/>
    <mergeCell ref="I558:J558"/>
    <mergeCell ref="C558:H558"/>
    <mergeCell ref="I544:J544"/>
    <mergeCell ref="C544:H544"/>
    <mergeCell ref="I611:J611"/>
    <mergeCell ref="C611:H611"/>
    <mergeCell ref="I597:J597"/>
    <mergeCell ref="C597:H597"/>
    <mergeCell ref="I582:J582"/>
    <mergeCell ref="C582:H582"/>
    <mergeCell ref="I472:J472"/>
    <mergeCell ref="C472:H472"/>
    <mergeCell ref="I458:J458"/>
    <mergeCell ref="C458:H458"/>
    <mergeCell ref="I654:J654"/>
    <mergeCell ref="C654:H654"/>
    <mergeCell ref="I640:J640"/>
    <mergeCell ref="C640:H640"/>
    <mergeCell ref="I625:J625"/>
    <mergeCell ref="C625:H625"/>
    <mergeCell ref="I482:J482"/>
    <mergeCell ref="C482:H482"/>
    <mergeCell ref="K479:L479"/>
    <mergeCell ref="I479:J479"/>
    <mergeCell ref="C479:H479"/>
    <mergeCell ref="I476:J476"/>
    <mergeCell ref="C476:H476"/>
    <mergeCell ref="K503:L503"/>
    <mergeCell ref="I503:J503"/>
    <mergeCell ref="C503:H503"/>
    <mergeCell ref="I500:J500"/>
    <mergeCell ref="C500:H500"/>
    <mergeCell ref="I496:J496"/>
    <mergeCell ref="C496:H496"/>
    <mergeCell ref="C523:H523"/>
    <mergeCell ref="I509:J509"/>
    <mergeCell ref="C509:H509"/>
    <mergeCell ref="K506:L506"/>
    <mergeCell ref="I506:J506"/>
    <mergeCell ref="C506:H506"/>
    <mergeCell ref="I402:J402"/>
    <mergeCell ref="C402:H402"/>
    <mergeCell ref="I387:J387"/>
    <mergeCell ref="C387:H387"/>
    <mergeCell ref="I373:J373"/>
    <mergeCell ref="C373:H373"/>
    <mergeCell ref="I413:J413"/>
    <mergeCell ref="C413:H413"/>
    <mergeCell ref="I410:J410"/>
    <mergeCell ref="C410:H410"/>
    <mergeCell ref="I406:J406"/>
    <mergeCell ref="C406:H406"/>
    <mergeCell ref="I434:J434"/>
    <mergeCell ref="C434:H434"/>
    <mergeCell ref="I430:J430"/>
    <mergeCell ref="C430:H430"/>
    <mergeCell ref="I417:J417"/>
    <mergeCell ref="C417:H417"/>
    <mergeCell ref="I454:J454"/>
    <mergeCell ref="C454:H454"/>
    <mergeCell ref="I450:J450"/>
    <mergeCell ref="C450:H450"/>
    <mergeCell ref="I437:J437"/>
    <mergeCell ref="C437:H437"/>
    <mergeCell ref="I315:J315"/>
    <mergeCell ref="C315:H315"/>
    <mergeCell ref="I311:J311"/>
    <mergeCell ref="C311:H311"/>
    <mergeCell ref="I308:J308"/>
    <mergeCell ref="C308:H308"/>
    <mergeCell ref="I337:J337"/>
    <mergeCell ref="C337:H337"/>
    <mergeCell ref="I333:J333"/>
    <mergeCell ref="C333:H333"/>
    <mergeCell ref="I329:J329"/>
    <mergeCell ref="C329:H329"/>
    <mergeCell ref="C362:H362"/>
    <mergeCell ref="I358:J358"/>
    <mergeCell ref="C358:H358"/>
    <mergeCell ref="I344:J344"/>
    <mergeCell ref="C344:H344"/>
    <mergeCell ref="I340:J340"/>
    <mergeCell ref="C340:H340"/>
    <mergeCell ref="I243:J243"/>
    <mergeCell ref="C243:H243"/>
    <mergeCell ref="I239:J239"/>
    <mergeCell ref="C239:H239"/>
    <mergeCell ref="I227:J227"/>
    <mergeCell ref="I369:J369"/>
    <mergeCell ref="C369:H369"/>
    <mergeCell ref="I366:J366"/>
    <mergeCell ref="C366:H366"/>
    <mergeCell ref="I362:J362"/>
    <mergeCell ref="I272:J272"/>
    <mergeCell ref="C272:H272"/>
    <mergeCell ref="I259:J259"/>
    <mergeCell ref="C259:H259"/>
    <mergeCell ref="K246:L246"/>
    <mergeCell ref="I246:J246"/>
    <mergeCell ref="C246:H246"/>
    <mergeCell ref="I283:J283"/>
    <mergeCell ref="C283:H283"/>
    <mergeCell ref="I280:J280"/>
    <mergeCell ref="C280:H280"/>
    <mergeCell ref="I276:J276"/>
    <mergeCell ref="C276:H276"/>
    <mergeCell ref="I166:J166"/>
    <mergeCell ref="C166:H166"/>
    <mergeCell ref="I163:J163"/>
    <mergeCell ref="C163:H163"/>
    <mergeCell ref="I304:J304"/>
    <mergeCell ref="C304:H304"/>
    <mergeCell ref="I300:J300"/>
    <mergeCell ref="C300:H300"/>
    <mergeCell ref="I287:J287"/>
    <mergeCell ref="C287:H287"/>
    <mergeCell ref="K187:L187"/>
    <mergeCell ref="I187:J187"/>
    <mergeCell ref="C187:H187"/>
    <mergeCell ref="I184:J184"/>
    <mergeCell ref="C184:H184"/>
    <mergeCell ref="I180:J180"/>
    <mergeCell ref="C180:H180"/>
    <mergeCell ref="I207:J207"/>
    <mergeCell ref="C207:H207"/>
    <mergeCell ref="I203:J203"/>
    <mergeCell ref="C203:H203"/>
    <mergeCell ref="I199:J199"/>
    <mergeCell ref="C199:H199"/>
    <mergeCell ref="I107:J107"/>
    <mergeCell ref="C107:H107"/>
    <mergeCell ref="I103:J103"/>
    <mergeCell ref="C227:H227"/>
    <mergeCell ref="K213:L213"/>
    <mergeCell ref="I213:J213"/>
    <mergeCell ref="C213:H213"/>
    <mergeCell ref="K210:L210"/>
    <mergeCell ref="I210:J210"/>
    <mergeCell ref="C210:H210"/>
    <mergeCell ref="C131:H131"/>
    <mergeCell ref="I127:J127"/>
    <mergeCell ref="C127:H127"/>
    <mergeCell ref="I123:J123"/>
    <mergeCell ref="C123:H123"/>
    <mergeCell ref="K111:L111"/>
    <mergeCell ref="I111:J111"/>
    <mergeCell ref="C111:H111"/>
    <mergeCell ref="A48:L48"/>
    <mergeCell ref="I159:J159"/>
    <mergeCell ref="C159:H159"/>
    <mergeCell ref="I155:J155"/>
    <mergeCell ref="C155:H155"/>
    <mergeCell ref="I151:J151"/>
    <mergeCell ref="C151:H151"/>
    <mergeCell ref="K137:L137"/>
    <mergeCell ref="I137:J137"/>
    <mergeCell ref="C137:H137"/>
    <mergeCell ref="C76:H76"/>
    <mergeCell ref="C75:H75"/>
    <mergeCell ref="C74:H74"/>
    <mergeCell ref="I72:J72"/>
    <mergeCell ref="C72:H72"/>
    <mergeCell ref="I61:J61"/>
    <mergeCell ref="C61:H61"/>
    <mergeCell ref="C82:H82"/>
    <mergeCell ref="C81:H81"/>
    <mergeCell ref="C80:H80"/>
    <mergeCell ref="C79:H79"/>
    <mergeCell ref="C78:H78"/>
    <mergeCell ref="C77:H77"/>
    <mergeCell ref="C1689:G1689"/>
    <mergeCell ref="C103:H103"/>
    <mergeCell ref="A90:L90"/>
    <mergeCell ref="C88:H88"/>
    <mergeCell ref="C87:H87"/>
    <mergeCell ref="C86:H86"/>
    <mergeCell ref="K134:L134"/>
    <mergeCell ref="I134:J134"/>
    <mergeCell ref="C134:H134"/>
    <mergeCell ref="I131:J131"/>
    <mergeCell ref="K42:K45"/>
    <mergeCell ref="L42:L45"/>
    <mergeCell ref="A1685:B1685"/>
    <mergeCell ref="H1685:K1685"/>
    <mergeCell ref="C1686:G1686"/>
    <mergeCell ref="A1688:B1688"/>
    <mergeCell ref="H1688:K1688"/>
    <mergeCell ref="C85:H85"/>
    <mergeCell ref="C84:H84"/>
    <mergeCell ref="C83:H83"/>
    <mergeCell ref="A42:A45"/>
    <mergeCell ref="B42:B45"/>
    <mergeCell ref="C42:C45"/>
    <mergeCell ref="D42:D45"/>
    <mergeCell ref="E42:G44"/>
    <mergeCell ref="H42:J44"/>
    <mergeCell ref="C30:G30"/>
    <mergeCell ref="D34:E34"/>
    <mergeCell ref="D37:E37"/>
    <mergeCell ref="D38:E38"/>
    <mergeCell ref="D39:E39"/>
    <mergeCell ref="D40:E40"/>
    <mergeCell ref="B18:K18"/>
    <mergeCell ref="B19:K19"/>
    <mergeCell ref="B21:K21"/>
    <mergeCell ref="B23:K23"/>
    <mergeCell ref="B24:K24"/>
    <mergeCell ref="C29:G29"/>
    <mergeCell ref="B7:E7"/>
    <mergeCell ref="H7:L7"/>
    <mergeCell ref="A10:L10"/>
    <mergeCell ref="A12:K12"/>
    <mergeCell ref="B15:K15"/>
    <mergeCell ref="B16:K16"/>
    <mergeCell ref="B3:E3"/>
    <mergeCell ref="H3:L3"/>
    <mergeCell ref="B4:E4"/>
    <mergeCell ref="H4:L4"/>
    <mergeCell ref="B6:E6"/>
    <mergeCell ref="H6:L6"/>
  </mergeCells>
  <pageMargins left="0.4" right="0.2" top="0.4" bottom="0.4" header="0.2" footer="0.2"/>
  <pageSetup paperSize="9" scale="58" fitToHeight="0" orientation="portrait" r:id="rId1"/>
  <headerFooter>
    <oddHeader>&amp;L&amp;8ООО "МЭС"  Доп. раб. место  FStS-0035086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IK418"/>
  <sheetViews>
    <sheetView workbookViewId="0">
      <selection activeCell="A414" sqref="A414:AN414"/>
    </sheetView>
  </sheetViews>
  <sheetFormatPr defaultColWidth="9.109375" defaultRowHeight="13.2"/>
  <cols>
    <col min="1" max="256" width="9.109375" customWidth="1"/>
  </cols>
  <sheetData>
    <row r="1" spans="1:133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1</v>
      </c>
      <c r="L1">
        <v>35086</v>
      </c>
      <c r="M1">
        <v>10</v>
      </c>
      <c r="N1">
        <v>11</v>
      </c>
      <c r="O1">
        <v>3</v>
      </c>
      <c r="P1">
        <v>2</v>
      </c>
      <c r="Q1">
        <v>5</v>
      </c>
    </row>
    <row r="12" spans="1:133">
      <c r="A12" s="1">
        <v>1</v>
      </c>
      <c r="B12" s="1">
        <v>413</v>
      </c>
      <c r="C12" s="1">
        <v>0</v>
      </c>
      <c r="D12" s="1">
        <f>ROW(A357)</f>
        <v>357</v>
      </c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7</v>
      </c>
      <c r="K12" s="1">
        <v>0</v>
      </c>
      <c r="L12" s="1">
        <v>0</v>
      </c>
      <c r="M12" s="1">
        <v>6</v>
      </c>
      <c r="N12" s="1"/>
      <c r="O12" s="1">
        <v>2021</v>
      </c>
      <c r="P12" s="1">
        <v>6</v>
      </c>
      <c r="Q12" s="1">
        <v>0</v>
      </c>
      <c r="R12" s="1">
        <v>0</v>
      </c>
      <c r="S12" s="1"/>
      <c r="T12" s="1">
        <v>3</v>
      </c>
      <c r="U12" s="1" t="s">
        <v>7</v>
      </c>
      <c r="V12" s="1">
        <v>0</v>
      </c>
      <c r="W12" s="1" t="s">
        <v>8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>
        <v>0</v>
      </c>
      <c r="BC12" s="1"/>
      <c r="BD12" s="1"/>
      <c r="BE12" s="1"/>
      <c r="BF12" s="1"/>
      <c r="BG12" s="1"/>
      <c r="BH12" s="1" t="s">
        <v>9</v>
      </c>
      <c r="BI12" s="1" t="s">
        <v>10</v>
      </c>
      <c r="BJ12" s="1">
        <v>0</v>
      </c>
      <c r="BK12" s="1">
        <v>1</v>
      </c>
      <c r="BL12" s="1">
        <v>0</v>
      </c>
      <c r="BM12" s="1">
        <v>1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1</v>
      </c>
      <c r="BW12" s="1">
        <v>0</v>
      </c>
      <c r="BX12" s="1">
        <v>0</v>
      </c>
      <c r="BY12" s="1" t="s">
        <v>11</v>
      </c>
      <c r="BZ12" s="1" t="s">
        <v>12</v>
      </c>
      <c r="CA12" s="1" t="s">
        <v>13</v>
      </c>
      <c r="CB12" s="1" t="s">
        <v>13</v>
      </c>
      <c r="CC12" s="1" t="s">
        <v>13</v>
      </c>
      <c r="CD12" s="1" t="s">
        <v>13</v>
      </c>
      <c r="CE12" s="1" t="s">
        <v>14</v>
      </c>
      <c r="CF12" s="1">
        <v>0</v>
      </c>
      <c r="CG12" s="1">
        <v>0</v>
      </c>
      <c r="CH12" s="1">
        <v>403177480</v>
      </c>
      <c r="CI12" s="1" t="s">
        <v>6</v>
      </c>
      <c r="CJ12" s="1" t="s">
        <v>6</v>
      </c>
      <c r="CK12" s="1">
        <v>0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45">
      <c r="A18" s="2">
        <v>52</v>
      </c>
      <c r="B18" s="2">
        <f t="shared" ref="B18:G18" si="0">B357</f>
        <v>413</v>
      </c>
      <c r="C18" s="2">
        <f t="shared" si="0"/>
        <v>1</v>
      </c>
      <c r="D18" s="2">
        <f t="shared" si="0"/>
        <v>12</v>
      </c>
      <c r="E18" s="2">
        <f t="shared" si="0"/>
        <v>0</v>
      </c>
      <c r="F18" s="2" t="str">
        <f t="shared" si="0"/>
        <v>И 2 Выявленный объект культурного наследия "Здание рабочей казармы Берговской мануфактуры, 1908г", по адресу: г.Тверь, ул.Спартака, д.45, корп.1_(Копия)</v>
      </c>
      <c r="G18" s="2" t="str">
        <f t="shared" si="0"/>
        <v>И 3 Выявленный объект культурного наследия "Здание рабочей казармы Берговской мануфактуры, 1908г", по адресу: г.Тверь, ул.Спартака, д.45, корп.1_(Копия)</v>
      </c>
      <c r="H18" s="2"/>
      <c r="I18" s="2"/>
      <c r="J18" s="2"/>
      <c r="K18" s="2"/>
      <c r="L18" s="2"/>
      <c r="M18" s="2"/>
      <c r="N18" s="2"/>
      <c r="O18" s="2">
        <f t="shared" ref="O18:AT18" si="1">O357</f>
        <v>1323732.72</v>
      </c>
      <c r="P18" s="2">
        <f t="shared" si="1"/>
        <v>1221152.81</v>
      </c>
      <c r="Q18" s="2">
        <f t="shared" si="1"/>
        <v>27885.51</v>
      </c>
      <c r="R18" s="2">
        <f t="shared" si="1"/>
        <v>3438.11</v>
      </c>
      <c r="S18" s="2">
        <f t="shared" si="1"/>
        <v>74694.399999999994</v>
      </c>
      <c r="T18" s="2">
        <f t="shared" si="1"/>
        <v>0</v>
      </c>
      <c r="U18" s="2">
        <f t="shared" si="1"/>
        <v>8541.0682726100003</v>
      </c>
      <c r="V18" s="2">
        <f t="shared" si="1"/>
        <v>286.20145187499998</v>
      </c>
      <c r="W18" s="2">
        <f t="shared" si="1"/>
        <v>0</v>
      </c>
      <c r="X18" s="2">
        <f t="shared" si="1"/>
        <v>75587.100000000006</v>
      </c>
      <c r="Y18" s="2">
        <f t="shared" si="1"/>
        <v>42668.11</v>
      </c>
      <c r="Z18" s="2">
        <f t="shared" si="1"/>
        <v>0</v>
      </c>
      <c r="AA18" s="2">
        <f t="shared" si="1"/>
        <v>0</v>
      </c>
      <c r="AB18" s="2">
        <f t="shared" si="1"/>
        <v>0</v>
      </c>
      <c r="AC18" s="2">
        <f t="shared" si="1"/>
        <v>0</v>
      </c>
      <c r="AD18" s="2">
        <f t="shared" si="1"/>
        <v>0</v>
      </c>
      <c r="AE18" s="2">
        <f t="shared" si="1"/>
        <v>0</v>
      </c>
      <c r="AF18" s="2">
        <f t="shared" si="1"/>
        <v>0</v>
      </c>
      <c r="AG18" s="2">
        <f t="shared" si="1"/>
        <v>0</v>
      </c>
      <c r="AH18" s="2">
        <f t="shared" si="1"/>
        <v>0</v>
      </c>
      <c r="AI18" s="2">
        <f t="shared" si="1"/>
        <v>0</v>
      </c>
      <c r="AJ18" s="2">
        <f t="shared" si="1"/>
        <v>0</v>
      </c>
      <c r="AK18" s="2">
        <f t="shared" si="1"/>
        <v>0</v>
      </c>
      <c r="AL18" s="2">
        <f t="shared" si="1"/>
        <v>0</v>
      </c>
      <c r="AM18" s="2">
        <f t="shared" si="1"/>
        <v>0</v>
      </c>
      <c r="AN18" s="2">
        <f t="shared" si="1"/>
        <v>0</v>
      </c>
      <c r="AO18" s="2">
        <f t="shared" si="1"/>
        <v>0</v>
      </c>
      <c r="AP18" s="2">
        <f t="shared" si="1"/>
        <v>0</v>
      </c>
      <c r="AQ18" s="2">
        <f t="shared" si="1"/>
        <v>0</v>
      </c>
      <c r="AR18" s="2">
        <f t="shared" si="1"/>
        <v>1441987.93</v>
      </c>
      <c r="AS18" s="2">
        <f t="shared" si="1"/>
        <v>1423955.45</v>
      </c>
      <c r="AT18" s="2">
        <f t="shared" si="1"/>
        <v>18032.48</v>
      </c>
      <c r="AU18" s="2">
        <f t="shared" ref="AU18:BZ18" si="2">AU357</f>
        <v>0</v>
      </c>
      <c r="AV18" s="2">
        <f t="shared" si="2"/>
        <v>1221152.81</v>
      </c>
      <c r="AW18" s="2">
        <f t="shared" si="2"/>
        <v>1221152.81</v>
      </c>
      <c r="AX18" s="2">
        <f t="shared" si="2"/>
        <v>0</v>
      </c>
      <c r="AY18" s="2">
        <f t="shared" si="2"/>
        <v>1221152.81</v>
      </c>
      <c r="AZ18" s="2">
        <f t="shared" si="2"/>
        <v>0</v>
      </c>
      <c r="BA18" s="2">
        <f t="shared" si="2"/>
        <v>0</v>
      </c>
      <c r="BB18" s="2">
        <f t="shared" si="2"/>
        <v>0</v>
      </c>
      <c r="BC18" s="2">
        <f t="shared" si="2"/>
        <v>0</v>
      </c>
      <c r="BD18" s="2">
        <f t="shared" si="2"/>
        <v>3817.27</v>
      </c>
      <c r="BE18" s="2">
        <f t="shared" si="2"/>
        <v>0</v>
      </c>
      <c r="BF18" s="2">
        <f t="shared" si="2"/>
        <v>0</v>
      </c>
      <c r="BG18" s="2">
        <f t="shared" si="2"/>
        <v>0</v>
      </c>
      <c r="BH18" s="2">
        <f t="shared" si="2"/>
        <v>0</v>
      </c>
      <c r="BI18" s="2">
        <f t="shared" si="2"/>
        <v>0</v>
      </c>
      <c r="BJ18" s="2">
        <f t="shared" si="2"/>
        <v>0</v>
      </c>
      <c r="BK18" s="2">
        <f t="shared" si="2"/>
        <v>0</v>
      </c>
      <c r="BL18" s="2">
        <f t="shared" si="2"/>
        <v>0</v>
      </c>
      <c r="BM18" s="2">
        <f t="shared" si="2"/>
        <v>0</v>
      </c>
      <c r="BN18" s="2">
        <f t="shared" si="2"/>
        <v>0</v>
      </c>
      <c r="BO18" s="2">
        <f t="shared" si="2"/>
        <v>0</v>
      </c>
      <c r="BP18" s="2">
        <f t="shared" si="2"/>
        <v>0</v>
      </c>
      <c r="BQ18" s="2">
        <f t="shared" si="2"/>
        <v>0</v>
      </c>
      <c r="BR18" s="2">
        <f t="shared" si="2"/>
        <v>0</v>
      </c>
      <c r="BS18" s="2">
        <f t="shared" si="2"/>
        <v>0</v>
      </c>
      <c r="BT18" s="2">
        <f t="shared" si="2"/>
        <v>0</v>
      </c>
      <c r="BU18" s="2">
        <f t="shared" si="2"/>
        <v>0</v>
      </c>
      <c r="BV18" s="2">
        <f t="shared" si="2"/>
        <v>0</v>
      </c>
      <c r="BW18" s="2">
        <f t="shared" si="2"/>
        <v>0</v>
      </c>
      <c r="BX18" s="2">
        <f t="shared" si="2"/>
        <v>0</v>
      </c>
      <c r="BY18" s="2">
        <f t="shared" si="2"/>
        <v>0</v>
      </c>
      <c r="BZ18" s="2">
        <f t="shared" si="2"/>
        <v>0</v>
      </c>
      <c r="CA18" s="2">
        <f t="shared" ref="CA18:DF18" si="3">CA357</f>
        <v>0</v>
      </c>
      <c r="CB18" s="2">
        <f t="shared" si="3"/>
        <v>0</v>
      </c>
      <c r="CC18" s="2">
        <f t="shared" si="3"/>
        <v>0</v>
      </c>
      <c r="CD18" s="2">
        <f t="shared" si="3"/>
        <v>0</v>
      </c>
      <c r="CE18" s="2">
        <f t="shared" si="3"/>
        <v>0</v>
      </c>
      <c r="CF18" s="2">
        <f t="shared" si="3"/>
        <v>0</v>
      </c>
      <c r="CG18" s="2">
        <f t="shared" si="3"/>
        <v>0</v>
      </c>
      <c r="CH18" s="2">
        <f t="shared" si="3"/>
        <v>0</v>
      </c>
      <c r="CI18" s="2">
        <f t="shared" si="3"/>
        <v>0</v>
      </c>
      <c r="CJ18" s="2">
        <f t="shared" si="3"/>
        <v>0</v>
      </c>
      <c r="CK18" s="2">
        <f t="shared" si="3"/>
        <v>0</v>
      </c>
      <c r="CL18" s="2">
        <f t="shared" si="3"/>
        <v>0</v>
      </c>
      <c r="CM18" s="2">
        <f t="shared" si="3"/>
        <v>0</v>
      </c>
      <c r="CN18" s="2">
        <f t="shared" si="3"/>
        <v>0</v>
      </c>
      <c r="CO18" s="2">
        <f t="shared" si="3"/>
        <v>0</v>
      </c>
      <c r="CP18" s="2">
        <f t="shared" si="3"/>
        <v>0</v>
      </c>
      <c r="CQ18" s="2">
        <f t="shared" si="3"/>
        <v>0</v>
      </c>
      <c r="CR18" s="2">
        <f t="shared" si="3"/>
        <v>0</v>
      </c>
      <c r="CS18" s="2">
        <f t="shared" si="3"/>
        <v>0</v>
      </c>
      <c r="CT18" s="2">
        <f t="shared" si="3"/>
        <v>0</v>
      </c>
      <c r="CU18" s="2">
        <f t="shared" si="3"/>
        <v>0</v>
      </c>
      <c r="CV18" s="2">
        <f t="shared" si="3"/>
        <v>0</v>
      </c>
      <c r="CW18" s="2">
        <f t="shared" si="3"/>
        <v>0</v>
      </c>
      <c r="CX18" s="2">
        <f t="shared" si="3"/>
        <v>0</v>
      </c>
      <c r="CY18" s="2">
        <f t="shared" si="3"/>
        <v>0</v>
      </c>
      <c r="CZ18" s="2">
        <f t="shared" si="3"/>
        <v>0</v>
      </c>
      <c r="DA18" s="2">
        <f t="shared" si="3"/>
        <v>0</v>
      </c>
      <c r="DB18" s="2">
        <f t="shared" si="3"/>
        <v>0</v>
      </c>
      <c r="DC18" s="2">
        <f t="shared" si="3"/>
        <v>0</v>
      </c>
      <c r="DD18" s="2">
        <f t="shared" si="3"/>
        <v>0</v>
      </c>
      <c r="DE18" s="2">
        <f t="shared" si="3"/>
        <v>0</v>
      </c>
      <c r="DF18" s="2">
        <f t="shared" si="3"/>
        <v>0</v>
      </c>
      <c r="DG18" s="3">
        <f t="shared" ref="DG18:EL18" si="4">DG357</f>
        <v>0</v>
      </c>
      <c r="DH18" s="3">
        <f t="shared" si="4"/>
        <v>0</v>
      </c>
      <c r="DI18" s="3">
        <f t="shared" si="4"/>
        <v>0</v>
      </c>
      <c r="DJ18" s="3">
        <f t="shared" si="4"/>
        <v>0</v>
      </c>
      <c r="DK18" s="3">
        <f t="shared" si="4"/>
        <v>0</v>
      </c>
      <c r="DL18" s="3">
        <f t="shared" si="4"/>
        <v>0</v>
      </c>
      <c r="DM18" s="3">
        <f t="shared" si="4"/>
        <v>0</v>
      </c>
      <c r="DN18" s="3">
        <f t="shared" si="4"/>
        <v>0</v>
      </c>
      <c r="DO18" s="3">
        <f t="shared" si="4"/>
        <v>0</v>
      </c>
      <c r="DP18" s="3">
        <f t="shared" si="4"/>
        <v>0</v>
      </c>
      <c r="DQ18" s="3">
        <f t="shared" si="4"/>
        <v>0</v>
      </c>
      <c r="DR18" s="3">
        <f t="shared" si="4"/>
        <v>0</v>
      </c>
      <c r="DS18" s="3">
        <f t="shared" si="4"/>
        <v>0</v>
      </c>
      <c r="DT18" s="3">
        <f t="shared" si="4"/>
        <v>0</v>
      </c>
      <c r="DU18" s="3">
        <f t="shared" si="4"/>
        <v>0</v>
      </c>
      <c r="DV18" s="3">
        <f t="shared" si="4"/>
        <v>0</v>
      </c>
      <c r="DW18" s="3">
        <f t="shared" si="4"/>
        <v>0</v>
      </c>
      <c r="DX18" s="3">
        <f t="shared" si="4"/>
        <v>0</v>
      </c>
      <c r="DY18" s="3">
        <f t="shared" si="4"/>
        <v>0</v>
      </c>
      <c r="DZ18" s="3">
        <f t="shared" si="4"/>
        <v>0</v>
      </c>
      <c r="EA18" s="3">
        <f t="shared" si="4"/>
        <v>0</v>
      </c>
      <c r="EB18" s="3">
        <f t="shared" si="4"/>
        <v>0</v>
      </c>
      <c r="EC18" s="3">
        <f t="shared" si="4"/>
        <v>0</v>
      </c>
      <c r="ED18" s="3">
        <f t="shared" si="4"/>
        <v>0</v>
      </c>
      <c r="EE18" s="3">
        <f t="shared" si="4"/>
        <v>0</v>
      </c>
      <c r="EF18" s="3">
        <f t="shared" si="4"/>
        <v>0</v>
      </c>
      <c r="EG18" s="3">
        <f t="shared" si="4"/>
        <v>0</v>
      </c>
      <c r="EH18" s="3">
        <f t="shared" si="4"/>
        <v>0</v>
      </c>
      <c r="EI18" s="3">
        <f t="shared" si="4"/>
        <v>0</v>
      </c>
      <c r="EJ18" s="3">
        <f t="shared" si="4"/>
        <v>0</v>
      </c>
      <c r="EK18" s="3">
        <f t="shared" si="4"/>
        <v>0</v>
      </c>
      <c r="EL18" s="3">
        <f t="shared" si="4"/>
        <v>0</v>
      </c>
      <c r="EM18" s="3">
        <f t="shared" ref="EM18:FR18" si="5">EM357</f>
        <v>0</v>
      </c>
      <c r="EN18" s="3">
        <f t="shared" si="5"/>
        <v>0</v>
      </c>
      <c r="EO18" s="3">
        <f t="shared" si="5"/>
        <v>0</v>
      </c>
      <c r="EP18" s="3">
        <f t="shared" si="5"/>
        <v>0</v>
      </c>
      <c r="EQ18" s="3">
        <f t="shared" si="5"/>
        <v>0</v>
      </c>
      <c r="ER18" s="3">
        <f t="shared" si="5"/>
        <v>0</v>
      </c>
      <c r="ES18" s="3">
        <f t="shared" si="5"/>
        <v>0</v>
      </c>
      <c r="ET18" s="3">
        <f t="shared" si="5"/>
        <v>0</v>
      </c>
      <c r="EU18" s="3">
        <f t="shared" si="5"/>
        <v>0</v>
      </c>
      <c r="EV18" s="3">
        <f t="shared" si="5"/>
        <v>0</v>
      </c>
      <c r="EW18" s="3">
        <f t="shared" si="5"/>
        <v>0</v>
      </c>
      <c r="EX18" s="3">
        <f t="shared" si="5"/>
        <v>0</v>
      </c>
      <c r="EY18" s="3">
        <f t="shared" si="5"/>
        <v>0</v>
      </c>
      <c r="EZ18" s="3">
        <f t="shared" si="5"/>
        <v>0</v>
      </c>
      <c r="FA18" s="3">
        <f t="shared" si="5"/>
        <v>0</v>
      </c>
      <c r="FB18" s="3">
        <f t="shared" si="5"/>
        <v>0</v>
      </c>
      <c r="FC18" s="3">
        <f t="shared" si="5"/>
        <v>0</v>
      </c>
      <c r="FD18" s="3">
        <f t="shared" si="5"/>
        <v>0</v>
      </c>
      <c r="FE18" s="3">
        <f t="shared" si="5"/>
        <v>0</v>
      </c>
      <c r="FF18" s="3">
        <f t="shared" si="5"/>
        <v>0</v>
      </c>
      <c r="FG18" s="3">
        <f t="shared" si="5"/>
        <v>0</v>
      </c>
      <c r="FH18" s="3">
        <f t="shared" si="5"/>
        <v>0</v>
      </c>
      <c r="FI18" s="3">
        <f t="shared" si="5"/>
        <v>0</v>
      </c>
      <c r="FJ18" s="3">
        <f t="shared" si="5"/>
        <v>0</v>
      </c>
      <c r="FK18" s="3">
        <f t="shared" si="5"/>
        <v>0</v>
      </c>
      <c r="FL18" s="3">
        <f t="shared" si="5"/>
        <v>0</v>
      </c>
      <c r="FM18" s="3">
        <f t="shared" si="5"/>
        <v>0</v>
      </c>
      <c r="FN18" s="3">
        <f t="shared" si="5"/>
        <v>0</v>
      </c>
      <c r="FO18" s="3">
        <f t="shared" si="5"/>
        <v>0</v>
      </c>
      <c r="FP18" s="3">
        <f t="shared" si="5"/>
        <v>0</v>
      </c>
      <c r="FQ18" s="3">
        <f t="shared" si="5"/>
        <v>0</v>
      </c>
      <c r="FR18" s="3">
        <f t="shared" si="5"/>
        <v>0</v>
      </c>
      <c r="FS18" s="3">
        <f t="shared" ref="FS18:GX18" si="6">FS357</f>
        <v>0</v>
      </c>
      <c r="FT18" s="3">
        <f t="shared" si="6"/>
        <v>0</v>
      </c>
      <c r="FU18" s="3">
        <f t="shared" si="6"/>
        <v>0</v>
      </c>
      <c r="FV18" s="3">
        <f t="shared" si="6"/>
        <v>0</v>
      </c>
      <c r="FW18" s="3">
        <f t="shared" si="6"/>
        <v>0</v>
      </c>
      <c r="FX18" s="3">
        <f t="shared" si="6"/>
        <v>0</v>
      </c>
      <c r="FY18" s="3">
        <f t="shared" si="6"/>
        <v>0</v>
      </c>
      <c r="FZ18" s="3">
        <f t="shared" si="6"/>
        <v>0</v>
      </c>
      <c r="GA18" s="3">
        <f t="shared" si="6"/>
        <v>0</v>
      </c>
      <c r="GB18" s="3">
        <f t="shared" si="6"/>
        <v>0</v>
      </c>
      <c r="GC18" s="3">
        <f t="shared" si="6"/>
        <v>0</v>
      </c>
      <c r="GD18" s="3">
        <f t="shared" si="6"/>
        <v>0</v>
      </c>
      <c r="GE18" s="3">
        <f t="shared" si="6"/>
        <v>0</v>
      </c>
      <c r="GF18" s="3">
        <f t="shared" si="6"/>
        <v>0</v>
      </c>
      <c r="GG18" s="3">
        <f t="shared" si="6"/>
        <v>0</v>
      </c>
      <c r="GH18" s="3">
        <f t="shared" si="6"/>
        <v>0</v>
      </c>
      <c r="GI18" s="3">
        <f t="shared" si="6"/>
        <v>0</v>
      </c>
      <c r="GJ18" s="3">
        <f t="shared" si="6"/>
        <v>0</v>
      </c>
      <c r="GK18" s="3">
        <f t="shared" si="6"/>
        <v>0</v>
      </c>
      <c r="GL18" s="3">
        <f t="shared" si="6"/>
        <v>0</v>
      </c>
      <c r="GM18" s="3">
        <f t="shared" si="6"/>
        <v>0</v>
      </c>
      <c r="GN18" s="3">
        <f t="shared" si="6"/>
        <v>0</v>
      </c>
      <c r="GO18" s="3">
        <f t="shared" si="6"/>
        <v>0</v>
      </c>
      <c r="GP18" s="3">
        <f t="shared" si="6"/>
        <v>0</v>
      </c>
      <c r="GQ18" s="3">
        <f t="shared" si="6"/>
        <v>0</v>
      </c>
      <c r="GR18" s="3">
        <f t="shared" si="6"/>
        <v>0</v>
      </c>
      <c r="GS18" s="3">
        <f t="shared" si="6"/>
        <v>0</v>
      </c>
      <c r="GT18" s="3">
        <f t="shared" si="6"/>
        <v>0</v>
      </c>
      <c r="GU18" s="3">
        <f t="shared" si="6"/>
        <v>0</v>
      </c>
      <c r="GV18" s="3">
        <f t="shared" si="6"/>
        <v>0</v>
      </c>
      <c r="GW18" s="3">
        <f t="shared" si="6"/>
        <v>0</v>
      </c>
      <c r="GX18" s="3">
        <f t="shared" si="6"/>
        <v>0</v>
      </c>
    </row>
    <row r="20" spans="1:245">
      <c r="A20" s="1">
        <v>3</v>
      </c>
      <c r="B20" s="1">
        <v>1</v>
      </c>
      <c r="C20" s="1"/>
      <c r="D20" s="1">
        <f>ROW(A324)</f>
        <v>324</v>
      </c>
      <c r="E20" s="1"/>
      <c r="F20" s="1" t="s">
        <v>15</v>
      </c>
      <c r="G20" s="1" t="s">
        <v>16</v>
      </c>
      <c r="H20" s="1" t="s">
        <v>6</v>
      </c>
      <c r="I20" s="1">
        <v>0</v>
      </c>
      <c r="J20" s="1" t="s">
        <v>6</v>
      </c>
      <c r="K20" s="1">
        <v>0</v>
      </c>
      <c r="L20" s="1" t="s">
        <v>6</v>
      </c>
      <c r="M20" s="1" t="s">
        <v>6</v>
      </c>
      <c r="N20" s="1"/>
      <c r="O20" s="1"/>
      <c r="P20" s="1"/>
      <c r="Q20" s="1"/>
      <c r="R20" s="1"/>
      <c r="S20" s="1">
        <v>31028413</v>
      </c>
      <c r="T20" s="1"/>
      <c r="U20" s="1" t="s">
        <v>6</v>
      </c>
      <c r="V20" s="1">
        <v>0</v>
      </c>
      <c r="W20" s="1"/>
      <c r="X20" s="1"/>
      <c r="Y20" s="1"/>
      <c r="Z20" s="1"/>
      <c r="AA20" s="1"/>
      <c r="AB20" s="1" t="s">
        <v>6</v>
      </c>
      <c r="AC20" s="1" t="s">
        <v>6</v>
      </c>
      <c r="AD20" s="1" t="s">
        <v>6</v>
      </c>
      <c r="AE20" s="1" t="s">
        <v>6</v>
      </c>
      <c r="AF20" s="1" t="s">
        <v>6</v>
      </c>
      <c r="AG20" s="1" t="s">
        <v>6</v>
      </c>
      <c r="AH20" s="1"/>
      <c r="AI20" s="1"/>
      <c r="AJ20" s="1"/>
      <c r="AK20" s="1"/>
      <c r="AL20" s="1"/>
      <c r="AM20" s="1"/>
      <c r="AN20" s="1"/>
      <c r="AO20" s="1"/>
      <c r="AP20" s="1" t="s">
        <v>6</v>
      </c>
      <c r="AQ20" s="1" t="s">
        <v>6</v>
      </c>
      <c r="AR20" s="1" t="s">
        <v>6</v>
      </c>
      <c r="AS20" s="1"/>
      <c r="AT20" s="1"/>
      <c r="AU20" s="1"/>
      <c r="AV20" s="1"/>
      <c r="AW20" s="1"/>
      <c r="AX20" s="1"/>
      <c r="AY20" s="1"/>
      <c r="AZ20" s="1" t="s">
        <v>6</v>
      </c>
      <c r="BA20" s="1"/>
      <c r="BB20" s="1" t="s">
        <v>6</v>
      </c>
      <c r="BC20" s="1" t="s">
        <v>6</v>
      </c>
      <c r="BD20" s="1" t="s">
        <v>6</v>
      </c>
      <c r="BE20" s="1" t="s">
        <v>6</v>
      </c>
      <c r="BF20" s="1" t="s">
        <v>6</v>
      </c>
      <c r="BG20" s="1" t="s">
        <v>6</v>
      </c>
      <c r="BH20" s="1" t="s">
        <v>6</v>
      </c>
      <c r="BI20" s="1" t="s">
        <v>6</v>
      </c>
      <c r="BJ20" s="1" t="s">
        <v>6</v>
      </c>
      <c r="BK20" s="1" t="s">
        <v>6</v>
      </c>
      <c r="BL20" s="1" t="s">
        <v>6</v>
      </c>
      <c r="BM20" s="1" t="s">
        <v>6</v>
      </c>
      <c r="BN20" s="1" t="s">
        <v>6</v>
      </c>
      <c r="BO20" s="1" t="s">
        <v>6</v>
      </c>
      <c r="BP20" s="1" t="s">
        <v>6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6</v>
      </c>
      <c r="CJ20" s="1" t="s">
        <v>6</v>
      </c>
      <c r="CK20" t="s">
        <v>6</v>
      </c>
      <c r="CL20" t="s">
        <v>6</v>
      </c>
      <c r="CM20" t="s">
        <v>6</v>
      </c>
      <c r="CN20" t="s">
        <v>6</v>
      </c>
      <c r="CO20" t="s">
        <v>6</v>
      </c>
      <c r="CP20" t="s">
        <v>6</v>
      </c>
      <c r="CQ20" t="s">
        <v>6</v>
      </c>
    </row>
    <row r="22" spans="1:245">
      <c r="A22" s="2">
        <v>52</v>
      </c>
      <c r="B22" s="2">
        <f t="shared" ref="B22:G22" si="7">B324</f>
        <v>1</v>
      </c>
      <c r="C22" s="2">
        <f t="shared" si="7"/>
        <v>3</v>
      </c>
      <c r="D22" s="2">
        <f t="shared" si="7"/>
        <v>20</v>
      </c>
      <c r="E22" s="2">
        <f t="shared" si="7"/>
        <v>0</v>
      </c>
      <c r="F22" s="2" t="str">
        <f t="shared" si="7"/>
        <v>Новая локальная смета</v>
      </c>
      <c r="G22" s="2" t="str">
        <f t="shared" si="7"/>
        <v>Выявленный объект культурного наследия "Здание рабочей казармы Берговской мануфактуры, 1908г", по адресу: г.Тверь, ул.Спартака, д.45, корп.1</v>
      </c>
      <c r="H22" s="2"/>
      <c r="I22" s="2"/>
      <c r="J22" s="2"/>
      <c r="K22" s="2"/>
      <c r="L22" s="2"/>
      <c r="M22" s="2"/>
      <c r="N22" s="2"/>
      <c r="O22" s="2">
        <f t="shared" ref="O22:AT22" si="8">O324</f>
        <v>1323732.72</v>
      </c>
      <c r="P22" s="2">
        <f t="shared" si="8"/>
        <v>1221152.81</v>
      </c>
      <c r="Q22" s="2">
        <f t="shared" si="8"/>
        <v>27885.51</v>
      </c>
      <c r="R22" s="2">
        <f t="shared" si="8"/>
        <v>3438.11</v>
      </c>
      <c r="S22" s="2">
        <f t="shared" si="8"/>
        <v>74694.399999999994</v>
      </c>
      <c r="T22" s="2">
        <f t="shared" si="8"/>
        <v>0</v>
      </c>
      <c r="U22" s="2">
        <f t="shared" si="8"/>
        <v>8541.0682726100003</v>
      </c>
      <c r="V22" s="2">
        <f t="shared" si="8"/>
        <v>286.20145187499998</v>
      </c>
      <c r="W22" s="2">
        <f t="shared" si="8"/>
        <v>0</v>
      </c>
      <c r="X22" s="2">
        <f t="shared" si="8"/>
        <v>75587.100000000006</v>
      </c>
      <c r="Y22" s="2">
        <f t="shared" si="8"/>
        <v>42668.11</v>
      </c>
      <c r="Z22" s="2">
        <f t="shared" si="8"/>
        <v>0</v>
      </c>
      <c r="AA22" s="2">
        <f t="shared" si="8"/>
        <v>0</v>
      </c>
      <c r="AB22" s="2">
        <f t="shared" si="8"/>
        <v>0</v>
      </c>
      <c r="AC22" s="2">
        <f t="shared" si="8"/>
        <v>0</v>
      </c>
      <c r="AD22" s="2">
        <f t="shared" si="8"/>
        <v>0</v>
      </c>
      <c r="AE22" s="2">
        <f t="shared" si="8"/>
        <v>0</v>
      </c>
      <c r="AF22" s="2">
        <f t="shared" si="8"/>
        <v>0</v>
      </c>
      <c r="AG22" s="2">
        <f t="shared" si="8"/>
        <v>0</v>
      </c>
      <c r="AH22" s="2">
        <f t="shared" si="8"/>
        <v>0</v>
      </c>
      <c r="AI22" s="2">
        <f t="shared" si="8"/>
        <v>0</v>
      </c>
      <c r="AJ22" s="2">
        <f t="shared" si="8"/>
        <v>0</v>
      </c>
      <c r="AK22" s="2">
        <f t="shared" si="8"/>
        <v>0</v>
      </c>
      <c r="AL22" s="2">
        <f t="shared" si="8"/>
        <v>0</v>
      </c>
      <c r="AM22" s="2">
        <f t="shared" si="8"/>
        <v>0</v>
      </c>
      <c r="AN22" s="2">
        <f t="shared" si="8"/>
        <v>0</v>
      </c>
      <c r="AO22" s="2">
        <f t="shared" si="8"/>
        <v>0</v>
      </c>
      <c r="AP22" s="2">
        <f t="shared" si="8"/>
        <v>0</v>
      </c>
      <c r="AQ22" s="2">
        <f t="shared" si="8"/>
        <v>0</v>
      </c>
      <c r="AR22" s="2">
        <f t="shared" si="8"/>
        <v>1441987.93</v>
      </c>
      <c r="AS22" s="2">
        <f t="shared" si="8"/>
        <v>1423955.45</v>
      </c>
      <c r="AT22" s="2">
        <f t="shared" si="8"/>
        <v>18032.48</v>
      </c>
      <c r="AU22" s="2">
        <f t="shared" ref="AU22:BZ22" si="9">AU324</f>
        <v>0</v>
      </c>
      <c r="AV22" s="2">
        <f t="shared" si="9"/>
        <v>1221152.81</v>
      </c>
      <c r="AW22" s="2">
        <f t="shared" si="9"/>
        <v>1221152.81</v>
      </c>
      <c r="AX22" s="2">
        <f t="shared" si="9"/>
        <v>0</v>
      </c>
      <c r="AY22" s="2">
        <f t="shared" si="9"/>
        <v>1221152.81</v>
      </c>
      <c r="AZ22" s="2">
        <f t="shared" si="9"/>
        <v>0</v>
      </c>
      <c r="BA22" s="2">
        <f t="shared" si="9"/>
        <v>0</v>
      </c>
      <c r="BB22" s="2">
        <f t="shared" si="9"/>
        <v>0</v>
      </c>
      <c r="BC22" s="2">
        <f t="shared" si="9"/>
        <v>0</v>
      </c>
      <c r="BD22" s="2">
        <f t="shared" si="9"/>
        <v>3817.27</v>
      </c>
      <c r="BE22" s="2">
        <f t="shared" si="9"/>
        <v>0</v>
      </c>
      <c r="BF22" s="2">
        <f t="shared" si="9"/>
        <v>0</v>
      </c>
      <c r="BG22" s="2">
        <f t="shared" si="9"/>
        <v>0</v>
      </c>
      <c r="BH22" s="2">
        <f t="shared" si="9"/>
        <v>0</v>
      </c>
      <c r="BI22" s="2">
        <f t="shared" si="9"/>
        <v>0</v>
      </c>
      <c r="BJ22" s="2">
        <f t="shared" si="9"/>
        <v>0</v>
      </c>
      <c r="BK22" s="2">
        <f t="shared" si="9"/>
        <v>0</v>
      </c>
      <c r="BL22" s="2">
        <f t="shared" si="9"/>
        <v>0</v>
      </c>
      <c r="BM22" s="2">
        <f t="shared" si="9"/>
        <v>0</v>
      </c>
      <c r="BN22" s="2">
        <f t="shared" si="9"/>
        <v>0</v>
      </c>
      <c r="BO22" s="2">
        <f t="shared" si="9"/>
        <v>0</v>
      </c>
      <c r="BP22" s="2">
        <f t="shared" si="9"/>
        <v>0</v>
      </c>
      <c r="BQ22" s="2">
        <f t="shared" si="9"/>
        <v>0</v>
      </c>
      <c r="BR22" s="2">
        <f t="shared" si="9"/>
        <v>0</v>
      </c>
      <c r="BS22" s="2">
        <f t="shared" si="9"/>
        <v>0</v>
      </c>
      <c r="BT22" s="2">
        <f t="shared" si="9"/>
        <v>0</v>
      </c>
      <c r="BU22" s="2">
        <f t="shared" si="9"/>
        <v>0</v>
      </c>
      <c r="BV22" s="2">
        <f t="shared" si="9"/>
        <v>0</v>
      </c>
      <c r="BW22" s="2">
        <f t="shared" si="9"/>
        <v>0</v>
      </c>
      <c r="BX22" s="2">
        <f t="shared" si="9"/>
        <v>0</v>
      </c>
      <c r="BY22" s="2">
        <f t="shared" si="9"/>
        <v>0</v>
      </c>
      <c r="BZ22" s="2">
        <f t="shared" si="9"/>
        <v>0</v>
      </c>
      <c r="CA22" s="2">
        <f t="shared" ref="CA22:DF22" si="10">CA324</f>
        <v>0</v>
      </c>
      <c r="CB22" s="2">
        <f t="shared" si="10"/>
        <v>0</v>
      </c>
      <c r="CC22" s="2">
        <f t="shared" si="10"/>
        <v>0</v>
      </c>
      <c r="CD22" s="2">
        <f t="shared" si="10"/>
        <v>0</v>
      </c>
      <c r="CE22" s="2">
        <f t="shared" si="10"/>
        <v>0</v>
      </c>
      <c r="CF22" s="2">
        <f t="shared" si="10"/>
        <v>0</v>
      </c>
      <c r="CG22" s="2">
        <f t="shared" si="10"/>
        <v>0</v>
      </c>
      <c r="CH22" s="2">
        <f t="shared" si="10"/>
        <v>0</v>
      </c>
      <c r="CI22" s="2">
        <f t="shared" si="10"/>
        <v>0</v>
      </c>
      <c r="CJ22" s="2">
        <f t="shared" si="10"/>
        <v>0</v>
      </c>
      <c r="CK22" s="2">
        <f t="shared" si="10"/>
        <v>0</v>
      </c>
      <c r="CL22" s="2">
        <f t="shared" si="10"/>
        <v>0</v>
      </c>
      <c r="CM22" s="2">
        <f t="shared" si="10"/>
        <v>0</v>
      </c>
      <c r="CN22" s="2">
        <f t="shared" si="10"/>
        <v>0</v>
      </c>
      <c r="CO22" s="2">
        <f t="shared" si="10"/>
        <v>0</v>
      </c>
      <c r="CP22" s="2">
        <f t="shared" si="10"/>
        <v>0</v>
      </c>
      <c r="CQ22" s="2">
        <f t="shared" si="10"/>
        <v>0</v>
      </c>
      <c r="CR22" s="2">
        <f t="shared" si="10"/>
        <v>0</v>
      </c>
      <c r="CS22" s="2">
        <f t="shared" si="10"/>
        <v>0</v>
      </c>
      <c r="CT22" s="2">
        <f t="shared" si="10"/>
        <v>0</v>
      </c>
      <c r="CU22" s="2">
        <f t="shared" si="10"/>
        <v>0</v>
      </c>
      <c r="CV22" s="2">
        <f t="shared" si="10"/>
        <v>0</v>
      </c>
      <c r="CW22" s="2">
        <f t="shared" si="10"/>
        <v>0</v>
      </c>
      <c r="CX22" s="2">
        <f t="shared" si="10"/>
        <v>0</v>
      </c>
      <c r="CY22" s="2">
        <f t="shared" si="10"/>
        <v>0</v>
      </c>
      <c r="CZ22" s="2">
        <f t="shared" si="10"/>
        <v>0</v>
      </c>
      <c r="DA22" s="2">
        <f t="shared" si="10"/>
        <v>0</v>
      </c>
      <c r="DB22" s="2">
        <f t="shared" si="10"/>
        <v>0</v>
      </c>
      <c r="DC22" s="2">
        <f t="shared" si="10"/>
        <v>0</v>
      </c>
      <c r="DD22" s="2">
        <f t="shared" si="10"/>
        <v>0</v>
      </c>
      <c r="DE22" s="2">
        <f t="shared" si="10"/>
        <v>0</v>
      </c>
      <c r="DF22" s="2">
        <f t="shared" si="10"/>
        <v>0</v>
      </c>
      <c r="DG22" s="3">
        <f t="shared" ref="DG22:EL22" si="11">DG324</f>
        <v>0</v>
      </c>
      <c r="DH22" s="3">
        <f t="shared" si="11"/>
        <v>0</v>
      </c>
      <c r="DI22" s="3">
        <f t="shared" si="11"/>
        <v>0</v>
      </c>
      <c r="DJ22" s="3">
        <f t="shared" si="11"/>
        <v>0</v>
      </c>
      <c r="DK22" s="3">
        <f t="shared" si="11"/>
        <v>0</v>
      </c>
      <c r="DL22" s="3">
        <f t="shared" si="11"/>
        <v>0</v>
      </c>
      <c r="DM22" s="3">
        <f t="shared" si="11"/>
        <v>0</v>
      </c>
      <c r="DN22" s="3">
        <f t="shared" si="11"/>
        <v>0</v>
      </c>
      <c r="DO22" s="3">
        <f t="shared" si="11"/>
        <v>0</v>
      </c>
      <c r="DP22" s="3">
        <f t="shared" si="11"/>
        <v>0</v>
      </c>
      <c r="DQ22" s="3">
        <f t="shared" si="11"/>
        <v>0</v>
      </c>
      <c r="DR22" s="3">
        <f t="shared" si="11"/>
        <v>0</v>
      </c>
      <c r="DS22" s="3">
        <f t="shared" si="11"/>
        <v>0</v>
      </c>
      <c r="DT22" s="3">
        <f t="shared" si="11"/>
        <v>0</v>
      </c>
      <c r="DU22" s="3">
        <f t="shared" si="11"/>
        <v>0</v>
      </c>
      <c r="DV22" s="3">
        <f t="shared" si="11"/>
        <v>0</v>
      </c>
      <c r="DW22" s="3">
        <f t="shared" si="11"/>
        <v>0</v>
      </c>
      <c r="DX22" s="3">
        <f t="shared" si="11"/>
        <v>0</v>
      </c>
      <c r="DY22" s="3">
        <f t="shared" si="11"/>
        <v>0</v>
      </c>
      <c r="DZ22" s="3">
        <f t="shared" si="11"/>
        <v>0</v>
      </c>
      <c r="EA22" s="3">
        <f t="shared" si="11"/>
        <v>0</v>
      </c>
      <c r="EB22" s="3">
        <f t="shared" si="11"/>
        <v>0</v>
      </c>
      <c r="EC22" s="3">
        <f t="shared" si="11"/>
        <v>0</v>
      </c>
      <c r="ED22" s="3">
        <f t="shared" si="11"/>
        <v>0</v>
      </c>
      <c r="EE22" s="3">
        <f t="shared" si="11"/>
        <v>0</v>
      </c>
      <c r="EF22" s="3">
        <f t="shared" si="11"/>
        <v>0</v>
      </c>
      <c r="EG22" s="3">
        <f t="shared" si="11"/>
        <v>0</v>
      </c>
      <c r="EH22" s="3">
        <f t="shared" si="11"/>
        <v>0</v>
      </c>
      <c r="EI22" s="3">
        <f t="shared" si="11"/>
        <v>0</v>
      </c>
      <c r="EJ22" s="3">
        <f t="shared" si="11"/>
        <v>0</v>
      </c>
      <c r="EK22" s="3">
        <f t="shared" si="11"/>
        <v>0</v>
      </c>
      <c r="EL22" s="3">
        <f t="shared" si="11"/>
        <v>0</v>
      </c>
      <c r="EM22" s="3">
        <f t="shared" ref="EM22:FR22" si="12">EM324</f>
        <v>0</v>
      </c>
      <c r="EN22" s="3">
        <f t="shared" si="12"/>
        <v>0</v>
      </c>
      <c r="EO22" s="3">
        <f t="shared" si="12"/>
        <v>0</v>
      </c>
      <c r="EP22" s="3">
        <f t="shared" si="12"/>
        <v>0</v>
      </c>
      <c r="EQ22" s="3">
        <f t="shared" si="12"/>
        <v>0</v>
      </c>
      <c r="ER22" s="3">
        <f t="shared" si="12"/>
        <v>0</v>
      </c>
      <c r="ES22" s="3">
        <f t="shared" si="12"/>
        <v>0</v>
      </c>
      <c r="ET22" s="3">
        <f t="shared" si="12"/>
        <v>0</v>
      </c>
      <c r="EU22" s="3">
        <f t="shared" si="12"/>
        <v>0</v>
      </c>
      <c r="EV22" s="3">
        <f t="shared" si="12"/>
        <v>0</v>
      </c>
      <c r="EW22" s="3">
        <f t="shared" si="12"/>
        <v>0</v>
      </c>
      <c r="EX22" s="3">
        <f t="shared" si="12"/>
        <v>0</v>
      </c>
      <c r="EY22" s="3">
        <f t="shared" si="12"/>
        <v>0</v>
      </c>
      <c r="EZ22" s="3">
        <f t="shared" si="12"/>
        <v>0</v>
      </c>
      <c r="FA22" s="3">
        <f t="shared" si="12"/>
        <v>0</v>
      </c>
      <c r="FB22" s="3">
        <f t="shared" si="12"/>
        <v>0</v>
      </c>
      <c r="FC22" s="3">
        <f t="shared" si="12"/>
        <v>0</v>
      </c>
      <c r="FD22" s="3">
        <f t="shared" si="12"/>
        <v>0</v>
      </c>
      <c r="FE22" s="3">
        <f t="shared" si="12"/>
        <v>0</v>
      </c>
      <c r="FF22" s="3">
        <f t="shared" si="12"/>
        <v>0</v>
      </c>
      <c r="FG22" s="3">
        <f t="shared" si="12"/>
        <v>0</v>
      </c>
      <c r="FH22" s="3">
        <f t="shared" si="12"/>
        <v>0</v>
      </c>
      <c r="FI22" s="3">
        <f t="shared" si="12"/>
        <v>0</v>
      </c>
      <c r="FJ22" s="3">
        <f t="shared" si="12"/>
        <v>0</v>
      </c>
      <c r="FK22" s="3">
        <f t="shared" si="12"/>
        <v>0</v>
      </c>
      <c r="FL22" s="3">
        <f t="shared" si="12"/>
        <v>0</v>
      </c>
      <c r="FM22" s="3">
        <f t="shared" si="12"/>
        <v>0</v>
      </c>
      <c r="FN22" s="3">
        <f t="shared" si="12"/>
        <v>0</v>
      </c>
      <c r="FO22" s="3">
        <f t="shared" si="12"/>
        <v>0</v>
      </c>
      <c r="FP22" s="3">
        <f t="shared" si="12"/>
        <v>0</v>
      </c>
      <c r="FQ22" s="3">
        <f t="shared" si="12"/>
        <v>0</v>
      </c>
      <c r="FR22" s="3">
        <f t="shared" si="12"/>
        <v>0</v>
      </c>
      <c r="FS22" s="3">
        <f t="shared" ref="FS22:GX22" si="13">FS324</f>
        <v>0</v>
      </c>
      <c r="FT22" s="3">
        <f t="shared" si="13"/>
        <v>0</v>
      </c>
      <c r="FU22" s="3">
        <f t="shared" si="13"/>
        <v>0</v>
      </c>
      <c r="FV22" s="3">
        <f t="shared" si="13"/>
        <v>0</v>
      </c>
      <c r="FW22" s="3">
        <f t="shared" si="13"/>
        <v>0</v>
      </c>
      <c r="FX22" s="3">
        <f t="shared" si="13"/>
        <v>0</v>
      </c>
      <c r="FY22" s="3">
        <f t="shared" si="13"/>
        <v>0</v>
      </c>
      <c r="FZ22" s="3">
        <f t="shared" si="13"/>
        <v>0</v>
      </c>
      <c r="GA22" s="3">
        <f t="shared" si="13"/>
        <v>0</v>
      </c>
      <c r="GB22" s="3">
        <f t="shared" si="13"/>
        <v>0</v>
      </c>
      <c r="GC22" s="3">
        <f t="shared" si="13"/>
        <v>0</v>
      </c>
      <c r="GD22" s="3">
        <f t="shared" si="13"/>
        <v>0</v>
      </c>
      <c r="GE22" s="3">
        <f t="shared" si="13"/>
        <v>0</v>
      </c>
      <c r="GF22" s="3">
        <f t="shared" si="13"/>
        <v>0</v>
      </c>
      <c r="GG22" s="3">
        <f t="shared" si="13"/>
        <v>0</v>
      </c>
      <c r="GH22" s="3">
        <f t="shared" si="13"/>
        <v>0</v>
      </c>
      <c r="GI22" s="3">
        <f t="shared" si="13"/>
        <v>0</v>
      </c>
      <c r="GJ22" s="3">
        <f t="shared" si="13"/>
        <v>0</v>
      </c>
      <c r="GK22" s="3">
        <f t="shared" si="13"/>
        <v>0</v>
      </c>
      <c r="GL22" s="3">
        <f t="shared" si="13"/>
        <v>0</v>
      </c>
      <c r="GM22" s="3">
        <f t="shared" si="13"/>
        <v>0</v>
      </c>
      <c r="GN22" s="3">
        <f t="shared" si="13"/>
        <v>0</v>
      </c>
      <c r="GO22" s="3">
        <f t="shared" si="13"/>
        <v>0</v>
      </c>
      <c r="GP22" s="3">
        <f t="shared" si="13"/>
        <v>0</v>
      </c>
      <c r="GQ22" s="3">
        <f t="shared" si="13"/>
        <v>0</v>
      </c>
      <c r="GR22" s="3">
        <f t="shared" si="13"/>
        <v>0</v>
      </c>
      <c r="GS22" s="3">
        <f t="shared" si="13"/>
        <v>0</v>
      </c>
      <c r="GT22" s="3">
        <f t="shared" si="13"/>
        <v>0</v>
      </c>
      <c r="GU22" s="3">
        <f t="shared" si="13"/>
        <v>0</v>
      </c>
      <c r="GV22" s="3">
        <f t="shared" si="13"/>
        <v>0</v>
      </c>
      <c r="GW22" s="3">
        <f t="shared" si="13"/>
        <v>0</v>
      </c>
      <c r="GX22" s="3">
        <f t="shared" si="13"/>
        <v>0</v>
      </c>
    </row>
    <row r="24" spans="1:245">
      <c r="A24" s="1">
        <v>4</v>
      </c>
      <c r="B24" s="1">
        <v>1</v>
      </c>
      <c r="C24" s="1"/>
      <c r="D24" s="1">
        <f>ROW(A31)</f>
        <v>31</v>
      </c>
      <c r="E24" s="1"/>
      <c r="F24" s="1" t="s">
        <v>17</v>
      </c>
      <c r="G24" s="1" t="s">
        <v>18</v>
      </c>
      <c r="H24" s="1" t="s">
        <v>6</v>
      </c>
      <c r="I24" s="1">
        <v>0</v>
      </c>
      <c r="J24" s="1"/>
      <c r="K24" s="1">
        <v>-1</v>
      </c>
      <c r="L24" s="1"/>
      <c r="M24" s="1" t="s">
        <v>6</v>
      </c>
      <c r="N24" s="1"/>
      <c r="O24" s="1"/>
      <c r="P24" s="1"/>
      <c r="Q24" s="1"/>
      <c r="R24" s="1"/>
      <c r="S24" s="1">
        <v>31028413</v>
      </c>
      <c r="T24" s="1"/>
      <c r="U24" s="1" t="s">
        <v>6</v>
      </c>
      <c r="V24" s="1">
        <v>0</v>
      </c>
      <c r="W24" s="1"/>
      <c r="X24" s="1"/>
      <c r="Y24" s="1"/>
      <c r="Z24" s="1"/>
      <c r="AA24" s="1"/>
      <c r="AB24" s="1" t="s">
        <v>6</v>
      </c>
      <c r="AC24" s="1" t="s">
        <v>6</v>
      </c>
      <c r="AD24" s="1" t="s">
        <v>6</v>
      </c>
      <c r="AE24" s="1" t="s">
        <v>6</v>
      </c>
      <c r="AF24" s="1" t="s">
        <v>6</v>
      </c>
      <c r="AG24" s="1" t="s">
        <v>6</v>
      </c>
      <c r="AH24" s="1"/>
      <c r="AI24" s="1"/>
      <c r="AJ24" s="1"/>
      <c r="AK24" s="1"/>
      <c r="AL24" s="1"/>
      <c r="AM24" s="1"/>
      <c r="AN24" s="1"/>
      <c r="AO24" s="1"/>
      <c r="AP24" s="1" t="s">
        <v>6</v>
      </c>
      <c r="AQ24" s="1" t="s">
        <v>6</v>
      </c>
      <c r="AR24" s="1" t="s">
        <v>6</v>
      </c>
      <c r="AS24" s="1"/>
      <c r="AT24" s="1"/>
      <c r="AU24" s="1"/>
      <c r="AV24" s="1"/>
      <c r="AW24" s="1"/>
      <c r="AX24" s="1"/>
      <c r="AY24" s="1"/>
      <c r="AZ24" s="1" t="s">
        <v>6</v>
      </c>
      <c r="BA24" s="1"/>
      <c r="BB24" s="1" t="s">
        <v>6</v>
      </c>
      <c r="BC24" s="1" t="s">
        <v>6</v>
      </c>
      <c r="BD24" s="1" t="s">
        <v>6</v>
      </c>
      <c r="BE24" s="1" t="s">
        <v>6</v>
      </c>
      <c r="BF24" s="1" t="s">
        <v>6</v>
      </c>
      <c r="BG24" s="1" t="s">
        <v>6</v>
      </c>
      <c r="BH24" s="1" t="s">
        <v>6</v>
      </c>
      <c r="BI24" s="1" t="s">
        <v>6</v>
      </c>
      <c r="BJ24" s="1" t="s">
        <v>6</v>
      </c>
      <c r="BK24" s="1" t="s">
        <v>6</v>
      </c>
      <c r="BL24" s="1" t="s">
        <v>6</v>
      </c>
      <c r="BM24" s="1" t="s">
        <v>6</v>
      </c>
      <c r="BN24" s="1" t="s">
        <v>6</v>
      </c>
      <c r="BO24" s="1" t="s">
        <v>6</v>
      </c>
      <c r="BP24" s="1" t="s">
        <v>6</v>
      </c>
      <c r="BQ24" s="1"/>
      <c r="BR24" s="1"/>
      <c r="BS24" s="1"/>
      <c r="BT24" s="1"/>
      <c r="BU24" s="1"/>
      <c r="BV24" s="1"/>
      <c r="BW24" s="1"/>
      <c r="BX24" s="1">
        <v>0</v>
      </c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>
        <v>0</v>
      </c>
    </row>
    <row r="26" spans="1:245">
      <c r="A26" s="2">
        <v>52</v>
      </c>
      <c r="B26" s="2">
        <f t="shared" ref="B26:G26" si="14">B31</f>
        <v>1</v>
      </c>
      <c r="C26" s="2">
        <f t="shared" si="14"/>
        <v>4</v>
      </c>
      <c r="D26" s="2">
        <f t="shared" si="14"/>
        <v>24</v>
      </c>
      <c r="E26" s="2">
        <f t="shared" si="14"/>
        <v>0</v>
      </c>
      <c r="F26" s="2" t="str">
        <f t="shared" si="14"/>
        <v>Новый раздел</v>
      </c>
      <c r="G26" s="2" t="str">
        <f t="shared" si="14"/>
        <v>Демонтажные работы. Ремонт фасада</v>
      </c>
      <c r="H26" s="2"/>
      <c r="I26" s="2"/>
      <c r="J26" s="2"/>
      <c r="K26" s="2"/>
      <c r="L26" s="2"/>
      <c r="M26" s="2"/>
      <c r="N26" s="2"/>
      <c r="O26" s="2">
        <f t="shared" ref="O26:AT26" si="15">O31</f>
        <v>866.43</v>
      </c>
      <c r="P26" s="2">
        <f t="shared" si="15"/>
        <v>0</v>
      </c>
      <c r="Q26" s="2">
        <f t="shared" si="15"/>
        <v>312.70999999999998</v>
      </c>
      <c r="R26" s="2">
        <f t="shared" si="15"/>
        <v>27.71</v>
      </c>
      <c r="S26" s="2">
        <f t="shared" si="15"/>
        <v>553.72</v>
      </c>
      <c r="T26" s="2">
        <f t="shared" si="15"/>
        <v>0</v>
      </c>
      <c r="U26" s="2">
        <f t="shared" si="15"/>
        <v>64.823126400000007</v>
      </c>
      <c r="V26" s="2">
        <f t="shared" si="15"/>
        <v>2.12639508</v>
      </c>
      <c r="W26" s="2">
        <f t="shared" si="15"/>
        <v>0</v>
      </c>
      <c r="X26" s="2">
        <f t="shared" si="15"/>
        <v>564.88</v>
      </c>
      <c r="Y26" s="2">
        <f t="shared" si="15"/>
        <v>271.79000000000002</v>
      </c>
      <c r="Z26" s="2">
        <f t="shared" si="15"/>
        <v>0</v>
      </c>
      <c r="AA26" s="2">
        <f t="shared" si="15"/>
        <v>0</v>
      </c>
      <c r="AB26" s="2">
        <f t="shared" si="15"/>
        <v>866.43</v>
      </c>
      <c r="AC26" s="2">
        <f t="shared" si="15"/>
        <v>0</v>
      </c>
      <c r="AD26" s="2">
        <f t="shared" si="15"/>
        <v>312.70999999999998</v>
      </c>
      <c r="AE26" s="2">
        <f t="shared" si="15"/>
        <v>27.71</v>
      </c>
      <c r="AF26" s="2">
        <f t="shared" si="15"/>
        <v>553.72</v>
      </c>
      <c r="AG26" s="2">
        <f t="shared" si="15"/>
        <v>0</v>
      </c>
      <c r="AH26" s="2">
        <f t="shared" si="15"/>
        <v>64.823126400000007</v>
      </c>
      <c r="AI26" s="2">
        <f t="shared" si="15"/>
        <v>2.12639508</v>
      </c>
      <c r="AJ26" s="2">
        <f t="shared" si="15"/>
        <v>0</v>
      </c>
      <c r="AK26" s="2">
        <f t="shared" si="15"/>
        <v>564.88</v>
      </c>
      <c r="AL26" s="2">
        <f t="shared" si="15"/>
        <v>271.79000000000002</v>
      </c>
      <c r="AM26" s="2">
        <f t="shared" si="15"/>
        <v>0</v>
      </c>
      <c r="AN26" s="2">
        <f t="shared" si="15"/>
        <v>0</v>
      </c>
      <c r="AO26" s="2">
        <f t="shared" si="15"/>
        <v>0</v>
      </c>
      <c r="AP26" s="2">
        <f t="shared" si="15"/>
        <v>0</v>
      </c>
      <c r="AQ26" s="2">
        <f t="shared" si="15"/>
        <v>0</v>
      </c>
      <c r="AR26" s="2">
        <f t="shared" si="15"/>
        <v>1703.1</v>
      </c>
      <c r="AS26" s="2">
        <f t="shared" si="15"/>
        <v>1703.1</v>
      </c>
      <c r="AT26" s="2">
        <f t="shared" si="15"/>
        <v>0</v>
      </c>
      <c r="AU26" s="2">
        <f t="shared" ref="AU26:BZ26" si="16">AU31</f>
        <v>0</v>
      </c>
      <c r="AV26" s="2">
        <f t="shared" si="16"/>
        <v>0</v>
      </c>
      <c r="AW26" s="2">
        <f t="shared" si="16"/>
        <v>0</v>
      </c>
      <c r="AX26" s="2">
        <f t="shared" si="16"/>
        <v>0</v>
      </c>
      <c r="AY26" s="2">
        <f t="shared" si="16"/>
        <v>0</v>
      </c>
      <c r="AZ26" s="2">
        <f t="shared" si="16"/>
        <v>0</v>
      </c>
      <c r="BA26" s="2">
        <f t="shared" si="16"/>
        <v>0</v>
      </c>
      <c r="BB26" s="2">
        <f t="shared" si="16"/>
        <v>0</v>
      </c>
      <c r="BC26" s="2">
        <f t="shared" si="16"/>
        <v>0</v>
      </c>
      <c r="BD26" s="2">
        <f t="shared" si="16"/>
        <v>0</v>
      </c>
      <c r="BE26" s="2">
        <f t="shared" si="16"/>
        <v>0</v>
      </c>
      <c r="BF26" s="2">
        <f t="shared" si="16"/>
        <v>0</v>
      </c>
      <c r="BG26" s="2">
        <f t="shared" si="16"/>
        <v>0</v>
      </c>
      <c r="BH26" s="2">
        <f t="shared" si="16"/>
        <v>0</v>
      </c>
      <c r="BI26" s="2">
        <f t="shared" si="16"/>
        <v>0</v>
      </c>
      <c r="BJ26" s="2">
        <f t="shared" si="16"/>
        <v>0</v>
      </c>
      <c r="BK26" s="2">
        <f t="shared" si="16"/>
        <v>0</v>
      </c>
      <c r="BL26" s="2">
        <f t="shared" si="16"/>
        <v>0</v>
      </c>
      <c r="BM26" s="2">
        <f t="shared" si="16"/>
        <v>0</v>
      </c>
      <c r="BN26" s="2">
        <f t="shared" si="16"/>
        <v>0</v>
      </c>
      <c r="BO26" s="2">
        <f t="shared" si="16"/>
        <v>0</v>
      </c>
      <c r="BP26" s="2">
        <f t="shared" si="16"/>
        <v>0</v>
      </c>
      <c r="BQ26" s="2">
        <f t="shared" si="16"/>
        <v>0</v>
      </c>
      <c r="BR26" s="2">
        <f t="shared" si="16"/>
        <v>0</v>
      </c>
      <c r="BS26" s="2">
        <f t="shared" si="16"/>
        <v>0</v>
      </c>
      <c r="BT26" s="2">
        <f t="shared" si="16"/>
        <v>0</v>
      </c>
      <c r="BU26" s="2">
        <f t="shared" si="16"/>
        <v>0</v>
      </c>
      <c r="BV26" s="2">
        <f t="shared" si="16"/>
        <v>0</v>
      </c>
      <c r="BW26" s="2">
        <f t="shared" si="16"/>
        <v>0</v>
      </c>
      <c r="BX26" s="2">
        <f t="shared" si="16"/>
        <v>0</v>
      </c>
      <c r="BY26" s="2">
        <f t="shared" si="16"/>
        <v>0</v>
      </c>
      <c r="BZ26" s="2">
        <f t="shared" si="16"/>
        <v>0</v>
      </c>
      <c r="CA26" s="2">
        <f t="shared" ref="CA26:DF26" si="17">CA31</f>
        <v>1703.1</v>
      </c>
      <c r="CB26" s="2">
        <f t="shared" si="17"/>
        <v>1703.1</v>
      </c>
      <c r="CC26" s="2">
        <f t="shared" si="17"/>
        <v>0</v>
      </c>
      <c r="CD26" s="2">
        <f t="shared" si="17"/>
        <v>0</v>
      </c>
      <c r="CE26" s="2">
        <f t="shared" si="17"/>
        <v>0</v>
      </c>
      <c r="CF26" s="2">
        <f t="shared" si="17"/>
        <v>0</v>
      </c>
      <c r="CG26" s="2">
        <f t="shared" si="17"/>
        <v>0</v>
      </c>
      <c r="CH26" s="2">
        <f t="shared" si="17"/>
        <v>0</v>
      </c>
      <c r="CI26" s="2">
        <f t="shared" si="17"/>
        <v>0</v>
      </c>
      <c r="CJ26" s="2">
        <f t="shared" si="17"/>
        <v>0</v>
      </c>
      <c r="CK26" s="2">
        <f t="shared" si="17"/>
        <v>0</v>
      </c>
      <c r="CL26" s="2">
        <f t="shared" si="17"/>
        <v>0</v>
      </c>
      <c r="CM26" s="2">
        <f t="shared" si="17"/>
        <v>0</v>
      </c>
      <c r="CN26" s="2">
        <f t="shared" si="17"/>
        <v>0</v>
      </c>
      <c r="CO26" s="2">
        <f t="shared" si="17"/>
        <v>0</v>
      </c>
      <c r="CP26" s="2">
        <f t="shared" si="17"/>
        <v>0</v>
      </c>
      <c r="CQ26" s="2">
        <f t="shared" si="17"/>
        <v>0</v>
      </c>
      <c r="CR26" s="2">
        <f t="shared" si="17"/>
        <v>0</v>
      </c>
      <c r="CS26" s="2">
        <f t="shared" si="17"/>
        <v>0</v>
      </c>
      <c r="CT26" s="2">
        <f t="shared" si="17"/>
        <v>0</v>
      </c>
      <c r="CU26" s="2">
        <f t="shared" si="17"/>
        <v>0</v>
      </c>
      <c r="CV26" s="2">
        <f t="shared" si="17"/>
        <v>0</v>
      </c>
      <c r="CW26" s="2">
        <f t="shared" si="17"/>
        <v>0</v>
      </c>
      <c r="CX26" s="2">
        <f t="shared" si="17"/>
        <v>0</v>
      </c>
      <c r="CY26" s="2">
        <f t="shared" si="17"/>
        <v>0</v>
      </c>
      <c r="CZ26" s="2">
        <f t="shared" si="17"/>
        <v>0</v>
      </c>
      <c r="DA26" s="2">
        <f t="shared" si="17"/>
        <v>0</v>
      </c>
      <c r="DB26" s="2">
        <f t="shared" si="17"/>
        <v>0</v>
      </c>
      <c r="DC26" s="2">
        <f t="shared" si="17"/>
        <v>0</v>
      </c>
      <c r="DD26" s="2">
        <f t="shared" si="17"/>
        <v>0</v>
      </c>
      <c r="DE26" s="2">
        <f t="shared" si="17"/>
        <v>0</v>
      </c>
      <c r="DF26" s="2">
        <f t="shared" si="17"/>
        <v>0</v>
      </c>
      <c r="DG26" s="3">
        <f t="shared" ref="DG26:EL26" si="18">DG31</f>
        <v>0</v>
      </c>
      <c r="DH26" s="3">
        <f t="shared" si="18"/>
        <v>0</v>
      </c>
      <c r="DI26" s="3">
        <f t="shared" si="18"/>
        <v>0</v>
      </c>
      <c r="DJ26" s="3">
        <f t="shared" si="18"/>
        <v>0</v>
      </c>
      <c r="DK26" s="3">
        <f t="shared" si="18"/>
        <v>0</v>
      </c>
      <c r="DL26" s="3">
        <f t="shared" si="18"/>
        <v>0</v>
      </c>
      <c r="DM26" s="3">
        <f t="shared" si="18"/>
        <v>0</v>
      </c>
      <c r="DN26" s="3">
        <f t="shared" si="18"/>
        <v>0</v>
      </c>
      <c r="DO26" s="3">
        <f t="shared" si="18"/>
        <v>0</v>
      </c>
      <c r="DP26" s="3">
        <f t="shared" si="18"/>
        <v>0</v>
      </c>
      <c r="DQ26" s="3">
        <f t="shared" si="18"/>
        <v>0</v>
      </c>
      <c r="DR26" s="3">
        <f t="shared" si="18"/>
        <v>0</v>
      </c>
      <c r="DS26" s="3">
        <f t="shared" si="18"/>
        <v>0</v>
      </c>
      <c r="DT26" s="3">
        <f t="shared" si="18"/>
        <v>0</v>
      </c>
      <c r="DU26" s="3">
        <f t="shared" si="18"/>
        <v>0</v>
      </c>
      <c r="DV26" s="3">
        <f t="shared" si="18"/>
        <v>0</v>
      </c>
      <c r="DW26" s="3">
        <f t="shared" si="18"/>
        <v>0</v>
      </c>
      <c r="DX26" s="3">
        <f t="shared" si="18"/>
        <v>0</v>
      </c>
      <c r="DY26" s="3">
        <f t="shared" si="18"/>
        <v>0</v>
      </c>
      <c r="DZ26" s="3">
        <f t="shared" si="18"/>
        <v>0</v>
      </c>
      <c r="EA26" s="3">
        <f t="shared" si="18"/>
        <v>0</v>
      </c>
      <c r="EB26" s="3">
        <f t="shared" si="18"/>
        <v>0</v>
      </c>
      <c r="EC26" s="3">
        <f t="shared" si="18"/>
        <v>0</v>
      </c>
      <c r="ED26" s="3">
        <f t="shared" si="18"/>
        <v>0</v>
      </c>
      <c r="EE26" s="3">
        <f t="shared" si="18"/>
        <v>0</v>
      </c>
      <c r="EF26" s="3">
        <f t="shared" si="18"/>
        <v>0</v>
      </c>
      <c r="EG26" s="3">
        <f t="shared" si="18"/>
        <v>0</v>
      </c>
      <c r="EH26" s="3">
        <f t="shared" si="18"/>
        <v>0</v>
      </c>
      <c r="EI26" s="3">
        <f t="shared" si="18"/>
        <v>0</v>
      </c>
      <c r="EJ26" s="3">
        <f t="shared" si="18"/>
        <v>0</v>
      </c>
      <c r="EK26" s="3">
        <f t="shared" si="18"/>
        <v>0</v>
      </c>
      <c r="EL26" s="3">
        <f t="shared" si="18"/>
        <v>0</v>
      </c>
      <c r="EM26" s="3">
        <f t="shared" ref="EM26:FR26" si="19">EM31</f>
        <v>0</v>
      </c>
      <c r="EN26" s="3">
        <f t="shared" si="19"/>
        <v>0</v>
      </c>
      <c r="EO26" s="3">
        <f t="shared" si="19"/>
        <v>0</v>
      </c>
      <c r="EP26" s="3">
        <f t="shared" si="19"/>
        <v>0</v>
      </c>
      <c r="EQ26" s="3">
        <f t="shared" si="19"/>
        <v>0</v>
      </c>
      <c r="ER26" s="3">
        <f t="shared" si="19"/>
        <v>0</v>
      </c>
      <c r="ES26" s="3">
        <f t="shared" si="19"/>
        <v>0</v>
      </c>
      <c r="ET26" s="3">
        <f t="shared" si="19"/>
        <v>0</v>
      </c>
      <c r="EU26" s="3">
        <f t="shared" si="19"/>
        <v>0</v>
      </c>
      <c r="EV26" s="3">
        <f t="shared" si="19"/>
        <v>0</v>
      </c>
      <c r="EW26" s="3">
        <f t="shared" si="19"/>
        <v>0</v>
      </c>
      <c r="EX26" s="3">
        <f t="shared" si="19"/>
        <v>0</v>
      </c>
      <c r="EY26" s="3">
        <f t="shared" si="19"/>
        <v>0</v>
      </c>
      <c r="EZ26" s="3">
        <f t="shared" si="19"/>
        <v>0</v>
      </c>
      <c r="FA26" s="3">
        <f t="shared" si="19"/>
        <v>0</v>
      </c>
      <c r="FB26" s="3">
        <f t="shared" si="19"/>
        <v>0</v>
      </c>
      <c r="FC26" s="3">
        <f t="shared" si="19"/>
        <v>0</v>
      </c>
      <c r="FD26" s="3">
        <f t="shared" si="19"/>
        <v>0</v>
      </c>
      <c r="FE26" s="3">
        <f t="shared" si="19"/>
        <v>0</v>
      </c>
      <c r="FF26" s="3">
        <f t="shared" si="19"/>
        <v>0</v>
      </c>
      <c r="FG26" s="3">
        <f t="shared" si="19"/>
        <v>0</v>
      </c>
      <c r="FH26" s="3">
        <f t="shared" si="19"/>
        <v>0</v>
      </c>
      <c r="FI26" s="3">
        <f t="shared" si="19"/>
        <v>0</v>
      </c>
      <c r="FJ26" s="3">
        <f t="shared" si="19"/>
        <v>0</v>
      </c>
      <c r="FK26" s="3">
        <f t="shared" si="19"/>
        <v>0</v>
      </c>
      <c r="FL26" s="3">
        <f t="shared" si="19"/>
        <v>0</v>
      </c>
      <c r="FM26" s="3">
        <f t="shared" si="19"/>
        <v>0</v>
      </c>
      <c r="FN26" s="3">
        <f t="shared" si="19"/>
        <v>0</v>
      </c>
      <c r="FO26" s="3">
        <f t="shared" si="19"/>
        <v>0</v>
      </c>
      <c r="FP26" s="3">
        <f t="shared" si="19"/>
        <v>0</v>
      </c>
      <c r="FQ26" s="3">
        <f t="shared" si="19"/>
        <v>0</v>
      </c>
      <c r="FR26" s="3">
        <f t="shared" si="19"/>
        <v>0</v>
      </c>
      <c r="FS26" s="3">
        <f t="shared" ref="FS26:GX26" si="20">FS31</f>
        <v>0</v>
      </c>
      <c r="FT26" s="3">
        <f t="shared" si="20"/>
        <v>0</v>
      </c>
      <c r="FU26" s="3">
        <f t="shared" si="20"/>
        <v>0</v>
      </c>
      <c r="FV26" s="3">
        <f t="shared" si="20"/>
        <v>0</v>
      </c>
      <c r="FW26" s="3">
        <f t="shared" si="20"/>
        <v>0</v>
      </c>
      <c r="FX26" s="3">
        <f t="shared" si="20"/>
        <v>0</v>
      </c>
      <c r="FY26" s="3">
        <f t="shared" si="20"/>
        <v>0</v>
      </c>
      <c r="FZ26" s="3">
        <f t="shared" si="20"/>
        <v>0</v>
      </c>
      <c r="GA26" s="3">
        <f t="shared" si="20"/>
        <v>0</v>
      </c>
      <c r="GB26" s="3">
        <f t="shared" si="20"/>
        <v>0</v>
      </c>
      <c r="GC26" s="3">
        <f t="shared" si="20"/>
        <v>0</v>
      </c>
      <c r="GD26" s="3">
        <f t="shared" si="20"/>
        <v>0</v>
      </c>
      <c r="GE26" s="3">
        <f t="shared" si="20"/>
        <v>0</v>
      </c>
      <c r="GF26" s="3">
        <f t="shared" si="20"/>
        <v>0</v>
      </c>
      <c r="GG26" s="3">
        <f t="shared" si="20"/>
        <v>0</v>
      </c>
      <c r="GH26" s="3">
        <f t="shared" si="20"/>
        <v>0</v>
      </c>
      <c r="GI26" s="3">
        <f t="shared" si="20"/>
        <v>0</v>
      </c>
      <c r="GJ26" s="3">
        <f t="shared" si="20"/>
        <v>0</v>
      </c>
      <c r="GK26" s="3">
        <f t="shared" si="20"/>
        <v>0</v>
      </c>
      <c r="GL26" s="3">
        <f t="shared" si="20"/>
        <v>0</v>
      </c>
      <c r="GM26" s="3">
        <f t="shared" si="20"/>
        <v>0</v>
      </c>
      <c r="GN26" s="3">
        <f t="shared" si="20"/>
        <v>0</v>
      </c>
      <c r="GO26" s="3">
        <f t="shared" si="20"/>
        <v>0</v>
      </c>
      <c r="GP26" s="3">
        <f t="shared" si="20"/>
        <v>0</v>
      </c>
      <c r="GQ26" s="3">
        <f t="shared" si="20"/>
        <v>0</v>
      </c>
      <c r="GR26" s="3">
        <f t="shared" si="20"/>
        <v>0</v>
      </c>
      <c r="GS26" s="3">
        <f t="shared" si="20"/>
        <v>0</v>
      </c>
      <c r="GT26" s="3">
        <f t="shared" si="20"/>
        <v>0</v>
      </c>
      <c r="GU26" s="3">
        <f t="shared" si="20"/>
        <v>0</v>
      </c>
      <c r="GV26" s="3">
        <f t="shared" si="20"/>
        <v>0</v>
      </c>
      <c r="GW26" s="3">
        <f t="shared" si="20"/>
        <v>0</v>
      </c>
      <c r="GX26" s="3">
        <f t="shared" si="20"/>
        <v>0</v>
      </c>
    </row>
    <row r="28" spans="1:245">
      <c r="A28">
        <v>17</v>
      </c>
      <c r="B28">
        <v>1</v>
      </c>
      <c r="C28">
        <f>ROW(SmtRes!A17)</f>
        <v>17</v>
      </c>
      <c r="D28">
        <f>ROW(EtalonRes!A17)</f>
        <v>17</v>
      </c>
      <c r="E28" t="s">
        <v>19</v>
      </c>
      <c r="F28" t="s">
        <v>20</v>
      </c>
      <c r="G28" t="s">
        <v>21</v>
      </c>
      <c r="H28" t="s">
        <v>22</v>
      </c>
      <c r="I28">
        <f>ROUND((38.33)/100,7)</f>
        <v>0.38329999999999997</v>
      </c>
      <c r="J28">
        <v>0</v>
      </c>
      <c r="K28">
        <f>ROUND((38.33)/100,7)</f>
        <v>0.38329999999999997</v>
      </c>
      <c r="O28">
        <f>ROUND(CP28,2)</f>
        <v>862.64</v>
      </c>
      <c r="P28">
        <f>ROUND(CQ28*I28,2)</f>
        <v>0</v>
      </c>
      <c r="Q28">
        <f>ROUND(CR28*I28,2)</f>
        <v>312.7</v>
      </c>
      <c r="R28">
        <f>ROUND(CS28*I28,2)</f>
        <v>27.71</v>
      </c>
      <c r="S28">
        <f>ROUND(CT28*I28,2)</f>
        <v>549.94000000000005</v>
      </c>
      <c r="T28">
        <f>ROUND(CU28*I28,2)</f>
        <v>0</v>
      </c>
      <c r="U28">
        <f>CV28*I28</f>
        <v>64.320806400000009</v>
      </c>
      <c r="V28">
        <f>CW28*I28</f>
        <v>2.12639508</v>
      </c>
      <c r="W28">
        <f>ROUND(CX28*I28,2)</f>
        <v>0</v>
      </c>
      <c r="X28">
        <f>ROUND(CY28,2)</f>
        <v>561.48</v>
      </c>
      <c r="Y28">
        <f>ROUND(CZ28,2)</f>
        <v>270.05</v>
      </c>
      <c r="AA28">
        <v>31028412</v>
      </c>
      <c r="AB28">
        <f>ROUND((AC28+AD28+AF28),6)</f>
        <v>2250.5684000000001</v>
      </c>
      <c r="AC28">
        <f>ROUND(((ES28*ROUND(0,7))),6)</f>
        <v>0</v>
      </c>
      <c r="AD28">
        <f>ROUND(((((ET28*ROUND((0.8*1.15),7)))-((EU28*ROUND((0.8*1.15),7))))+AE28),6)</f>
        <v>815.81</v>
      </c>
      <c r="AE28">
        <f>ROUND(((EU28*ROUND((0.8*1.15),7))),6)</f>
        <v>72.284400000000005</v>
      </c>
      <c r="AF28">
        <f>ROUND(((EV28*ROUND((0.8*1.15),7))),6)</f>
        <v>1434.7583999999999</v>
      </c>
      <c r="AG28">
        <f>ROUND((AP28),6)</f>
        <v>0</v>
      </c>
      <c r="AH28">
        <f>((EW28*ROUND((0.8*1.15),7)))</f>
        <v>167.80800000000002</v>
      </c>
      <c r="AI28">
        <f>((EX28*ROUND((0.8*1.15),7)))</f>
        <v>5.5476000000000001</v>
      </c>
      <c r="AJ28">
        <f>(AS28)</f>
        <v>0</v>
      </c>
      <c r="AK28">
        <v>47696.73</v>
      </c>
      <c r="AL28">
        <v>45250.46</v>
      </c>
      <c r="AM28">
        <v>886.75</v>
      </c>
      <c r="AN28">
        <v>78.569999999999993</v>
      </c>
      <c r="AO28">
        <v>1559.52</v>
      </c>
      <c r="AP28">
        <v>0</v>
      </c>
      <c r="AQ28">
        <v>182.4</v>
      </c>
      <c r="AR28">
        <v>6.03</v>
      </c>
      <c r="AS28">
        <v>0</v>
      </c>
      <c r="AT28">
        <v>97.2</v>
      </c>
      <c r="AU28">
        <v>46.75</v>
      </c>
      <c r="AV28">
        <v>1</v>
      </c>
      <c r="AW28">
        <v>1</v>
      </c>
      <c r="AZ28">
        <v>1</v>
      </c>
      <c r="BA28">
        <v>24.22</v>
      </c>
      <c r="BB28">
        <v>1</v>
      </c>
      <c r="BC28">
        <v>1</v>
      </c>
      <c r="BD28" t="s">
        <v>6</v>
      </c>
      <c r="BE28" t="s">
        <v>6</v>
      </c>
      <c r="BF28" t="s">
        <v>6</v>
      </c>
      <c r="BG28" t="s">
        <v>6</v>
      </c>
      <c r="BH28">
        <v>0</v>
      </c>
      <c r="BI28">
        <v>1</v>
      </c>
      <c r="BJ28" t="s">
        <v>23</v>
      </c>
      <c r="BM28">
        <v>10001</v>
      </c>
      <c r="BN28">
        <v>0</v>
      </c>
      <c r="BO28" t="s">
        <v>1327</v>
      </c>
      <c r="BP28">
        <v>1</v>
      </c>
      <c r="BQ28">
        <v>2</v>
      </c>
      <c r="BR28">
        <v>0</v>
      </c>
      <c r="BS28">
        <v>24.22</v>
      </c>
      <c r="BT28">
        <v>1</v>
      </c>
      <c r="BU28">
        <v>1</v>
      </c>
      <c r="BV28">
        <v>1</v>
      </c>
      <c r="BW28">
        <v>1</v>
      </c>
      <c r="BX28">
        <v>1</v>
      </c>
      <c r="BY28" t="s">
        <v>6</v>
      </c>
      <c r="BZ28">
        <v>108</v>
      </c>
      <c r="CA28">
        <v>55</v>
      </c>
      <c r="CB28" t="s">
        <v>6</v>
      </c>
      <c r="CE28">
        <v>0</v>
      </c>
      <c r="CF28">
        <v>0</v>
      </c>
      <c r="CG28">
        <v>0</v>
      </c>
      <c r="CM28">
        <v>0</v>
      </c>
      <c r="CN28" t="s">
        <v>6</v>
      </c>
      <c r="CO28">
        <v>0</v>
      </c>
      <c r="CP28">
        <f>(P28+Q28+S28)</f>
        <v>862.6400000000001</v>
      </c>
      <c r="CQ28">
        <f>AC28*BC28</f>
        <v>0</v>
      </c>
      <c r="CR28">
        <f>AD28*BB28</f>
        <v>815.81</v>
      </c>
      <c r="CS28">
        <f t="shared" ref="CS28:CX29" si="21">AE28</f>
        <v>72.284400000000005</v>
      </c>
      <c r="CT28">
        <f t="shared" si="21"/>
        <v>1434.7583999999999</v>
      </c>
      <c r="CU28">
        <f t="shared" si="21"/>
        <v>0</v>
      </c>
      <c r="CV28">
        <f t="shared" si="21"/>
        <v>167.80800000000002</v>
      </c>
      <c r="CW28">
        <f t="shared" si="21"/>
        <v>5.5476000000000001</v>
      </c>
      <c r="CX28">
        <f t="shared" si="21"/>
        <v>0</v>
      </c>
      <c r="CY28">
        <f>(((S28+R28)*AT28)/100)</f>
        <v>561.47580000000005</v>
      </c>
      <c r="CZ28">
        <f>(((S28+R28)*AU28)/100)</f>
        <v>270.05137500000006</v>
      </c>
      <c r="DC28" t="s">
        <v>6</v>
      </c>
      <c r="DD28" t="s">
        <v>24</v>
      </c>
      <c r="DE28" t="s">
        <v>25</v>
      </c>
      <c r="DF28" t="s">
        <v>25</v>
      </c>
      <c r="DG28" t="s">
        <v>25</v>
      </c>
      <c r="DH28" t="s">
        <v>6</v>
      </c>
      <c r="DI28" t="s">
        <v>25</v>
      </c>
      <c r="DJ28" t="s">
        <v>25</v>
      </c>
      <c r="DK28" t="s">
        <v>6</v>
      </c>
      <c r="DL28" t="s">
        <v>6</v>
      </c>
      <c r="DM28" t="s">
        <v>6</v>
      </c>
      <c r="DN28">
        <v>0</v>
      </c>
      <c r="DO28">
        <v>0</v>
      </c>
      <c r="DP28">
        <v>1</v>
      </c>
      <c r="DQ28">
        <v>1</v>
      </c>
      <c r="DU28">
        <v>1013</v>
      </c>
      <c r="DV28" t="s">
        <v>22</v>
      </c>
      <c r="DW28" t="s">
        <v>22</v>
      </c>
      <c r="DX28">
        <v>1</v>
      </c>
      <c r="DZ28" t="s">
        <v>6</v>
      </c>
      <c r="EA28" t="s">
        <v>6</v>
      </c>
      <c r="EB28" t="s">
        <v>6</v>
      </c>
      <c r="EC28" t="s">
        <v>6</v>
      </c>
      <c r="EE28">
        <v>30852905</v>
      </c>
      <c r="EF28">
        <v>2</v>
      </c>
      <c r="EG28" t="s">
        <v>26</v>
      </c>
      <c r="EH28">
        <v>0</v>
      </c>
      <c r="EI28" t="s">
        <v>6</v>
      </c>
      <c r="EJ28">
        <v>1</v>
      </c>
      <c r="EK28">
        <v>10001</v>
      </c>
      <c r="EL28" t="s">
        <v>27</v>
      </c>
      <c r="EM28" t="s">
        <v>28</v>
      </c>
      <c r="EO28" t="s">
        <v>6</v>
      </c>
      <c r="EQ28">
        <v>131072</v>
      </c>
      <c r="ER28">
        <v>47696.73</v>
      </c>
      <c r="ES28">
        <v>45250.46</v>
      </c>
      <c r="ET28">
        <v>886.75</v>
      </c>
      <c r="EU28">
        <v>78.569999999999993</v>
      </c>
      <c r="EV28">
        <v>1559.52</v>
      </c>
      <c r="EW28">
        <v>182.4</v>
      </c>
      <c r="EX28">
        <v>6.03</v>
      </c>
      <c r="EY28">
        <v>0</v>
      </c>
      <c r="FQ28">
        <v>0</v>
      </c>
      <c r="FR28">
        <f>ROUND(IF(AND(BH28=3,BI28=3),P28,0),2)</f>
        <v>0</v>
      </c>
      <c r="FS28">
        <v>0</v>
      </c>
      <c r="FT28" t="s">
        <v>29</v>
      </c>
      <c r="FU28" t="s">
        <v>30</v>
      </c>
      <c r="FX28">
        <v>97.2</v>
      </c>
      <c r="FY28">
        <v>46.75</v>
      </c>
      <c r="GA28" t="s">
        <v>6</v>
      </c>
      <c r="GD28">
        <v>1</v>
      </c>
      <c r="GF28">
        <v>-497767182</v>
      </c>
      <c r="GG28">
        <v>2</v>
      </c>
      <c r="GH28">
        <v>1</v>
      </c>
      <c r="GI28">
        <v>4</v>
      </c>
      <c r="GJ28">
        <v>0</v>
      </c>
      <c r="GK28">
        <v>0</v>
      </c>
      <c r="GL28">
        <f>ROUND(IF(AND(BH28=3,BI28=3,FS28&lt;&gt;0),P28,0),2)</f>
        <v>0</v>
      </c>
      <c r="GM28">
        <f>ROUND(O28+X28+Y28,2)+GX28</f>
        <v>1694.17</v>
      </c>
      <c r="GN28">
        <f>IF(OR(BI28=0,BI28=1),ROUND(O28+X28+Y28,2),0)</f>
        <v>1694.17</v>
      </c>
      <c r="GO28">
        <f>IF(BI28=2,ROUND(O28+X28+Y28,2),0)</f>
        <v>0</v>
      </c>
      <c r="GP28">
        <f>IF(BI28=4,ROUND(O28+X28+Y28,2)+GX28,0)</f>
        <v>0</v>
      </c>
      <c r="GR28">
        <v>0</v>
      </c>
      <c r="GS28">
        <v>0</v>
      </c>
      <c r="GT28">
        <v>0</v>
      </c>
      <c r="GU28" t="s">
        <v>6</v>
      </c>
      <c r="GV28">
        <f>ROUND((GT28),6)</f>
        <v>0</v>
      </c>
      <c r="GW28">
        <v>1</v>
      </c>
      <c r="GX28">
        <f>ROUND(HC28*I28,2)</f>
        <v>0</v>
      </c>
      <c r="HA28">
        <v>0</v>
      </c>
      <c r="HB28">
        <v>0</v>
      </c>
      <c r="HC28">
        <f>GV28*GW28</f>
        <v>0</v>
      </c>
      <c r="HE28" t="s">
        <v>6</v>
      </c>
      <c r="HF28" t="s">
        <v>6</v>
      </c>
      <c r="HI28">
        <f>ROUND(R28*BS28,0)</f>
        <v>671</v>
      </c>
      <c r="HJ28">
        <f>ROUND(S28*BA28,0)</f>
        <v>13320</v>
      </c>
      <c r="HK28">
        <f>ROUND((((HJ28+HI28)*AT28)/100),0)</f>
        <v>13599</v>
      </c>
      <c r="HL28">
        <f>ROUND((((HJ28+HI28)*AU28)/100),0)</f>
        <v>6541</v>
      </c>
      <c r="HM28" t="s">
        <v>6</v>
      </c>
      <c r="HN28" t="s">
        <v>6</v>
      </c>
      <c r="HO28" t="s">
        <v>6</v>
      </c>
      <c r="HP28" t="s">
        <v>6</v>
      </c>
      <c r="HQ28" t="s">
        <v>6</v>
      </c>
      <c r="IK28">
        <v>0</v>
      </c>
    </row>
    <row r="29" spans="1:245">
      <c r="A29">
        <v>17</v>
      </c>
      <c r="B29">
        <v>1</v>
      </c>
      <c r="C29">
        <f>ROW(SmtRes!A20)</f>
        <v>20</v>
      </c>
      <c r="D29">
        <f>ROW(EtalonRes!A20)</f>
        <v>20</v>
      </c>
      <c r="E29" t="s">
        <v>31</v>
      </c>
      <c r="F29" t="s">
        <v>32</v>
      </c>
      <c r="G29" t="s">
        <v>33</v>
      </c>
      <c r="H29" t="s">
        <v>34</v>
      </c>
      <c r="I29">
        <f>ROUND(4.8/100,7)</f>
        <v>4.8000000000000001E-2</v>
      </c>
      <c r="J29">
        <v>0</v>
      </c>
      <c r="K29">
        <f>ROUND(4.8/100,7)</f>
        <v>4.8000000000000001E-2</v>
      </c>
      <c r="O29">
        <f>ROUND(CP29,2)</f>
        <v>3.79</v>
      </c>
      <c r="P29">
        <f>ROUND(CQ29*I29,2)</f>
        <v>0</v>
      </c>
      <c r="Q29">
        <f>ROUND(CR29*I29,2)</f>
        <v>0.01</v>
      </c>
      <c r="R29">
        <f>ROUND(CS29*I29,2)</f>
        <v>0</v>
      </c>
      <c r="S29">
        <f>ROUND(CT29*I29,2)</f>
        <v>3.78</v>
      </c>
      <c r="T29">
        <f>ROUND(CU29*I29,2)</f>
        <v>0</v>
      </c>
      <c r="U29">
        <f>CV29*I29</f>
        <v>0.50231999999999988</v>
      </c>
      <c r="V29">
        <f>CW29*I29</f>
        <v>0</v>
      </c>
      <c r="W29">
        <f>ROUND(CX29*I29,2)</f>
        <v>0</v>
      </c>
      <c r="X29">
        <f>ROUND(CY29,2)</f>
        <v>3.4</v>
      </c>
      <c r="Y29">
        <f>ROUND(CZ29,2)</f>
        <v>1.74</v>
      </c>
      <c r="AA29">
        <v>31028412</v>
      </c>
      <c r="AB29">
        <f>ROUND((AC29+AD29+AF29),6)</f>
        <v>79.028000000000006</v>
      </c>
      <c r="AC29">
        <f>ROUND((ES29),6)</f>
        <v>0</v>
      </c>
      <c r="AD29">
        <f>ROUND(((((ET29*ROUND(1.15,7)))-((EU29*ROUND(1.15,7))))+AE29),6)</f>
        <v>0.23</v>
      </c>
      <c r="AE29">
        <f>ROUND(((EU29*ROUND(1.15,7))),6)</f>
        <v>0</v>
      </c>
      <c r="AF29">
        <f>ROUND(((EV29*ROUND(1.15,7))),6)</f>
        <v>78.798000000000002</v>
      </c>
      <c r="AG29">
        <f>ROUND((AP29),6)</f>
        <v>0</v>
      </c>
      <c r="AH29">
        <f>((EW29*ROUND(1.15,7)))</f>
        <v>10.464999999999998</v>
      </c>
      <c r="AI29">
        <f>((EX29*ROUND(1.15,7)))</f>
        <v>0</v>
      </c>
      <c r="AJ29">
        <f>(AS29)</f>
        <v>0</v>
      </c>
      <c r="AK29">
        <v>68.72</v>
      </c>
      <c r="AL29">
        <v>0</v>
      </c>
      <c r="AM29">
        <v>0.2</v>
      </c>
      <c r="AN29">
        <v>0</v>
      </c>
      <c r="AO29">
        <v>68.52</v>
      </c>
      <c r="AP29">
        <v>0</v>
      </c>
      <c r="AQ29">
        <v>9.1</v>
      </c>
      <c r="AR29">
        <v>0</v>
      </c>
      <c r="AS29">
        <v>0</v>
      </c>
      <c r="AT29">
        <v>90</v>
      </c>
      <c r="AU29">
        <v>46</v>
      </c>
      <c r="AV29">
        <v>1</v>
      </c>
      <c r="AW29">
        <v>1</v>
      </c>
      <c r="AZ29">
        <v>1</v>
      </c>
      <c r="BA29">
        <v>24.22</v>
      </c>
      <c r="BB29">
        <v>1</v>
      </c>
      <c r="BC29">
        <v>1</v>
      </c>
      <c r="BD29" t="s">
        <v>6</v>
      </c>
      <c r="BE29" t="s">
        <v>6</v>
      </c>
      <c r="BF29" t="s">
        <v>6</v>
      </c>
      <c r="BG29" t="s">
        <v>6</v>
      </c>
      <c r="BH29">
        <v>0</v>
      </c>
      <c r="BI29">
        <v>1</v>
      </c>
      <c r="BJ29" t="s">
        <v>35</v>
      </c>
      <c r="BM29">
        <v>58001</v>
      </c>
      <c r="BN29">
        <v>0</v>
      </c>
      <c r="BO29" t="s">
        <v>1327</v>
      </c>
      <c r="BP29">
        <v>1</v>
      </c>
      <c r="BQ29">
        <v>6</v>
      </c>
      <c r="BR29">
        <v>0</v>
      </c>
      <c r="BS29">
        <v>24.22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6</v>
      </c>
      <c r="BZ29">
        <v>90</v>
      </c>
      <c r="CA29">
        <v>46</v>
      </c>
      <c r="CB29" t="s">
        <v>6</v>
      </c>
      <c r="CE29">
        <v>0</v>
      </c>
      <c r="CF29">
        <v>0</v>
      </c>
      <c r="CG29">
        <v>0</v>
      </c>
      <c r="CM29">
        <v>0</v>
      </c>
      <c r="CN29" t="s">
        <v>6</v>
      </c>
      <c r="CO29">
        <v>0</v>
      </c>
      <c r="CP29">
        <f>(P29+Q29+S29)</f>
        <v>3.7899999999999996</v>
      </c>
      <c r="CQ29">
        <f>AC29*BC29</f>
        <v>0</v>
      </c>
      <c r="CR29">
        <f>AD29*BB29</f>
        <v>0.23</v>
      </c>
      <c r="CS29">
        <f t="shared" si="21"/>
        <v>0</v>
      </c>
      <c r="CT29">
        <f t="shared" si="21"/>
        <v>78.798000000000002</v>
      </c>
      <c r="CU29">
        <f t="shared" si="21"/>
        <v>0</v>
      </c>
      <c r="CV29">
        <f t="shared" si="21"/>
        <v>10.464999999999998</v>
      </c>
      <c r="CW29">
        <f t="shared" si="21"/>
        <v>0</v>
      </c>
      <c r="CX29">
        <f t="shared" si="21"/>
        <v>0</v>
      </c>
      <c r="CY29">
        <f>(((S29+R29)*AT29)/100)</f>
        <v>3.4019999999999997</v>
      </c>
      <c r="CZ29">
        <f>(((S29+R29)*AU29)/100)</f>
        <v>1.7387999999999999</v>
      </c>
      <c r="DC29" t="s">
        <v>6</v>
      </c>
      <c r="DD29" t="s">
        <v>6</v>
      </c>
      <c r="DE29" t="s">
        <v>36</v>
      </c>
      <c r="DF29" t="s">
        <v>36</v>
      </c>
      <c r="DG29" t="s">
        <v>36</v>
      </c>
      <c r="DH29" t="s">
        <v>6</v>
      </c>
      <c r="DI29" t="s">
        <v>36</v>
      </c>
      <c r="DJ29" t="s">
        <v>36</v>
      </c>
      <c r="DK29" t="s">
        <v>6</v>
      </c>
      <c r="DL29" t="s">
        <v>6</v>
      </c>
      <c r="DM29" t="s">
        <v>6</v>
      </c>
      <c r="DN29">
        <v>0</v>
      </c>
      <c r="DO29">
        <v>0</v>
      </c>
      <c r="DP29">
        <v>1</v>
      </c>
      <c r="DQ29">
        <v>1</v>
      </c>
      <c r="DU29">
        <v>1013</v>
      </c>
      <c r="DV29" t="s">
        <v>34</v>
      </c>
      <c r="DW29" t="s">
        <v>34</v>
      </c>
      <c r="DX29">
        <v>1</v>
      </c>
      <c r="DZ29" t="s">
        <v>6</v>
      </c>
      <c r="EA29" t="s">
        <v>6</v>
      </c>
      <c r="EB29" t="s">
        <v>6</v>
      </c>
      <c r="EC29" t="s">
        <v>6</v>
      </c>
      <c r="EE29">
        <v>30853010</v>
      </c>
      <c r="EF29">
        <v>6</v>
      </c>
      <c r="EG29" t="s">
        <v>37</v>
      </c>
      <c r="EH29">
        <v>0</v>
      </c>
      <c r="EI29" t="s">
        <v>6</v>
      </c>
      <c r="EJ29">
        <v>1</v>
      </c>
      <c r="EK29">
        <v>58001</v>
      </c>
      <c r="EL29" t="s">
        <v>38</v>
      </c>
      <c r="EM29" t="s">
        <v>39</v>
      </c>
      <c r="EO29" t="s">
        <v>6</v>
      </c>
      <c r="EQ29">
        <v>131072</v>
      </c>
      <c r="ER29">
        <v>68.72</v>
      </c>
      <c r="ES29">
        <v>0</v>
      </c>
      <c r="ET29">
        <v>0.2</v>
      </c>
      <c r="EU29">
        <v>0</v>
      </c>
      <c r="EV29">
        <v>68.52</v>
      </c>
      <c r="EW29">
        <v>9.1</v>
      </c>
      <c r="EX29">
        <v>0</v>
      </c>
      <c r="EY29">
        <v>0</v>
      </c>
      <c r="FQ29">
        <v>0</v>
      </c>
      <c r="FR29">
        <f>ROUND(IF(AND(BH29=3,BI29=3),P29,0),2)</f>
        <v>0</v>
      </c>
      <c r="FS29">
        <v>0</v>
      </c>
      <c r="FX29">
        <v>90</v>
      </c>
      <c r="FY29">
        <v>46</v>
      </c>
      <c r="GA29" t="s">
        <v>6</v>
      </c>
      <c r="GD29">
        <v>1</v>
      </c>
      <c r="GF29">
        <v>374719418</v>
      </c>
      <c r="GG29">
        <v>2</v>
      </c>
      <c r="GH29">
        <v>1</v>
      </c>
      <c r="GI29">
        <v>4</v>
      </c>
      <c r="GJ29">
        <v>0</v>
      </c>
      <c r="GK29">
        <v>0</v>
      </c>
      <c r="GL29">
        <f>ROUND(IF(AND(BH29=3,BI29=3,FS29&lt;&gt;0),P29,0),2)</f>
        <v>0</v>
      </c>
      <c r="GM29">
        <f>ROUND(O29+X29+Y29,2)+GX29</f>
        <v>8.93</v>
      </c>
      <c r="GN29">
        <f>IF(OR(BI29=0,BI29=1),ROUND(O29+X29+Y29,2),0)</f>
        <v>8.93</v>
      </c>
      <c r="GO29">
        <f>IF(BI29=2,ROUND(O29+X29+Y29,2),0)</f>
        <v>0</v>
      </c>
      <c r="GP29">
        <f>IF(BI29=4,ROUND(O29+X29+Y29,2)+GX29,0)</f>
        <v>0</v>
      </c>
      <c r="GR29">
        <v>0</v>
      </c>
      <c r="GS29">
        <v>0</v>
      </c>
      <c r="GT29">
        <v>0</v>
      </c>
      <c r="GU29" t="s">
        <v>6</v>
      </c>
      <c r="GV29">
        <f>ROUND((GT29),6)</f>
        <v>0</v>
      </c>
      <c r="GW29">
        <v>1</v>
      </c>
      <c r="GX29">
        <f>ROUND(HC29*I29,2)</f>
        <v>0</v>
      </c>
      <c r="HA29">
        <v>0</v>
      </c>
      <c r="HB29">
        <v>0</v>
      </c>
      <c r="HC29">
        <f>GV29*GW29</f>
        <v>0</v>
      </c>
      <c r="HE29" t="s">
        <v>6</v>
      </c>
      <c r="HF29" t="s">
        <v>6</v>
      </c>
      <c r="HI29">
        <f>ROUND(R29*BS29,0)</f>
        <v>0</v>
      </c>
      <c r="HJ29">
        <f>ROUND(S29*BA29,0)</f>
        <v>92</v>
      </c>
      <c r="HK29">
        <f>ROUND((((HJ29+HI29)*AT29)/100),0)</f>
        <v>83</v>
      </c>
      <c r="HL29">
        <f>ROUND((((HJ29+HI29)*AU29)/100),0)</f>
        <v>42</v>
      </c>
      <c r="HM29" t="s">
        <v>6</v>
      </c>
      <c r="HN29" t="s">
        <v>6</v>
      </c>
      <c r="HO29" t="s">
        <v>6</v>
      </c>
      <c r="HP29" t="s">
        <v>6</v>
      </c>
      <c r="HQ29" t="s">
        <v>6</v>
      </c>
      <c r="IK29">
        <v>0</v>
      </c>
    </row>
    <row r="31" spans="1:245">
      <c r="A31" s="2">
        <v>51</v>
      </c>
      <c r="B31" s="2">
        <f>B24</f>
        <v>1</v>
      </c>
      <c r="C31" s="2">
        <f>A24</f>
        <v>4</v>
      </c>
      <c r="D31" s="2">
        <f>ROW(A24)</f>
        <v>24</v>
      </c>
      <c r="E31" s="2"/>
      <c r="F31" s="2" t="str">
        <f>IF(F24&lt;&gt;"",F24,"")</f>
        <v>Новый раздел</v>
      </c>
      <c r="G31" s="2" t="str">
        <f>IF(G24&lt;&gt;"",G24,"")</f>
        <v>Демонтажные работы. Ремонт фасада</v>
      </c>
      <c r="H31" s="2">
        <v>0</v>
      </c>
      <c r="I31" s="2"/>
      <c r="J31" s="2"/>
      <c r="K31" s="2"/>
      <c r="L31" s="2"/>
      <c r="M31" s="2"/>
      <c r="N31" s="2"/>
      <c r="O31" s="2">
        <f t="shared" ref="O31:T31" si="22">ROUND(AB31,2)</f>
        <v>866.43</v>
      </c>
      <c r="P31" s="2">
        <f t="shared" si="22"/>
        <v>0</v>
      </c>
      <c r="Q31" s="2">
        <f t="shared" si="22"/>
        <v>312.70999999999998</v>
      </c>
      <c r="R31" s="2">
        <f t="shared" si="22"/>
        <v>27.71</v>
      </c>
      <c r="S31" s="2">
        <f t="shared" si="22"/>
        <v>553.72</v>
      </c>
      <c r="T31" s="2">
        <f t="shared" si="22"/>
        <v>0</v>
      </c>
      <c r="U31" s="2">
        <f>AH31</f>
        <v>64.823126400000007</v>
      </c>
      <c r="V31" s="2">
        <f>AI31</f>
        <v>2.12639508</v>
      </c>
      <c r="W31" s="2">
        <f>ROUND(AJ31,2)</f>
        <v>0</v>
      </c>
      <c r="X31" s="2">
        <f>ROUND(AK31,2)</f>
        <v>564.88</v>
      </c>
      <c r="Y31" s="2">
        <f>ROUND(AL31,2)</f>
        <v>271.79000000000002</v>
      </c>
      <c r="Z31" s="2"/>
      <c r="AA31" s="2"/>
      <c r="AB31" s="2">
        <f>ROUND(SUMIF(AA28:AA29,"=31028412",O28:O29),2)</f>
        <v>866.43</v>
      </c>
      <c r="AC31" s="2">
        <f>ROUND(SUMIF(AA28:AA29,"=31028412",P28:P29),2)</f>
        <v>0</v>
      </c>
      <c r="AD31" s="2">
        <f>ROUND(SUMIF(AA28:AA29,"=31028412",Q28:Q29),2)</f>
        <v>312.70999999999998</v>
      </c>
      <c r="AE31" s="2">
        <f>ROUND(SUMIF(AA28:AA29,"=31028412",R28:R29),2)</f>
        <v>27.71</v>
      </c>
      <c r="AF31" s="2">
        <f>ROUND(SUMIF(AA28:AA29,"=31028412",S28:S29),2)</f>
        <v>553.72</v>
      </c>
      <c r="AG31" s="2">
        <f>ROUND(SUMIF(AA28:AA29,"=31028412",T28:T29),2)</f>
        <v>0</v>
      </c>
      <c r="AH31" s="2">
        <f>SUMIF(AA28:AA29,"=31028412",U28:U29)</f>
        <v>64.823126400000007</v>
      </c>
      <c r="AI31" s="2">
        <f>SUMIF(AA28:AA29,"=31028412",V28:V29)</f>
        <v>2.12639508</v>
      </c>
      <c r="AJ31" s="2">
        <f>ROUND(SUMIF(AA28:AA29,"=31028412",W28:W29),2)</f>
        <v>0</v>
      </c>
      <c r="AK31" s="2">
        <f>ROUND(SUMIF(AA28:AA29,"=31028412",X28:X29),2)</f>
        <v>564.88</v>
      </c>
      <c r="AL31" s="2">
        <f>ROUND(SUMIF(AA28:AA29,"=31028412",Y28:Y29),2)</f>
        <v>271.79000000000002</v>
      </c>
      <c r="AM31" s="2"/>
      <c r="AN31" s="2"/>
      <c r="AO31" s="2">
        <f t="shared" ref="AO31:BD31" si="23">ROUND(BX31,2)</f>
        <v>0</v>
      </c>
      <c r="AP31" s="2">
        <f t="shared" si="23"/>
        <v>0</v>
      </c>
      <c r="AQ31" s="2">
        <f t="shared" si="23"/>
        <v>0</v>
      </c>
      <c r="AR31" s="2">
        <f t="shared" si="23"/>
        <v>1703.1</v>
      </c>
      <c r="AS31" s="2">
        <f t="shared" si="23"/>
        <v>1703.1</v>
      </c>
      <c r="AT31" s="2">
        <f t="shared" si="23"/>
        <v>0</v>
      </c>
      <c r="AU31" s="2">
        <f t="shared" si="23"/>
        <v>0</v>
      </c>
      <c r="AV31" s="2">
        <f t="shared" si="23"/>
        <v>0</v>
      </c>
      <c r="AW31" s="2">
        <f t="shared" si="23"/>
        <v>0</v>
      </c>
      <c r="AX31" s="2">
        <f t="shared" si="23"/>
        <v>0</v>
      </c>
      <c r="AY31" s="2">
        <f t="shared" si="23"/>
        <v>0</v>
      </c>
      <c r="AZ31" s="2">
        <f t="shared" si="23"/>
        <v>0</v>
      </c>
      <c r="BA31" s="2">
        <f t="shared" si="23"/>
        <v>0</v>
      </c>
      <c r="BB31" s="2">
        <f t="shared" si="23"/>
        <v>0</v>
      </c>
      <c r="BC31" s="2">
        <f t="shared" si="23"/>
        <v>0</v>
      </c>
      <c r="BD31" s="2">
        <f t="shared" si="23"/>
        <v>0</v>
      </c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>
        <f>ROUND(SUMIF(AA28:AA29,"=31028412",FQ28:FQ29),2)</f>
        <v>0</v>
      </c>
      <c r="BY31" s="2">
        <f>ROUND(SUMIF(AA28:AA29,"=31028412",FR28:FR29),2)</f>
        <v>0</v>
      </c>
      <c r="BZ31" s="2">
        <f>ROUND(SUMIF(AA28:AA29,"=31028412",GL28:GL29),2)</f>
        <v>0</v>
      </c>
      <c r="CA31" s="2">
        <f>ROUND(SUMIF(AA28:AA29,"=31028412",GM28:GM29),2)</f>
        <v>1703.1</v>
      </c>
      <c r="CB31" s="2">
        <f>ROUND(SUMIF(AA28:AA29,"=31028412",GN28:GN29),2)</f>
        <v>1703.1</v>
      </c>
      <c r="CC31" s="2">
        <f>ROUND(SUMIF(AA28:AA29,"=31028412",GO28:GO29),2)</f>
        <v>0</v>
      </c>
      <c r="CD31" s="2">
        <f>ROUND(SUMIF(AA28:AA29,"=31028412",GP28:GP29),2)</f>
        <v>0</v>
      </c>
      <c r="CE31" s="2">
        <f>AC31-BX31</f>
        <v>0</v>
      </c>
      <c r="CF31" s="2">
        <f>AC31-BY31</f>
        <v>0</v>
      </c>
      <c r="CG31" s="2">
        <f>BX31-BZ31</f>
        <v>0</v>
      </c>
      <c r="CH31" s="2">
        <f>AC31-BX31-BY31+BZ31</f>
        <v>0</v>
      </c>
      <c r="CI31" s="2">
        <f>BY31-BZ31</f>
        <v>0</v>
      </c>
      <c r="CJ31" s="2">
        <f>ROUND(SUMIF(AA28:AA29,"=31028412",GX28:GX29),2)</f>
        <v>0</v>
      </c>
      <c r="CK31" s="2">
        <f>ROUND(SUMIF(AA28:AA29,"=31028412",GY28:GY29),2)</f>
        <v>0</v>
      </c>
      <c r="CL31" s="2">
        <f>ROUND(SUMIF(AA28:AA29,"=31028412",GZ28:GZ29),2)</f>
        <v>0</v>
      </c>
      <c r="CM31" s="2">
        <f>ROUND(SUMIF(AA28:AA29,"=31028412",HD28:HD29),2)</f>
        <v>0</v>
      </c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3"/>
      <c r="FA31" s="3"/>
      <c r="FB31" s="3"/>
      <c r="FC31" s="3"/>
      <c r="FD31" s="3"/>
      <c r="FE31" s="3"/>
      <c r="FF31" s="3"/>
      <c r="FG31" s="3"/>
      <c r="FH31" s="3"/>
      <c r="FI31" s="3"/>
      <c r="FJ31" s="3"/>
      <c r="FK31" s="3"/>
      <c r="FL31" s="3"/>
      <c r="FM31" s="3"/>
      <c r="FN31" s="3"/>
      <c r="FO31" s="3"/>
      <c r="FP31" s="3"/>
      <c r="FQ31" s="3"/>
      <c r="FR31" s="3"/>
      <c r="FS31" s="3"/>
      <c r="FT31" s="3"/>
      <c r="FU31" s="3"/>
      <c r="FV31" s="3"/>
      <c r="FW31" s="3"/>
      <c r="FX31" s="3"/>
      <c r="FY31" s="3"/>
      <c r="FZ31" s="3"/>
      <c r="GA31" s="3"/>
      <c r="GB31" s="3"/>
      <c r="GC31" s="3"/>
      <c r="GD31" s="3"/>
      <c r="GE31" s="3"/>
      <c r="GF31" s="3"/>
      <c r="GG31" s="3"/>
      <c r="GH31" s="3"/>
      <c r="GI31" s="3"/>
      <c r="GJ31" s="3"/>
      <c r="GK31" s="3"/>
      <c r="GL31" s="3"/>
      <c r="GM31" s="3"/>
      <c r="GN31" s="3"/>
      <c r="GO31" s="3"/>
      <c r="GP31" s="3"/>
      <c r="GQ31" s="3"/>
      <c r="GR31" s="3"/>
      <c r="GS31" s="3"/>
      <c r="GT31" s="3"/>
      <c r="GU31" s="3"/>
      <c r="GV31" s="3"/>
      <c r="GW31" s="3"/>
      <c r="GX31" s="3">
        <v>0</v>
      </c>
    </row>
    <row r="33" spans="1:28">
      <c r="A33" s="4">
        <v>50</v>
      </c>
      <c r="B33" s="4">
        <v>0</v>
      </c>
      <c r="C33" s="4">
        <v>0</v>
      </c>
      <c r="D33" s="4">
        <v>1</v>
      </c>
      <c r="E33" s="4">
        <v>201</v>
      </c>
      <c r="F33" s="4">
        <f>ROUND(Source!O31,O33)</f>
        <v>866.43</v>
      </c>
      <c r="G33" s="4" t="s">
        <v>40</v>
      </c>
      <c r="H33" s="4" t="s">
        <v>41</v>
      </c>
      <c r="I33" s="4"/>
      <c r="J33" s="4"/>
      <c r="K33" s="4">
        <v>201</v>
      </c>
      <c r="L33" s="4">
        <v>1</v>
      </c>
      <c r="M33" s="4">
        <v>3</v>
      </c>
      <c r="N33" s="4" t="s">
        <v>6</v>
      </c>
      <c r="O33" s="4">
        <v>2</v>
      </c>
      <c r="P33" s="4"/>
      <c r="Q33" s="4"/>
      <c r="R33" s="4"/>
      <c r="S33" s="4"/>
      <c r="T33" s="4"/>
      <c r="U33" s="4"/>
      <c r="V33" s="4"/>
      <c r="W33" s="4">
        <v>866.43000000000006</v>
      </c>
      <c r="X33" s="4">
        <v>1</v>
      </c>
      <c r="Y33" s="4">
        <v>15801</v>
      </c>
      <c r="Z33" s="4"/>
      <c r="AA33" s="4"/>
      <c r="AB33" s="4"/>
    </row>
    <row r="34" spans="1:28">
      <c r="A34" s="4">
        <v>50</v>
      </c>
      <c r="B34" s="4">
        <v>0</v>
      </c>
      <c r="C34" s="4">
        <v>0</v>
      </c>
      <c r="D34" s="4">
        <v>1</v>
      </c>
      <c r="E34" s="4">
        <v>202</v>
      </c>
      <c r="F34" s="4">
        <f>ROUND(Source!P31,O34)</f>
        <v>0</v>
      </c>
      <c r="G34" s="4" t="s">
        <v>42</v>
      </c>
      <c r="H34" s="4" t="s">
        <v>43</v>
      </c>
      <c r="I34" s="4"/>
      <c r="J34" s="4"/>
      <c r="K34" s="4">
        <v>202</v>
      </c>
      <c r="L34" s="4">
        <v>2</v>
      </c>
      <c r="M34" s="4">
        <v>3</v>
      </c>
      <c r="N34" s="4" t="s">
        <v>6</v>
      </c>
      <c r="O34" s="4">
        <v>2</v>
      </c>
      <c r="P34" s="4"/>
      <c r="Q34" s="4"/>
      <c r="R34" s="4"/>
      <c r="S34" s="4"/>
      <c r="T34" s="4"/>
      <c r="U34" s="4"/>
      <c r="V34" s="4"/>
      <c r="W34" s="4">
        <v>0</v>
      </c>
      <c r="X34" s="4">
        <v>1</v>
      </c>
      <c r="Y34" s="4">
        <v>0</v>
      </c>
      <c r="Z34" s="4"/>
      <c r="AA34" s="4"/>
      <c r="AB34" s="4"/>
    </row>
    <row r="35" spans="1:28">
      <c r="A35" s="4">
        <v>50</v>
      </c>
      <c r="B35" s="4">
        <v>0</v>
      </c>
      <c r="C35" s="4">
        <v>0</v>
      </c>
      <c r="D35" s="4">
        <v>1</v>
      </c>
      <c r="E35" s="4">
        <v>30835619</v>
      </c>
      <c r="F35" s="4">
        <f>ROUND(Source!AO31,O35)</f>
        <v>0</v>
      </c>
      <c r="G35" s="4" t="s">
        <v>44</v>
      </c>
      <c r="H35" s="4" t="s">
        <v>45</v>
      </c>
      <c r="I35" s="4"/>
      <c r="J35" s="4"/>
      <c r="K35" s="4">
        <v>222</v>
      </c>
      <c r="L35" s="4">
        <v>3</v>
      </c>
      <c r="M35" s="4">
        <v>3</v>
      </c>
      <c r="N35" s="4" t="s">
        <v>6</v>
      </c>
      <c r="O35" s="4">
        <v>2</v>
      </c>
      <c r="P35" s="4"/>
      <c r="Q35" s="4"/>
      <c r="R35" s="4"/>
      <c r="S35" s="4"/>
      <c r="T35" s="4"/>
      <c r="U35" s="4"/>
      <c r="V35" s="4"/>
      <c r="W35" s="4">
        <v>0</v>
      </c>
      <c r="X35" s="4">
        <v>1</v>
      </c>
      <c r="Y35" s="4">
        <v>0</v>
      </c>
      <c r="Z35" s="4"/>
      <c r="AA35" s="4"/>
      <c r="AB35" s="4"/>
    </row>
    <row r="36" spans="1:28">
      <c r="A36" s="4">
        <v>50</v>
      </c>
      <c r="B36" s="4">
        <v>0</v>
      </c>
      <c r="C36" s="4">
        <v>0</v>
      </c>
      <c r="D36" s="4">
        <v>1</v>
      </c>
      <c r="E36" s="4">
        <v>225</v>
      </c>
      <c r="F36" s="4">
        <f>ROUND(Source!AV31,O36)</f>
        <v>0</v>
      </c>
      <c r="G36" s="4" t="s">
        <v>46</v>
      </c>
      <c r="H36" s="4" t="s">
        <v>47</v>
      </c>
      <c r="I36" s="4"/>
      <c r="J36" s="4"/>
      <c r="K36" s="4">
        <v>225</v>
      </c>
      <c r="L36" s="4">
        <v>4</v>
      </c>
      <c r="M36" s="4">
        <v>3</v>
      </c>
      <c r="N36" s="4" t="s">
        <v>6</v>
      </c>
      <c r="O36" s="4">
        <v>2</v>
      </c>
      <c r="P36" s="4"/>
      <c r="Q36" s="4"/>
      <c r="R36" s="4"/>
      <c r="S36" s="4"/>
      <c r="T36" s="4"/>
      <c r="U36" s="4"/>
      <c r="V36" s="4"/>
      <c r="W36" s="4">
        <v>0</v>
      </c>
      <c r="X36" s="4">
        <v>1</v>
      </c>
      <c r="Y36" s="4">
        <v>0</v>
      </c>
      <c r="Z36" s="4"/>
      <c r="AA36" s="4"/>
      <c r="AB36" s="4"/>
    </row>
    <row r="37" spans="1:28">
      <c r="A37" s="4">
        <v>50</v>
      </c>
      <c r="B37" s="4">
        <v>0</v>
      </c>
      <c r="C37" s="4">
        <v>0</v>
      </c>
      <c r="D37" s="4">
        <v>1</v>
      </c>
      <c r="E37" s="4">
        <v>226</v>
      </c>
      <c r="F37" s="4">
        <f>ROUND(Source!AW31,O37)</f>
        <v>0</v>
      </c>
      <c r="G37" s="4" t="s">
        <v>48</v>
      </c>
      <c r="H37" s="4" t="s">
        <v>49</v>
      </c>
      <c r="I37" s="4"/>
      <c r="J37" s="4"/>
      <c r="K37" s="4">
        <v>226</v>
      </c>
      <c r="L37" s="4">
        <v>5</v>
      </c>
      <c r="M37" s="4">
        <v>3</v>
      </c>
      <c r="N37" s="4" t="s">
        <v>6</v>
      </c>
      <c r="O37" s="4">
        <v>2</v>
      </c>
      <c r="P37" s="4"/>
      <c r="Q37" s="4"/>
      <c r="R37" s="4"/>
      <c r="S37" s="4"/>
      <c r="T37" s="4"/>
      <c r="U37" s="4"/>
      <c r="V37" s="4"/>
      <c r="W37" s="4">
        <v>0</v>
      </c>
      <c r="X37" s="4">
        <v>1</v>
      </c>
      <c r="Y37" s="4">
        <v>0</v>
      </c>
      <c r="Z37" s="4"/>
      <c r="AA37" s="4"/>
      <c r="AB37" s="4"/>
    </row>
    <row r="38" spans="1:28">
      <c r="A38" s="4">
        <v>50</v>
      </c>
      <c r="B38" s="4">
        <v>0</v>
      </c>
      <c r="C38" s="4">
        <v>0</v>
      </c>
      <c r="D38" s="4">
        <v>1</v>
      </c>
      <c r="E38" s="4">
        <v>227</v>
      </c>
      <c r="F38" s="4">
        <f>ROUND(Source!AX31,O38)</f>
        <v>0</v>
      </c>
      <c r="G38" s="4" t="s">
        <v>50</v>
      </c>
      <c r="H38" s="4" t="s">
        <v>51</v>
      </c>
      <c r="I38" s="4"/>
      <c r="J38" s="4"/>
      <c r="K38" s="4">
        <v>227</v>
      </c>
      <c r="L38" s="4">
        <v>6</v>
      </c>
      <c r="M38" s="4">
        <v>3</v>
      </c>
      <c r="N38" s="4" t="s">
        <v>6</v>
      </c>
      <c r="O38" s="4">
        <v>2</v>
      </c>
      <c r="P38" s="4"/>
      <c r="Q38" s="4"/>
      <c r="R38" s="4"/>
      <c r="S38" s="4"/>
      <c r="T38" s="4"/>
      <c r="U38" s="4"/>
      <c r="V38" s="4"/>
      <c r="W38" s="4">
        <v>0</v>
      </c>
      <c r="X38" s="4">
        <v>1</v>
      </c>
      <c r="Y38" s="4">
        <v>0</v>
      </c>
      <c r="Z38" s="4"/>
      <c r="AA38" s="4"/>
      <c r="AB38" s="4"/>
    </row>
    <row r="39" spans="1:28">
      <c r="A39" s="4">
        <v>50</v>
      </c>
      <c r="B39" s="4">
        <v>0</v>
      </c>
      <c r="C39" s="4">
        <v>0</v>
      </c>
      <c r="D39" s="4">
        <v>1</v>
      </c>
      <c r="E39" s="4">
        <v>228</v>
      </c>
      <c r="F39" s="4">
        <f>ROUND(Source!AY31,O39)</f>
        <v>0</v>
      </c>
      <c r="G39" s="4" t="s">
        <v>52</v>
      </c>
      <c r="H39" s="4" t="s">
        <v>53</v>
      </c>
      <c r="I39" s="4"/>
      <c r="J39" s="4"/>
      <c r="K39" s="4">
        <v>228</v>
      </c>
      <c r="L39" s="4">
        <v>7</v>
      </c>
      <c r="M39" s="4">
        <v>3</v>
      </c>
      <c r="N39" s="4" t="s">
        <v>6</v>
      </c>
      <c r="O39" s="4">
        <v>2</v>
      </c>
      <c r="P39" s="4"/>
      <c r="Q39" s="4"/>
      <c r="R39" s="4"/>
      <c r="S39" s="4"/>
      <c r="T39" s="4"/>
      <c r="U39" s="4"/>
      <c r="V39" s="4"/>
      <c r="W39" s="4">
        <v>0</v>
      </c>
      <c r="X39" s="4">
        <v>1</v>
      </c>
      <c r="Y39" s="4">
        <v>0</v>
      </c>
      <c r="Z39" s="4"/>
      <c r="AA39" s="4"/>
      <c r="AB39" s="4"/>
    </row>
    <row r="40" spans="1:28">
      <c r="A40" s="4">
        <v>50</v>
      </c>
      <c r="B40" s="4">
        <v>0</v>
      </c>
      <c r="C40" s="4">
        <v>0</v>
      </c>
      <c r="D40" s="4">
        <v>1</v>
      </c>
      <c r="E40" s="4">
        <v>216</v>
      </c>
      <c r="F40" s="4">
        <f>ROUND(Source!AP31,O40)</f>
        <v>0</v>
      </c>
      <c r="G40" s="4" t="s">
        <v>54</v>
      </c>
      <c r="H40" s="4" t="s">
        <v>55</v>
      </c>
      <c r="I40" s="4"/>
      <c r="J40" s="4"/>
      <c r="K40" s="4">
        <v>216</v>
      </c>
      <c r="L40" s="4">
        <v>8</v>
      </c>
      <c r="M40" s="4">
        <v>3</v>
      </c>
      <c r="N40" s="4" t="s">
        <v>6</v>
      </c>
      <c r="O40" s="4">
        <v>2</v>
      </c>
      <c r="P40" s="4"/>
      <c r="Q40" s="4"/>
      <c r="R40" s="4"/>
      <c r="S40" s="4"/>
      <c r="T40" s="4"/>
      <c r="U40" s="4"/>
      <c r="V40" s="4"/>
      <c r="W40" s="4">
        <v>0</v>
      </c>
      <c r="X40" s="4">
        <v>1</v>
      </c>
      <c r="Y40" s="4">
        <v>0</v>
      </c>
      <c r="Z40" s="4"/>
      <c r="AA40" s="4"/>
      <c r="AB40" s="4"/>
    </row>
    <row r="41" spans="1:28">
      <c r="A41" s="4">
        <v>50</v>
      </c>
      <c r="B41" s="4">
        <v>0</v>
      </c>
      <c r="C41" s="4">
        <v>0</v>
      </c>
      <c r="D41" s="4">
        <v>1</v>
      </c>
      <c r="E41" s="4">
        <v>223</v>
      </c>
      <c r="F41" s="4">
        <f>ROUND(Source!AQ31,O41)</f>
        <v>0</v>
      </c>
      <c r="G41" s="4" t="s">
        <v>56</v>
      </c>
      <c r="H41" s="4" t="s">
        <v>57</v>
      </c>
      <c r="I41" s="4"/>
      <c r="J41" s="4"/>
      <c r="K41" s="4">
        <v>223</v>
      </c>
      <c r="L41" s="4">
        <v>9</v>
      </c>
      <c r="M41" s="4">
        <v>3</v>
      </c>
      <c r="N41" s="4" t="s">
        <v>6</v>
      </c>
      <c r="O41" s="4">
        <v>2</v>
      </c>
      <c r="P41" s="4"/>
      <c r="Q41" s="4"/>
      <c r="R41" s="4"/>
      <c r="S41" s="4"/>
      <c r="T41" s="4"/>
      <c r="U41" s="4"/>
      <c r="V41" s="4"/>
      <c r="W41" s="4">
        <v>0</v>
      </c>
      <c r="X41" s="4">
        <v>1</v>
      </c>
      <c r="Y41" s="4">
        <v>0</v>
      </c>
      <c r="Z41" s="4"/>
      <c r="AA41" s="4"/>
      <c r="AB41" s="4"/>
    </row>
    <row r="42" spans="1:28">
      <c r="A42" s="4">
        <v>50</v>
      </c>
      <c r="B42" s="4">
        <v>0</v>
      </c>
      <c r="C42" s="4">
        <v>0</v>
      </c>
      <c r="D42" s="4">
        <v>1</v>
      </c>
      <c r="E42" s="4">
        <v>229</v>
      </c>
      <c r="F42" s="4">
        <f>ROUND(Source!AZ31,O42)</f>
        <v>0</v>
      </c>
      <c r="G42" s="4" t="s">
        <v>58</v>
      </c>
      <c r="H42" s="4" t="s">
        <v>59</v>
      </c>
      <c r="I42" s="4"/>
      <c r="J42" s="4"/>
      <c r="K42" s="4">
        <v>229</v>
      </c>
      <c r="L42" s="4">
        <v>10</v>
      </c>
      <c r="M42" s="4">
        <v>3</v>
      </c>
      <c r="N42" s="4" t="s">
        <v>6</v>
      </c>
      <c r="O42" s="4">
        <v>2</v>
      </c>
      <c r="P42" s="4"/>
      <c r="Q42" s="4"/>
      <c r="R42" s="4"/>
      <c r="S42" s="4"/>
      <c r="T42" s="4"/>
      <c r="U42" s="4"/>
      <c r="V42" s="4"/>
      <c r="W42" s="4">
        <v>0</v>
      </c>
      <c r="X42" s="4">
        <v>1</v>
      </c>
      <c r="Y42" s="4">
        <v>0</v>
      </c>
      <c r="Z42" s="4"/>
      <c r="AA42" s="4"/>
      <c r="AB42" s="4"/>
    </row>
    <row r="43" spans="1:28">
      <c r="A43" s="4">
        <v>50</v>
      </c>
      <c r="B43" s="4">
        <v>0</v>
      </c>
      <c r="C43" s="4">
        <v>0</v>
      </c>
      <c r="D43" s="4">
        <v>1</v>
      </c>
      <c r="E43" s="4">
        <v>203</v>
      </c>
      <c r="F43" s="4">
        <f>ROUND(Source!Q31,O43)</f>
        <v>312.70999999999998</v>
      </c>
      <c r="G43" s="4" t="s">
        <v>60</v>
      </c>
      <c r="H43" s="4" t="s">
        <v>61</v>
      </c>
      <c r="I43" s="4"/>
      <c r="J43" s="4"/>
      <c r="K43" s="4">
        <v>203</v>
      </c>
      <c r="L43" s="4">
        <v>11</v>
      </c>
      <c r="M43" s="4">
        <v>3</v>
      </c>
      <c r="N43" s="4" t="s">
        <v>6</v>
      </c>
      <c r="O43" s="4">
        <v>2</v>
      </c>
      <c r="P43" s="4"/>
      <c r="Q43" s="4"/>
      <c r="R43" s="4"/>
      <c r="S43" s="4"/>
      <c r="T43" s="4"/>
      <c r="U43" s="4"/>
      <c r="V43" s="4"/>
      <c r="W43" s="4">
        <v>312.70999999999998</v>
      </c>
      <c r="X43" s="4">
        <v>1</v>
      </c>
      <c r="Y43" s="4">
        <v>2389</v>
      </c>
      <c r="Z43" s="4"/>
      <c r="AA43" s="4"/>
      <c r="AB43" s="4"/>
    </row>
    <row r="44" spans="1:28">
      <c r="A44" s="4">
        <v>50</v>
      </c>
      <c r="B44" s="4">
        <v>0</v>
      </c>
      <c r="C44" s="4">
        <v>0</v>
      </c>
      <c r="D44" s="4">
        <v>1</v>
      </c>
      <c r="E44" s="4">
        <v>231</v>
      </c>
      <c r="F44" s="4">
        <f>ROUND(Source!BB31,O44)</f>
        <v>0</v>
      </c>
      <c r="G44" s="4" t="s">
        <v>62</v>
      </c>
      <c r="H44" s="4" t="s">
        <v>63</v>
      </c>
      <c r="I44" s="4"/>
      <c r="J44" s="4"/>
      <c r="K44" s="4">
        <v>231</v>
      </c>
      <c r="L44" s="4">
        <v>12</v>
      </c>
      <c r="M44" s="4">
        <v>3</v>
      </c>
      <c r="N44" s="4" t="s">
        <v>6</v>
      </c>
      <c r="O44" s="4">
        <v>2</v>
      </c>
      <c r="P44" s="4"/>
      <c r="Q44" s="4"/>
      <c r="R44" s="4"/>
      <c r="S44" s="4"/>
      <c r="T44" s="4"/>
      <c r="U44" s="4"/>
      <c r="V44" s="4"/>
      <c r="W44" s="4">
        <v>0</v>
      </c>
      <c r="X44" s="4">
        <v>1</v>
      </c>
      <c r="Y44" s="4">
        <v>0</v>
      </c>
      <c r="Z44" s="4"/>
      <c r="AA44" s="4"/>
      <c r="AB44" s="4"/>
    </row>
    <row r="45" spans="1:28">
      <c r="A45" s="4">
        <v>50</v>
      </c>
      <c r="B45" s="4">
        <v>0</v>
      </c>
      <c r="C45" s="4">
        <v>0</v>
      </c>
      <c r="D45" s="4">
        <v>1</v>
      </c>
      <c r="E45" s="4">
        <v>204</v>
      </c>
      <c r="F45" s="4">
        <f>ROUND(Source!R31,O45)</f>
        <v>27.71</v>
      </c>
      <c r="G45" s="4" t="s">
        <v>64</v>
      </c>
      <c r="H45" s="4" t="s">
        <v>65</v>
      </c>
      <c r="I45" s="4"/>
      <c r="J45" s="4"/>
      <c r="K45" s="4">
        <v>204</v>
      </c>
      <c r="L45" s="4">
        <v>13</v>
      </c>
      <c r="M45" s="4">
        <v>3</v>
      </c>
      <c r="N45" s="4" t="s">
        <v>6</v>
      </c>
      <c r="O45" s="4">
        <v>2</v>
      </c>
      <c r="P45" s="4"/>
      <c r="Q45" s="4"/>
      <c r="R45" s="4"/>
      <c r="S45" s="4"/>
      <c r="T45" s="4"/>
      <c r="U45" s="4"/>
      <c r="V45" s="4"/>
      <c r="W45" s="4">
        <v>27.71</v>
      </c>
      <c r="X45" s="4">
        <v>1</v>
      </c>
      <c r="Y45" s="4">
        <v>671</v>
      </c>
      <c r="Z45" s="4"/>
      <c r="AA45" s="4"/>
      <c r="AB45" s="4"/>
    </row>
    <row r="46" spans="1:28">
      <c r="A46" s="4">
        <v>50</v>
      </c>
      <c r="B46" s="4">
        <v>0</v>
      </c>
      <c r="C46" s="4">
        <v>0</v>
      </c>
      <c r="D46" s="4">
        <v>1</v>
      </c>
      <c r="E46" s="4">
        <v>205</v>
      </c>
      <c r="F46" s="4">
        <f>ROUND(Source!S31,O46)</f>
        <v>553.72</v>
      </c>
      <c r="G46" s="4" t="s">
        <v>66</v>
      </c>
      <c r="H46" s="4" t="s">
        <v>67</v>
      </c>
      <c r="I46" s="4"/>
      <c r="J46" s="4"/>
      <c r="K46" s="4">
        <v>205</v>
      </c>
      <c r="L46" s="4">
        <v>14</v>
      </c>
      <c r="M46" s="4">
        <v>3</v>
      </c>
      <c r="N46" s="4" t="s">
        <v>6</v>
      </c>
      <c r="O46" s="4">
        <v>2</v>
      </c>
      <c r="P46" s="4"/>
      <c r="Q46" s="4"/>
      <c r="R46" s="4"/>
      <c r="S46" s="4"/>
      <c r="T46" s="4"/>
      <c r="U46" s="4"/>
      <c r="V46" s="4"/>
      <c r="W46" s="4">
        <v>553.72</v>
      </c>
      <c r="X46" s="4">
        <v>1</v>
      </c>
      <c r="Y46" s="4">
        <v>13412</v>
      </c>
      <c r="Z46" s="4"/>
      <c r="AA46" s="4"/>
      <c r="AB46" s="4"/>
    </row>
    <row r="47" spans="1:28">
      <c r="A47" s="4">
        <v>50</v>
      </c>
      <c r="B47" s="4">
        <v>0</v>
      </c>
      <c r="C47" s="4">
        <v>0</v>
      </c>
      <c r="D47" s="4">
        <v>1</v>
      </c>
      <c r="E47" s="4">
        <v>232</v>
      </c>
      <c r="F47" s="4">
        <f>ROUND(Source!BC31,O47)</f>
        <v>0</v>
      </c>
      <c r="G47" s="4" t="s">
        <v>68</v>
      </c>
      <c r="H47" s="4" t="s">
        <v>69</v>
      </c>
      <c r="I47" s="4"/>
      <c r="J47" s="4"/>
      <c r="K47" s="4">
        <v>232</v>
      </c>
      <c r="L47" s="4">
        <v>15</v>
      </c>
      <c r="M47" s="4">
        <v>3</v>
      </c>
      <c r="N47" s="4" t="s">
        <v>6</v>
      </c>
      <c r="O47" s="4">
        <v>2</v>
      </c>
      <c r="P47" s="4"/>
      <c r="Q47" s="4"/>
      <c r="R47" s="4"/>
      <c r="S47" s="4"/>
      <c r="T47" s="4"/>
      <c r="U47" s="4"/>
      <c r="V47" s="4"/>
      <c r="W47" s="4">
        <v>0</v>
      </c>
      <c r="X47" s="4">
        <v>1</v>
      </c>
      <c r="Y47" s="4">
        <v>0</v>
      </c>
      <c r="Z47" s="4"/>
      <c r="AA47" s="4"/>
      <c r="AB47" s="4"/>
    </row>
    <row r="48" spans="1:28">
      <c r="A48" s="4">
        <v>50</v>
      </c>
      <c r="B48" s="4">
        <v>0</v>
      </c>
      <c r="C48" s="4">
        <v>0</v>
      </c>
      <c r="D48" s="4">
        <v>1</v>
      </c>
      <c r="E48" s="4">
        <v>214</v>
      </c>
      <c r="F48" s="4">
        <f>ROUND(Source!AS31,O48)</f>
        <v>1703.1</v>
      </c>
      <c r="G48" s="4" t="s">
        <v>70</v>
      </c>
      <c r="H48" s="4" t="s">
        <v>71</v>
      </c>
      <c r="I48" s="4"/>
      <c r="J48" s="4"/>
      <c r="K48" s="4">
        <v>214</v>
      </c>
      <c r="L48" s="4">
        <v>16</v>
      </c>
      <c r="M48" s="4">
        <v>3</v>
      </c>
      <c r="N48" s="4" t="s">
        <v>6</v>
      </c>
      <c r="O48" s="4">
        <v>2</v>
      </c>
      <c r="P48" s="4"/>
      <c r="Q48" s="4"/>
      <c r="R48" s="4"/>
      <c r="S48" s="4"/>
      <c r="T48" s="4"/>
      <c r="U48" s="4"/>
      <c r="V48" s="4"/>
      <c r="W48" s="4">
        <v>1703.1</v>
      </c>
      <c r="X48" s="4">
        <v>1</v>
      </c>
      <c r="Y48" s="4">
        <v>36066</v>
      </c>
      <c r="Z48" s="4"/>
      <c r="AA48" s="4"/>
      <c r="AB48" s="4"/>
    </row>
    <row r="49" spans="1:88">
      <c r="A49" s="4">
        <v>50</v>
      </c>
      <c r="B49" s="4">
        <v>0</v>
      </c>
      <c r="C49" s="4">
        <v>0</v>
      </c>
      <c r="D49" s="4">
        <v>1</v>
      </c>
      <c r="E49" s="4">
        <v>215</v>
      </c>
      <c r="F49" s="4">
        <f>ROUND(Source!AT31,O49)</f>
        <v>0</v>
      </c>
      <c r="G49" s="4" t="s">
        <v>72</v>
      </c>
      <c r="H49" s="4" t="s">
        <v>73</v>
      </c>
      <c r="I49" s="4"/>
      <c r="J49" s="4"/>
      <c r="K49" s="4">
        <v>215</v>
      </c>
      <c r="L49" s="4">
        <v>17</v>
      </c>
      <c r="M49" s="4">
        <v>3</v>
      </c>
      <c r="N49" s="4" t="s">
        <v>6</v>
      </c>
      <c r="O49" s="4">
        <v>2</v>
      </c>
      <c r="P49" s="4"/>
      <c r="Q49" s="4"/>
      <c r="R49" s="4"/>
      <c r="S49" s="4"/>
      <c r="T49" s="4"/>
      <c r="U49" s="4"/>
      <c r="V49" s="4"/>
      <c r="W49" s="4">
        <v>0</v>
      </c>
      <c r="X49" s="4">
        <v>1</v>
      </c>
      <c r="Y49" s="4">
        <v>0</v>
      </c>
      <c r="Z49" s="4"/>
      <c r="AA49" s="4"/>
      <c r="AB49" s="4"/>
    </row>
    <row r="50" spans="1:88">
      <c r="A50" s="4">
        <v>50</v>
      </c>
      <c r="B50" s="4">
        <v>0</v>
      </c>
      <c r="C50" s="4">
        <v>0</v>
      </c>
      <c r="D50" s="4">
        <v>1</v>
      </c>
      <c r="E50" s="4">
        <v>217</v>
      </c>
      <c r="F50" s="4">
        <f>ROUND(Source!AU31,O50)</f>
        <v>0</v>
      </c>
      <c r="G50" s="4" t="s">
        <v>74</v>
      </c>
      <c r="H50" s="4" t="s">
        <v>75</v>
      </c>
      <c r="I50" s="4"/>
      <c r="J50" s="4"/>
      <c r="K50" s="4">
        <v>217</v>
      </c>
      <c r="L50" s="4">
        <v>18</v>
      </c>
      <c r="M50" s="4">
        <v>3</v>
      </c>
      <c r="N50" s="4" t="s">
        <v>6</v>
      </c>
      <c r="O50" s="4">
        <v>2</v>
      </c>
      <c r="P50" s="4"/>
      <c r="Q50" s="4"/>
      <c r="R50" s="4"/>
      <c r="S50" s="4"/>
      <c r="T50" s="4"/>
      <c r="U50" s="4"/>
      <c r="V50" s="4"/>
      <c r="W50" s="4">
        <v>0</v>
      </c>
      <c r="X50" s="4">
        <v>1</v>
      </c>
      <c r="Y50" s="4">
        <v>0</v>
      </c>
      <c r="Z50" s="4"/>
      <c r="AA50" s="4"/>
      <c r="AB50" s="4"/>
    </row>
    <row r="51" spans="1:88">
      <c r="A51" s="4">
        <v>50</v>
      </c>
      <c r="B51" s="4">
        <v>0</v>
      </c>
      <c r="C51" s="4">
        <v>0</v>
      </c>
      <c r="D51" s="4">
        <v>1</v>
      </c>
      <c r="E51" s="4">
        <v>230</v>
      </c>
      <c r="F51" s="4">
        <f>ROUND(Source!BA31,O51)</f>
        <v>0</v>
      </c>
      <c r="G51" s="4" t="s">
        <v>76</v>
      </c>
      <c r="H51" s="4" t="s">
        <v>77</v>
      </c>
      <c r="I51" s="4"/>
      <c r="J51" s="4"/>
      <c r="K51" s="4">
        <v>230</v>
      </c>
      <c r="L51" s="4">
        <v>19</v>
      </c>
      <c r="M51" s="4">
        <v>3</v>
      </c>
      <c r="N51" s="4" t="s">
        <v>6</v>
      </c>
      <c r="O51" s="4">
        <v>2</v>
      </c>
      <c r="P51" s="4"/>
      <c r="Q51" s="4"/>
      <c r="R51" s="4"/>
      <c r="S51" s="4"/>
      <c r="T51" s="4"/>
      <c r="U51" s="4"/>
      <c r="V51" s="4"/>
      <c r="W51" s="4">
        <v>0</v>
      </c>
      <c r="X51" s="4">
        <v>1</v>
      </c>
      <c r="Y51" s="4">
        <v>0</v>
      </c>
      <c r="Z51" s="4"/>
      <c r="AA51" s="4"/>
      <c r="AB51" s="4"/>
    </row>
    <row r="52" spans="1:88">
      <c r="A52" s="4">
        <v>50</v>
      </c>
      <c r="B52" s="4">
        <v>0</v>
      </c>
      <c r="C52" s="4">
        <v>0</v>
      </c>
      <c r="D52" s="4">
        <v>1</v>
      </c>
      <c r="E52" s="4">
        <v>206</v>
      </c>
      <c r="F52" s="4">
        <f>ROUND(Source!T31,O52)</f>
        <v>0</v>
      </c>
      <c r="G52" s="4" t="s">
        <v>78</v>
      </c>
      <c r="H52" s="4" t="s">
        <v>79</v>
      </c>
      <c r="I52" s="4"/>
      <c r="J52" s="4"/>
      <c r="K52" s="4">
        <v>206</v>
      </c>
      <c r="L52" s="4">
        <v>20</v>
      </c>
      <c r="M52" s="4">
        <v>3</v>
      </c>
      <c r="N52" s="4" t="s">
        <v>6</v>
      </c>
      <c r="O52" s="4">
        <v>2</v>
      </c>
      <c r="P52" s="4"/>
      <c r="Q52" s="4"/>
      <c r="R52" s="4"/>
      <c r="S52" s="4"/>
      <c r="T52" s="4"/>
      <c r="U52" s="4"/>
      <c r="V52" s="4"/>
      <c r="W52" s="4">
        <v>0</v>
      </c>
      <c r="X52" s="4">
        <v>1</v>
      </c>
      <c r="Y52" s="4">
        <v>0</v>
      </c>
      <c r="Z52" s="4"/>
      <c r="AA52" s="4"/>
      <c r="AB52" s="4"/>
    </row>
    <row r="53" spans="1:88">
      <c r="A53" s="4">
        <v>50</v>
      </c>
      <c r="B53" s="4">
        <v>0</v>
      </c>
      <c r="C53" s="4">
        <v>0</v>
      </c>
      <c r="D53" s="4">
        <v>1</v>
      </c>
      <c r="E53" s="4">
        <v>207</v>
      </c>
      <c r="F53" s="4">
        <f>Source!U31</f>
        <v>64.823126400000007</v>
      </c>
      <c r="G53" s="4" t="s">
        <v>80</v>
      </c>
      <c r="H53" s="4" t="s">
        <v>81</v>
      </c>
      <c r="I53" s="4"/>
      <c r="J53" s="4"/>
      <c r="K53" s="4">
        <v>207</v>
      </c>
      <c r="L53" s="4">
        <v>21</v>
      </c>
      <c r="M53" s="4">
        <v>3</v>
      </c>
      <c r="N53" s="4" t="s">
        <v>6</v>
      </c>
      <c r="O53" s="4">
        <v>-1</v>
      </c>
      <c r="P53" s="4"/>
      <c r="Q53" s="4"/>
      <c r="R53" s="4"/>
      <c r="S53" s="4"/>
      <c r="T53" s="4"/>
      <c r="U53" s="4"/>
      <c r="V53" s="4"/>
      <c r="W53" s="4">
        <v>64.823126399999992</v>
      </c>
      <c r="X53" s="4">
        <v>1</v>
      </c>
      <c r="Y53" s="4">
        <v>64.823126399999992</v>
      </c>
      <c r="Z53" s="4"/>
      <c r="AA53" s="4"/>
      <c r="AB53" s="4"/>
    </row>
    <row r="54" spans="1:88">
      <c r="A54" s="4">
        <v>50</v>
      </c>
      <c r="B54" s="4">
        <v>0</v>
      </c>
      <c r="C54" s="4">
        <v>0</v>
      </c>
      <c r="D54" s="4">
        <v>1</v>
      </c>
      <c r="E54" s="4">
        <v>208</v>
      </c>
      <c r="F54" s="4">
        <f>Source!V31</f>
        <v>2.12639508</v>
      </c>
      <c r="G54" s="4" t="s">
        <v>82</v>
      </c>
      <c r="H54" s="4" t="s">
        <v>83</v>
      </c>
      <c r="I54" s="4"/>
      <c r="J54" s="4"/>
      <c r="K54" s="4">
        <v>208</v>
      </c>
      <c r="L54" s="4">
        <v>22</v>
      </c>
      <c r="M54" s="4">
        <v>3</v>
      </c>
      <c r="N54" s="4" t="s">
        <v>6</v>
      </c>
      <c r="O54" s="4">
        <v>-1</v>
      </c>
      <c r="P54" s="4"/>
      <c r="Q54" s="4"/>
      <c r="R54" s="4"/>
      <c r="S54" s="4"/>
      <c r="T54" s="4"/>
      <c r="U54" s="4"/>
      <c r="V54" s="4"/>
      <c r="W54" s="4">
        <v>2.12639508</v>
      </c>
      <c r="X54" s="4">
        <v>1</v>
      </c>
      <c r="Y54" s="4">
        <v>2.12639508</v>
      </c>
      <c r="Z54" s="4"/>
      <c r="AA54" s="4"/>
      <c r="AB54" s="4"/>
    </row>
    <row r="55" spans="1:88">
      <c r="A55" s="4">
        <v>50</v>
      </c>
      <c r="B55" s="4">
        <v>0</v>
      </c>
      <c r="C55" s="4">
        <v>0</v>
      </c>
      <c r="D55" s="4">
        <v>1</v>
      </c>
      <c r="E55" s="4">
        <v>209</v>
      </c>
      <c r="F55" s="4">
        <f>ROUND(Source!W31,O55)</f>
        <v>0</v>
      </c>
      <c r="G55" s="4" t="s">
        <v>84</v>
      </c>
      <c r="H55" s="4" t="s">
        <v>85</v>
      </c>
      <c r="I55" s="4"/>
      <c r="J55" s="4"/>
      <c r="K55" s="4">
        <v>209</v>
      </c>
      <c r="L55" s="4">
        <v>23</v>
      </c>
      <c r="M55" s="4">
        <v>3</v>
      </c>
      <c r="N55" s="4" t="s">
        <v>6</v>
      </c>
      <c r="O55" s="4">
        <v>2</v>
      </c>
      <c r="P55" s="4"/>
      <c r="Q55" s="4"/>
      <c r="R55" s="4"/>
      <c r="S55" s="4"/>
      <c r="T55" s="4"/>
      <c r="U55" s="4"/>
      <c r="V55" s="4"/>
      <c r="W55" s="4">
        <v>0</v>
      </c>
      <c r="X55" s="4">
        <v>1</v>
      </c>
      <c r="Y55" s="4">
        <v>0</v>
      </c>
      <c r="Z55" s="4"/>
      <c r="AA55" s="4"/>
      <c r="AB55" s="4"/>
    </row>
    <row r="56" spans="1:88">
      <c r="A56" s="4">
        <v>50</v>
      </c>
      <c r="B56" s="4">
        <v>0</v>
      </c>
      <c r="C56" s="4">
        <v>0</v>
      </c>
      <c r="D56" s="4">
        <v>1</v>
      </c>
      <c r="E56" s="4">
        <v>233</v>
      </c>
      <c r="F56" s="4">
        <f>ROUND(Source!BD31,O56)</f>
        <v>0</v>
      </c>
      <c r="G56" s="4" t="s">
        <v>86</v>
      </c>
      <c r="H56" s="4" t="s">
        <v>87</v>
      </c>
      <c r="I56" s="4"/>
      <c r="J56" s="4"/>
      <c r="K56" s="4">
        <v>233</v>
      </c>
      <c r="L56" s="4">
        <v>24</v>
      </c>
      <c r="M56" s="4">
        <v>3</v>
      </c>
      <c r="N56" s="4" t="s">
        <v>6</v>
      </c>
      <c r="O56" s="4">
        <v>2</v>
      </c>
      <c r="P56" s="4"/>
      <c r="Q56" s="4"/>
      <c r="R56" s="4"/>
      <c r="S56" s="4"/>
      <c r="T56" s="4"/>
      <c r="U56" s="4"/>
      <c r="V56" s="4"/>
      <c r="W56" s="4">
        <v>0</v>
      </c>
      <c r="X56" s="4">
        <v>1</v>
      </c>
      <c r="Y56" s="4">
        <v>0</v>
      </c>
      <c r="Z56" s="4"/>
      <c r="AA56" s="4"/>
      <c r="AB56" s="4"/>
    </row>
    <row r="57" spans="1:88">
      <c r="A57" s="4">
        <v>50</v>
      </c>
      <c r="B57" s="4">
        <v>0</v>
      </c>
      <c r="C57" s="4">
        <v>0</v>
      </c>
      <c r="D57" s="4">
        <v>1</v>
      </c>
      <c r="E57" s="4">
        <v>210</v>
      </c>
      <c r="F57" s="4">
        <f>ROUND(Source!X31,O57)</f>
        <v>564.88</v>
      </c>
      <c r="G57" s="4" t="s">
        <v>88</v>
      </c>
      <c r="H57" s="4" t="s">
        <v>89</v>
      </c>
      <c r="I57" s="4"/>
      <c r="J57" s="4"/>
      <c r="K57" s="4">
        <v>210</v>
      </c>
      <c r="L57" s="4">
        <v>25</v>
      </c>
      <c r="M57" s="4">
        <v>3</v>
      </c>
      <c r="N57" s="4" t="s">
        <v>6</v>
      </c>
      <c r="O57" s="4">
        <v>2</v>
      </c>
      <c r="P57" s="4"/>
      <c r="Q57" s="4"/>
      <c r="R57" s="4"/>
      <c r="S57" s="4"/>
      <c r="T57" s="4"/>
      <c r="U57" s="4"/>
      <c r="V57" s="4"/>
      <c r="W57" s="4">
        <v>564.88</v>
      </c>
      <c r="X57" s="4">
        <v>1</v>
      </c>
      <c r="Y57" s="4">
        <v>13682</v>
      </c>
      <c r="Z57" s="4"/>
      <c r="AA57" s="4"/>
      <c r="AB57" s="4"/>
    </row>
    <row r="58" spans="1:88">
      <c r="A58" s="4">
        <v>50</v>
      </c>
      <c r="B58" s="4">
        <v>0</v>
      </c>
      <c r="C58" s="4">
        <v>0</v>
      </c>
      <c r="D58" s="4">
        <v>1</v>
      </c>
      <c r="E58" s="4">
        <v>211</v>
      </c>
      <c r="F58" s="4">
        <f>ROUND(Source!Y31,O58)</f>
        <v>271.79000000000002</v>
      </c>
      <c r="G58" s="4" t="s">
        <v>90</v>
      </c>
      <c r="H58" s="4" t="s">
        <v>91</v>
      </c>
      <c r="I58" s="4"/>
      <c r="J58" s="4"/>
      <c r="K58" s="4">
        <v>211</v>
      </c>
      <c r="L58" s="4">
        <v>26</v>
      </c>
      <c r="M58" s="4">
        <v>3</v>
      </c>
      <c r="N58" s="4" t="s">
        <v>6</v>
      </c>
      <c r="O58" s="4">
        <v>2</v>
      </c>
      <c r="P58" s="4"/>
      <c r="Q58" s="4"/>
      <c r="R58" s="4"/>
      <c r="S58" s="4"/>
      <c r="T58" s="4"/>
      <c r="U58" s="4"/>
      <c r="V58" s="4"/>
      <c r="W58" s="4">
        <v>271.79000000000002</v>
      </c>
      <c r="X58" s="4">
        <v>1</v>
      </c>
      <c r="Y58" s="4">
        <v>6583</v>
      </c>
      <c r="Z58" s="4"/>
      <c r="AA58" s="4"/>
      <c r="AB58" s="4"/>
    </row>
    <row r="59" spans="1:88">
      <c r="A59" s="4">
        <v>50</v>
      </c>
      <c r="B59" s="4">
        <v>0</v>
      </c>
      <c r="C59" s="4">
        <v>0</v>
      </c>
      <c r="D59" s="4">
        <v>1</v>
      </c>
      <c r="E59" s="4">
        <v>224</v>
      </c>
      <c r="F59" s="4">
        <f>ROUND(Source!AR31,O59)</f>
        <v>1703.1</v>
      </c>
      <c r="G59" s="4" t="s">
        <v>92</v>
      </c>
      <c r="H59" s="4" t="s">
        <v>93</v>
      </c>
      <c r="I59" s="4"/>
      <c r="J59" s="4"/>
      <c r="K59" s="4">
        <v>224</v>
      </c>
      <c r="L59" s="4">
        <v>27</v>
      </c>
      <c r="M59" s="4">
        <v>3</v>
      </c>
      <c r="N59" s="4" t="s">
        <v>6</v>
      </c>
      <c r="O59" s="4">
        <v>2</v>
      </c>
      <c r="P59" s="4"/>
      <c r="Q59" s="4"/>
      <c r="R59" s="4"/>
      <c r="S59" s="4"/>
      <c r="T59" s="4"/>
      <c r="U59" s="4"/>
      <c r="V59" s="4"/>
      <c r="W59" s="4">
        <v>1703.1</v>
      </c>
      <c r="X59" s="4">
        <v>1</v>
      </c>
      <c r="Y59" s="4">
        <v>36066</v>
      </c>
      <c r="Z59" s="4"/>
      <c r="AA59" s="4"/>
      <c r="AB59" s="4"/>
    </row>
    <row r="60" spans="1:88">
      <c r="A60" s="4">
        <v>50</v>
      </c>
      <c r="B60" s="4">
        <v>1</v>
      </c>
      <c r="C60" s="4">
        <v>0</v>
      </c>
      <c r="D60" s="4">
        <v>2</v>
      </c>
      <c r="E60" s="4">
        <v>0</v>
      </c>
      <c r="F60" s="4">
        <f>ROUND(F59,O60)</f>
        <v>1703.1</v>
      </c>
      <c r="G60" s="4" t="s">
        <v>19</v>
      </c>
      <c r="H60" s="4" t="s">
        <v>94</v>
      </c>
      <c r="I60" s="4"/>
      <c r="J60" s="4"/>
      <c r="K60" s="4">
        <v>212</v>
      </c>
      <c r="L60" s="4">
        <v>28</v>
      </c>
      <c r="M60" s="4">
        <v>0</v>
      </c>
      <c r="N60" s="4" t="s">
        <v>6</v>
      </c>
      <c r="O60" s="4">
        <v>2</v>
      </c>
      <c r="P60" s="4"/>
      <c r="Q60" s="4"/>
      <c r="R60" s="4"/>
      <c r="S60" s="4"/>
      <c r="T60" s="4"/>
      <c r="U60" s="4"/>
      <c r="V60" s="4"/>
      <c r="W60" s="4">
        <v>1703.1</v>
      </c>
      <c r="X60" s="4">
        <v>1</v>
      </c>
      <c r="Y60" s="4">
        <v>36066</v>
      </c>
      <c r="Z60" s="4"/>
      <c r="AA60" s="4"/>
      <c r="AB60" s="4"/>
    </row>
    <row r="61" spans="1:88">
      <c r="A61" s="4">
        <v>50</v>
      </c>
      <c r="B61" s="4">
        <v>1</v>
      </c>
      <c r="C61" s="4">
        <v>0</v>
      </c>
      <c r="D61" s="4">
        <v>2</v>
      </c>
      <c r="E61" s="4">
        <v>0</v>
      </c>
      <c r="F61" s="4">
        <f>ROUND(F60*0.2,O61)</f>
        <v>340.62</v>
      </c>
      <c r="G61" s="4" t="s">
        <v>31</v>
      </c>
      <c r="H61" s="4" t="s">
        <v>95</v>
      </c>
      <c r="I61" s="4"/>
      <c r="J61" s="4"/>
      <c r="K61" s="4">
        <v>212</v>
      </c>
      <c r="L61" s="4">
        <v>29</v>
      </c>
      <c r="M61" s="4">
        <v>0</v>
      </c>
      <c r="N61" s="4" t="s">
        <v>6</v>
      </c>
      <c r="O61" s="4">
        <v>2</v>
      </c>
      <c r="P61" s="4"/>
      <c r="Q61" s="4"/>
      <c r="R61" s="4"/>
      <c r="S61" s="4"/>
      <c r="T61" s="4"/>
      <c r="U61" s="4"/>
      <c r="V61" s="4"/>
      <c r="W61" s="4">
        <v>340.62</v>
      </c>
      <c r="X61" s="4">
        <v>1</v>
      </c>
      <c r="Y61" s="4">
        <v>7213</v>
      </c>
      <c r="Z61" s="4"/>
      <c r="AA61" s="4"/>
      <c r="AB61" s="4"/>
    </row>
    <row r="62" spans="1:88">
      <c r="A62" s="4">
        <v>50</v>
      </c>
      <c r="B62" s="4">
        <v>1</v>
      </c>
      <c r="C62" s="4">
        <v>0</v>
      </c>
      <c r="D62" s="4">
        <v>2</v>
      </c>
      <c r="E62" s="4">
        <v>213</v>
      </c>
      <c r="F62" s="4">
        <f>ROUND(F60+F61,O62)</f>
        <v>2043.72</v>
      </c>
      <c r="G62" s="4" t="s">
        <v>96</v>
      </c>
      <c r="H62" s="4" t="s">
        <v>97</v>
      </c>
      <c r="I62" s="4"/>
      <c r="J62" s="4"/>
      <c r="K62" s="4">
        <v>212</v>
      </c>
      <c r="L62" s="4">
        <v>30</v>
      </c>
      <c r="M62" s="4">
        <v>0</v>
      </c>
      <c r="N62" s="4" t="s">
        <v>6</v>
      </c>
      <c r="O62" s="4">
        <v>2</v>
      </c>
      <c r="P62" s="4"/>
      <c r="Q62" s="4"/>
      <c r="R62" s="4"/>
      <c r="S62" s="4"/>
      <c r="T62" s="4"/>
      <c r="U62" s="4"/>
      <c r="V62" s="4"/>
      <c r="W62" s="4">
        <v>2043.72</v>
      </c>
      <c r="X62" s="4">
        <v>1</v>
      </c>
      <c r="Y62" s="4">
        <v>43279</v>
      </c>
      <c r="Z62" s="4"/>
      <c r="AA62" s="4"/>
      <c r="AB62" s="4"/>
    </row>
    <row r="64" spans="1:88">
      <c r="A64" s="1">
        <v>4</v>
      </c>
      <c r="B64" s="1">
        <v>1</v>
      </c>
      <c r="C64" s="1"/>
      <c r="D64" s="1">
        <f>ROW(A186)</f>
        <v>186</v>
      </c>
      <c r="E64" s="1"/>
      <c r="F64" s="1" t="s">
        <v>17</v>
      </c>
      <c r="G64" s="1" t="s">
        <v>98</v>
      </c>
      <c r="H64" s="1" t="s">
        <v>6</v>
      </c>
      <c r="I64" s="1">
        <v>0</v>
      </c>
      <c r="J64" s="1"/>
      <c r="K64" s="1">
        <v>-1</v>
      </c>
      <c r="L64" s="1"/>
      <c r="M64" s="1" t="s">
        <v>6</v>
      </c>
      <c r="N64" s="1"/>
      <c r="O64" s="1"/>
      <c r="P64" s="1"/>
      <c r="Q64" s="1"/>
      <c r="R64" s="1"/>
      <c r="S64" s="1">
        <v>31028413</v>
      </c>
      <c r="T64" s="1"/>
      <c r="U64" s="1" t="s">
        <v>6</v>
      </c>
      <c r="V64" s="1">
        <v>0</v>
      </c>
      <c r="W64" s="1"/>
      <c r="X64" s="1"/>
      <c r="Y64" s="1"/>
      <c r="Z64" s="1"/>
      <c r="AA64" s="1"/>
      <c r="AB64" s="1" t="s">
        <v>6</v>
      </c>
      <c r="AC64" s="1" t="s">
        <v>6</v>
      </c>
      <c r="AD64" s="1" t="s">
        <v>6</v>
      </c>
      <c r="AE64" s="1" t="s">
        <v>6</v>
      </c>
      <c r="AF64" s="1" t="s">
        <v>6</v>
      </c>
      <c r="AG64" s="1" t="s">
        <v>6</v>
      </c>
      <c r="AH64" s="1"/>
      <c r="AI64" s="1"/>
      <c r="AJ64" s="1"/>
      <c r="AK64" s="1"/>
      <c r="AL64" s="1"/>
      <c r="AM64" s="1"/>
      <c r="AN64" s="1"/>
      <c r="AO64" s="1"/>
      <c r="AP64" s="1" t="s">
        <v>6</v>
      </c>
      <c r="AQ64" s="1" t="s">
        <v>6</v>
      </c>
      <c r="AR64" s="1" t="s">
        <v>6</v>
      </c>
      <c r="AS64" s="1"/>
      <c r="AT64" s="1"/>
      <c r="AU64" s="1"/>
      <c r="AV64" s="1"/>
      <c r="AW64" s="1"/>
      <c r="AX64" s="1"/>
      <c r="AY64" s="1"/>
      <c r="AZ64" s="1" t="s">
        <v>6</v>
      </c>
      <c r="BA64" s="1"/>
      <c r="BB64" s="1" t="s">
        <v>6</v>
      </c>
      <c r="BC64" s="1" t="s">
        <v>6</v>
      </c>
      <c r="BD64" s="1" t="s">
        <v>6</v>
      </c>
      <c r="BE64" s="1" t="s">
        <v>6</v>
      </c>
      <c r="BF64" s="1" t="s">
        <v>6</v>
      </c>
      <c r="BG64" s="1" t="s">
        <v>6</v>
      </c>
      <c r="BH64" s="1" t="s">
        <v>6</v>
      </c>
      <c r="BI64" s="1" t="s">
        <v>6</v>
      </c>
      <c r="BJ64" s="1" t="s">
        <v>6</v>
      </c>
      <c r="BK64" s="1" t="s">
        <v>6</v>
      </c>
      <c r="BL64" s="1" t="s">
        <v>6</v>
      </c>
      <c r="BM64" s="1" t="s">
        <v>6</v>
      </c>
      <c r="BN64" s="1" t="s">
        <v>6</v>
      </c>
      <c r="BO64" s="1" t="s">
        <v>6</v>
      </c>
      <c r="BP64" s="1" t="s">
        <v>6</v>
      </c>
      <c r="BQ64" s="1"/>
      <c r="BR64" s="1"/>
      <c r="BS64" s="1"/>
      <c r="BT64" s="1"/>
      <c r="BU64" s="1"/>
      <c r="BV64" s="1"/>
      <c r="BW64" s="1"/>
      <c r="BX64" s="1">
        <v>0</v>
      </c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>
        <v>0</v>
      </c>
    </row>
    <row r="66" spans="1:245">
      <c r="A66" s="2">
        <v>52</v>
      </c>
      <c r="B66" s="2">
        <f t="shared" ref="B66:G66" si="24">B186</f>
        <v>1</v>
      </c>
      <c r="C66" s="2">
        <f t="shared" si="24"/>
        <v>4</v>
      </c>
      <c r="D66" s="2">
        <f t="shared" si="24"/>
        <v>64</v>
      </c>
      <c r="E66" s="2">
        <f t="shared" si="24"/>
        <v>0</v>
      </c>
      <c r="F66" s="2" t="str">
        <f t="shared" si="24"/>
        <v>Новый раздел</v>
      </c>
      <c r="G66" s="2" t="str">
        <f t="shared" si="24"/>
        <v>Архитектурные решения. (Наружные работы)</v>
      </c>
      <c r="H66" s="2"/>
      <c r="I66" s="2"/>
      <c r="J66" s="2"/>
      <c r="K66" s="2"/>
      <c r="L66" s="2"/>
      <c r="M66" s="2"/>
      <c r="N66" s="2"/>
      <c r="O66" s="2">
        <f t="shared" ref="O66:AT66" si="25">O186</f>
        <v>725697.36</v>
      </c>
      <c r="P66" s="2">
        <f t="shared" si="25"/>
        <v>676319.07</v>
      </c>
      <c r="Q66" s="2">
        <f t="shared" si="25"/>
        <v>14095.91</v>
      </c>
      <c r="R66" s="2">
        <f t="shared" si="25"/>
        <v>1820.89</v>
      </c>
      <c r="S66" s="2">
        <f t="shared" si="25"/>
        <v>35282.379999999997</v>
      </c>
      <c r="T66" s="2">
        <f t="shared" si="25"/>
        <v>0</v>
      </c>
      <c r="U66" s="2">
        <f t="shared" si="25"/>
        <v>4001.9299009750002</v>
      </c>
      <c r="V66" s="2">
        <f t="shared" si="25"/>
        <v>155.90989099999996</v>
      </c>
      <c r="W66" s="2">
        <f t="shared" si="25"/>
        <v>0</v>
      </c>
      <c r="X66" s="2">
        <f t="shared" si="25"/>
        <v>34062.25</v>
      </c>
      <c r="Y66" s="2">
        <f t="shared" si="25"/>
        <v>19113.12</v>
      </c>
      <c r="Z66" s="2">
        <f t="shared" si="25"/>
        <v>0</v>
      </c>
      <c r="AA66" s="2">
        <f t="shared" si="25"/>
        <v>0</v>
      </c>
      <c r="AB66" s="2">
        <f t="shared" si="25"/>
        <v>725697.36</v>
      </c>
      <c r="AC66" s="2">
        <f t="shared" si="25"/>
        <v>676319.07</v>
      </c>
      <c r="AD66" s="2">
        <f t="shared" si="25"/>
        <v>14095.91</v>
      </c>
      <c r="AE66" s="2">
        <f t="shared" si="25"/>
        <v>1820.89</v>
      </c>
      <c r="AF66" s="2">
        <f t="shared" si="25"/>
        <v>35282.379999999997</v>
      </c>
      <c r="AG66" s="2">
        <f t="shared" si="25"/>
        <v>0</v>
      </c>
      <c r="AH66" s="2">
        <f t="shared" si="25"/>
        <v>4001.9299009750002</v>
      </c>
      <c r="AI66" s="2">
        <f t="shared" si="25"/>
        <v>155.90989099999996</v>
      </c>
      <c r="AJ66" s="2">
        <f t="shared" si="25"/>
        <v>0</v>
      </c>
      <c r="AK66" s="2">
        <f t="shared" si="25"/>
        <v>34062.25</v>
      </c>
      <c r="AL66" s="2">
        <f t="shared" si="25"/>
        <v>19113.12</v>
      </c>
      <c r="AM66" s="2">
        <f t="shared" si="25"/>
        <v>0</v>
      </c>
      <c r="AN66" s="2">
        <f t="shared" si="25"/>
        <v>0</v>
      </c>
      <c r="AO66" s="2">
        <f t="shared" si="25"/>
        <v>0</v>
      </c>
      <c r="AP66" s="2">
        <f t="shared" si="25"/>
        <v>0</v>
      </c>
      <c r="AQ66" s="2">
        <f t="shared" si="25"/>
        <v>0</v>
      </c>
      <c r="AR66" s="2">
        <f t="shared" si="25"/>
        <v>778872.73</v>
      </c>
      <c r="AS66" s="2">
        <f t="shared" si="25"/>
        <v>778872.73</v>
      </c>
      <c r="AT66" s="2">
        <f t="shared" si="25"/>
        <v>0</v>
      </c>
      <c r="AU66" s="2">
        <f t="shared" ref="AU66:BZ66" si="26">AU186</f>
        <v>0</v>
      </c>
      <c r="AV66" s="2">
        <f t="shared" si="26"/>
        <v>676319.07</v>
      </c>
      <c r="AW66" s="2">
        <f t="shared" si="26"/>
        <v>676319.07</v>
      </c>
      <c r="AX66" s="2">
        <f t="shared" si="26"/>
        <v>0</v>
      </c>
      <c r="AY66" s="2">
        <f t="shared" si="26"/>
        <v>676319.07</v>
      </c>
      <c r="AZ66" s="2">
        <f t="shared" si="26"/>
        <v>0</v>
      </c>
      <c r="BA66" s="2">
        <f t="shared" si="26"/>
        <v>0</v>
      </c>
      <c r="BB66" s="2">
        <f t="shared" si="26"/>
        <v>0</v>
      </c>
      <c r="BC66" s="2">
        <f t="shared" si="26"/>
        <v>0</v>
      </c>
      <c r="BD66" s="2">
        <f t="shared" si="26"/>
        <v>3817.27</v>
      </c>
      <c r="BE66" s="2">
        <f t="shared" si="26"/>
        <v>0</v>
      </c>
      <c r="BF66" s="2">
        <f t="shared" si="26"/>
        <v>0</v>
      </c>
      <c r="BG66" s="2">
        <f t="shared" si="26"/>
        <v>0</v>
      </c>
      <c r="BH66" s="2">
        <f t="shared" si="26"/>
        <v>0</v>
      </c>
      <c r="BI66" s="2">
        <f t="shared" si="26"/>
        <v>0</v>
      </c>
      <c r="BJ66" s="2">
        <f t="shared" si="26"/>
        <v>0</v>
      </c>
      <c r="BK66" s="2">
        <f t="shared" si="26"/>
        <v>0</v>
      </c>
      <c r="BL66" s="2">
        <f t="shared" si="26"/>
        <v>0</v>
      </c>
      <c r="BM66" s="2">
        <f t="shared" si="26"/>
        <v>0</v>
      </c>
      <c r="BN66" s="2">
        <f t="shared" si="26"/>
        <v>0</v>
      </c>
      <c r="BO66" s="2">
        <f t="shared" si="26"/>
        <v>0</v>
      </c>
      <c r="BP66" s="2">
        <f t="shared" si="26"/>
        <v>0</v>
      </c>
      <c r="BQ66" s="2">
        <f t="shared" si="26"/>
        <v>0</v>
      </c>
      <c r="BR66" s="2">
        <f t="shared" si="26"/>
        <v>0</v>
      </c>
      <c r="BS66" s="2">
        <f t="shared" si="26"/>
        <v>0</v>
      </c>
      <c r="BT66" s="2">
        <f t="shared" si="26"/>
        <v>0</v>
      </c>
      <c r="BU66" s="2">
        <f t="shared" si="26"/>
        <v>0</v>
      </c>
      <c r="BV66" s="2">
        <f t="shared" si="26"/>
        <v>0</v>
      </c>
      <c r="BW66" s="2">
        <f t="shared" si="26"/>
        <v>0</v>
      </c>
      <c r="BX66" s="2">
        <f t="shared" si="26"/>
        <v>0</v>
      </c>
      <c r="BY66" s="2">
        <f t="shared" si="26"/>
        <v>0</v>
      </c>
      <c r="BZ66" s="2">
        <f t="shared" si="26"/>
        <v>0</v>
      </c>
      <c r="CA66" s="2">
        <f t="shared" ref="CA66:DF66" si="27">CA186</f>
        <v>778872.73</v>
      </c>
      <c r="CB66" s="2">
        <f t="shared" si="27"/>
        <v>778872.73</v>
      </c>
      <c r="CC66" s="2">
        <f t="shared" si="27"/>
        <v>0</v>
      </c>
      <c r="CD66" s="2">
        <f t="shared" si="27"/>
        <v>0</v>
      </c>
      <c r="CE66" s="2">
        <f t="shared" si="27"/>
        <v>676319.07</v>
      </c>
      <c r="CF66" s="2">
        <f t="shared" si="27"/>
        <v>676319.07</v>
      </c>
      <c r="CG66" s="2">
        <f t="shared" si="27"/>
        <v>0</v>
      </c>
      <c r="CH66" s="2">
        <f t="shared" si="27"/>
        <v>676319.07</v>
      </c>
      <c r="CI66" s="2">
        <f t="shared" si="27"/>
        <v>0</v>
      </c>
      <c r="CJ66" s="2">
        <f t="shared" si="27"/>
        <v>0</v>
      </c>
      <c r="CK66" s="2">
        <f t="shared" si="27"/>
        <v>0</v>
      </c>
      <c r="CL66" s="2">
        <f t="shared" si="27"/>
        <v>0</v>
      </c>
      <c r="CM66" s="2">
        <f t="shared" si="27"/>
        <v>3817.27</v>
      </c>
      <c r="CN66" s="2">
        <f t="shared" si="27"/>
        <v>0</v>
      </c>
      <c r="CO66" s="2">
        <f t="shared" si="27"/>
        <v>0</v>
      </c>
      <c r="CP66" s="2">
        <f t="shared" si="27"/>
        <v>0</v>
      </c>
      <c r="CQ66" s="2">
        <f t="shared" si="27"/>
        <v>0</v>
      </c>
      <c r="CR66" s="2">
        <f t="shared" si="27"/>
        <v>0</v>
      </c>
      <c r="CS66" s="2">
        <f t="shared" si="27"/>
        <v>0</v>
      </c>
      <c r="CT66" s="2">
        <f t="shared" si="27"/>
        <v>0</v>
      </c>
      <c r="CU66" s="2">
        <f t="shared" si="27"/>
        <v>0</v>
      </c>
      <c r="CV66" s="2">
        <f t="shared" si="27"/>
        <v>0</v>
      </c>
      <c r="CW66" s="2">
        <f t="shared" si="27"/>
        <v>0</v>
      </c>
      <c r="CX66" s="2">
        <f t="shared" si="27"/>
        <v>0</v>
      </c>
      <c r="CY66" s="2">
        <f t="shared" si="27"/>
        <v>0</v>
      </c>
      <c r="CZ66" s="2">
        <f t="shared" si="27"/>
        <v>0</v>
      </c>
      <c r="DA66" s="2">
        <f t="shared" si="27"/>
        <v>0</v>
      </c>
      <c r="DB66" s="2">
        <f t="shared" si="27"/>
        <v>0</v>
      </c>
      <c r="DC66" s="2">
        <f t="shared" si="27"/>
        <v>0</v>
      </c>
      <c r="DD66" s="2">
        <f t="shared" si="27"/>
        <v>0</v>
      </c>
      <c r="DE66" s="2">
        <f t="shared" si="27"/>
        <v>0</v>
      </c>
      <c r="DF66" s="2">
        <f t="shared" si="27"/>
        <v>0</v>
      </c>
      <c r="DG66" s="3">
        <f t="shared" ref="DG66:EL66" si="28">DG186</f>
        <v>0</v>
      </c>
      <c r="DH66" s="3">
        <f t="shared" si="28"/>
        <v>0</v>
      </c>
      <c r="DI66" s="3">
        <f t="shared" si="28"/>
        <v>0</v>
      </c>
      <c r="DJ66" s="3">
        <f t="shared" si="28"/>
        <v>0</v>
      </c>
      <c r="DK66" s="3">
        <f t="shared" si="28"/>
        <v>0</v>
      </c>
      <c r="DL66" s="3">
        <f t="shared" si="28"/>
        <v>0</v>
      </c>
      <c r="DM66" s="3">
        <f t="shared" si="28"/>
        <v>0</v>
      </c>
      <c r="DN66" s="3">
        <f t="shared" si="28"/>
        <v>0</v>
      </c>
      <c r="DO66" s="3">
        <f t="shared" si="28"/>
        <v>0</v>
      </c>
      <c r="DP66" s="3">
        <f t="shared" si="28"/>
        <v>0</v>
      </c>
      <c r="DQ66" s="3">
        <f t="shared" si="28"/>
        <v>0</v>
      </c>
      <c r="DR66" s="3">
        <f t="shared" si="28"/>
        <v>0</v>
      </c>
      <c r="DS66" s="3">
        <f t="shared" si="28"/>
        <v>0</v>
      </c>
      <c r="DT66" s="3">
        <f t="shared" si="28"/>
        <v>0</v>
      </c>
      <c r="DU66" s="3">
        <f t="shared" si="28"/>
        <v>0</v>
      </c>
      <c r="DV66" s="3">
        <f t="shared" si="28"/>
        <v>0</v>
      </c>
      <c r="DW66" s="3">
        <f t="shared" si="28"/>
        <v>0</v>
      </c>
      <c r="DX66" s="3">
        <f t="shared" si="28"/>
        <v>0</v>
      </c>
      <c r="DY66" s="3">
        <f t="shared" si="28"/>
        <v>0</v>
      </c>
      <c r="DZ66" s="3">
        <f t="shared" si="28"/>
        <v>0</v>
      </c>
      <c r="EA66" s="3">
        <f t="shared" si="28"/>
        <v>0</v>
      </c>
      <c r="EB66" s="3">
        <f t="shared" si="28"/>
        <v>0</v>
      </c>
      <c r="EC66" s="3">
        <f t="shared" si="28"/>
        <v>0</v>
      </c>
      <c r="ED66" s="3">
        <f t="shared" si="28"/>
        <v>0</v>
      </c>
      <c r="EE66" s="3">
        <f t="shared" si="28"/>
        <v>0</v>
      </c>
      <c r="EF66" s="3">
        <f t="shared" si="28"/>
        <v>0</v>
      </c>
      <c r="EG66" s="3">
        <f t="shared" si="28"/>
        <v>0</v>
      </c>
      <c r="EH66" s="3">
        <f t="shared" si="28"/>
        <v>0</v>
      </c>
      <c r="EI66" s="3">
        <f t="shared" si="28"/>
        <v>0</v>
      </c>
      <c r="EJ66" s="3">
        <f t="shared" si="28"/>
        <v>0</v>
      </c>
      <c r="EK66" s="3">
        <f t="shared" si="28"/>
        <v>0</v>
      </c>
      <c r="EL66" s="3">
        <f t="shared" si="28"/>
        <v>0</v>
      </c>
      <c r="EM66" s="3">
        <f t="shared" ref="EM66:FR66" si="29">EM186</f>
        <v>0</v>
      </c>
      <c r="EN66" s="3">
        <f t="shared" si="29"/>
        <v>0</v>
      </c>
      <c r="EO66" s="3">
        <f t="shared" si="29"/>
        <v>0</v>
      </c>
      <c r="EP66" s="3">
        <f t="shared" si="29"/>
        <v>0</v>
      </c>
      <c r="EQ66" s="3">
        <f t="shared" si="29"/>
        <v>0</v>
      </c>
      <c r="ER66" s="3">
        <f t="shared" si="29"/>
        <v>0</v>
      </c>
      <c r="ES66" s="3">
        <f t="shared" si="29"/>
        <v>0</v>
      </c>
      <c r="ET66" s="3">
        <f t="shared" si="29"/>
        <v>0</v>
      </c>
      <c r="EU66" s="3">
        <f t="shared" si="29"/>
        <v>0</v>
      </c>
      <c r="EV66" s="3">
        <f t="shared" si="29"/>
        <v>0</v>
      </c>
      <c r="EW66" s="3">
        <f t="shared" si="29"/>
        <v>0</v>
      </c>
      <c r="EX66" s="3">
        <f t="shared" si="29"/>
        <v>0</v>
      </c>
      <c r="EY66" s="3">
        <f t="shared" si="29"/>
        <v>0</v>
      </c>
      <c r="EZ66" s="3">
        <f t="shared" si="29"/>
        <v>0</v>
      </c>
      <c r="FA66" s="3">
        <f t="shared" si="29"/>
        <v>0</v>
      </c>
      <c r="FB66" s="3">
        <f t="shared" si="29"/>
        <v>0</v>
      </c>
      <c r="FC66" s="3">
        <f t="shared" si="29"/>
        <v>0</v>
      </c>
      <c r="FD66" s="3">
        <f t="shared" si="29"/>
        <v>0</v>
      </c>
      <c r="FE66" s="3">
        <f t="shared" si="29"/>
        <v>0</v>
      </c>
      <c r="FF66" s="3">
        <f t="shared" si="29"/>
        <v>0</v>
      </c>
      <c r="FG66" s="3">
        <f t="shared" si="29"/>
        <v>0</v>
      </c>
      <c r="FH66" s="3">
        <f t="shared" si="29"/>
        <v>0</v>
      </c>
      <c r="FI66" s="3">
        <f t="shared" si="29"/>
        <v>0</v>
      </c>
      <c r="FJ66" s="3">
        <f t="shared" si="29"/>
        <v>0</v>
      </c>
      <c r="FK66" s="3">
        <f t="shared" si="29"/>
        <v>0</v>
      </c>
      <c r="FL66" s="3">
        <f t="shared" si="29"/>
        <v>0</v>
      </c>
      <c r="FM66" s="3">
        <f t="shared" si="29"/>
        <v>0</v>
      </c>
      <c r="FN66" s="3">
        <f t="shared" si="29"/>
        <v>0</v>
      </c>
      <c r="FO66" s="3">
        <f t="shared" si="29"/>
        <v>0</v>
      </c>
      <c r="FP66" s="3">
        <f t="shared" si="29"/>
        <v>0</v>
      </c>
      <c r="FQ66" s="3">
        <f t="shared" si="29"/>
        <v>0</v>
      </c>
      <c r="FR66" s="3">
        <f t="shared" si="29"/>
        <v>0</v>
      </c>
      <c r="FS66" s="3">
        <f t="shared" ref="FS66:GX66" si="30">FS186</f>
        <v>0</v>
      </c>
      <c r="FT66" s="3">
        <f t="shared" si="30"/>
        <v>0</v>
      </c>
      <c r="FU66" s="3">
        <f t="shared" si="30"/>
        <v>0</v>
      </c>
      <c r="FV66" s="3">
        <f t="shared" si="30"/>
        <v>0</v>
      </c>
      <c r="FW66" s="3">
        <f t="shared" si="30"/>
        <v>0</v>
      </c>
      <c r="FX66" s="3">
        <f t="shared" si="30"/>
        <v>0</v>
      </c>
      <c r="FY66" s="3">
        <f t="shared" si="30"/>
        <v>0</v>
      </c>
      <c r="FZ66" s="3">
        <f t="shared" si="30"/>
        <v>0</v>
      </c>
      <c r="GA66" s="3">
        <f t="shared" si="30"/>
        <v>0</v>
      </c>
      <c r="GB66" s="3">
        <f t="shared" si="30"/>
        <v>0</v>
      </c>
      <c r="GC66" s="3">
        <f t="shared" si="30"/>
        <v>0</v>
      </c>
      <c r="GD66" s="3">
        <f t="shared" si="30"/>
        <v>0</v>
      </c>
      <c r="GE66" s="3">
        <f t="shared" si="30"/>
        <v>0</v>
      </c>
      <c r="GF66" s="3">
        <f t="shared" si="30"/>
        <v>0</v>
      </c>
      <c r="GG66" s="3">
        <f t="shared" si="30"/>
        <v>0</v>
      </c>
      <c r="GH66" s="3">
        <f t="shared" si="30"/>
        <v>0</v>
      </c>
      <c r="GI66" s="3">
        <f t="shared" si="30"/>
        <v>0</v>
      </c>
      <c r="GJ66" s="3">
        <f t="shared" si="30"/>
        <v>0</v>
      </c>
      <c r="GK66" s="3">
        <f t="shared" si="30"/>
        <v>0</v>
      </c>
      <c r="GL66" s="3">
        <f t="shared" si="30"/>
        <v>0</v>
      </c>
      <c r="GM66" s="3">
        <f t="shared" si="30"/>
        <v>0</v>
      </c>
      <c r="GN66" s="3">
        <f t="shared" si="30"/>
        <v>0</v>
      </c>
      <c r="GO66" s="3">
        <f t="shared" si="30"/>
        <v>0</v>
      </c>
      <c r="GP66" s="3">
        <f t="shared" si="30"/>
        <v>0</v>
      </c>
      <c r="GQ66" s="3">
        <f t="shared" si="30"/>
        <v>0</v>
      </c>
      <c r="GR66" s="3">
        <f t="shared" si="30"/>
        <v>0</v>
      </c>
      <c r="GS66" s="3">
        <f t="shared" si="30"/>
        <v>0</v>
      </c>
      <c r="GT66" s="3">
        <f t="shared" si="30"/>
        <v>0</v>
      </c>
      <c r="GU66" s="3">
        <f t="shared" si="30"/>
        <v>0</v>
      </c>
      <c r="GV66" s="3">
        <f t="shared" si="30"/>
        <v>0</v>
      </c>
      <c r="GW66" s="3">
        <f t="shared" si="30"/>
        <v>0</v>
      </c>
      <c r="GX66" s="3">
        <f t="shared" si="30"/>
        <v>0</v>
      </c>
    </row>
    <row r="68" spans="1:245">
      <c r="A68">
        <v>19</v>
      </c>
      <c r="B68">
        <v>1</v>
      </c>
      <c r="F68" t="s">
        <v>6</v>
      </c>
      <c r="G68" t="s">
        <v>99</v>
      </c>
      <c r="H68" t="s">
        <v>6</v>
      </c>
      <c r="AA68">
        <v>1</v>
      </c>
      <c r="IK68">
        <v>0</v>
      </c>
    </row>
    <row r="69" spans="1:245">
      <c r="A69">
        <v>17</v>
      </c>
      <c r="B69">
        <v>1</v>
      </c>
      <c r="C69">
        <f>ROW(SmtRes!A24)</f>
        <v>24</v>
      </c>
      <c r="D69">
        <f>ROW(EtalonRes!A25)</f>
        <v>25</v>
      </c>
      <c r="E69" t="s">
        <v>96</v>
      </c>
      <c r="F69" t="s">
        <v>100</v>
      </c>
      <c r="G69" t="s">
        <v>101</v>
      </c>
      <c r="H69" t="s">
        <v>102</v>
      </c>
      <c r="I69">
        <f>ROUND(11.7/100,7)</f>
        <v>0.11700000000000001</v>
      </c>
      <c r="J69">
        <v>0</v>
      </c>
      <c r="K69">
        <f>ROUND(11.7/100,7)</f>
        <v>0.11700000000000001</v>
      </c>
      <c r="O69">
        <f t="shared" ref="O69:O93" si="31">ROUND(CP69,2)</f>
        <v>360.77</v>
      </c>
      <c r="P69">
        <f>ROUND(CQ69*I69,2)</f>
        <v>146.83000000000001</v>
      </c>
      <c r="Q69">
        <f t="shared" ref="Q69:Q93" si="32">ROUND(CR69*I69,2)</f>
        <v>0.16</v>
      </c>
      <c r="R69">
        <f t="shared" ref="R69:R93" si="33">ROUND(CS69*I69,2)</f>
        <v>0</v>
      </c>
      <c r="S69">
        <f t="shared" ref="S69:S93" si="34">ROUND(CT69*I69,2)</f>
        <v>213.78</v>
      </c>
      <c r="T69">
        <f t="shared" ref="T69:T93" si="35">ROUND(CU69*I69,2)</f>
        <v>0</v>
      </c>
      <c r="U69">
        <f t="shared" ref="U69:U93" si="36">CV69*I69</f>
        <v>25.329037499999998</v>
      </c>
      <c r="V69">
        <f t="shared" ref="V69:V93" si="37">CW69*I69</f>
        <v>0</v>
      </c>
      <c r="W69">
        <f t="shared" ref="W69:W93" si="38">ROUND(CX69*I69,2)</f>
        <v>0</v>
      </c>
      <c r="X69">
        <f t="shared" ref="X69:X93" si="39">ROUND(CY69,2)</f>
        <v>190.26</v>
      </c>
      <c r="Y69">
        <f t="shared" ref="Y69:Y93" si="40">ROUND(CZ69,2)</f>
        <v>94.06</v>
      </c>
      <c r="AA69">
        <v>31028412</v>
      </c>
      <c r="AB69">
        <f t="shared" ref="AB69:AB93" si="41">ROUND((AC69+AD69+AF69),6)</f>
        <v>3083.4659999999999</v>
      </c>
      <c r="AC69">
        <f t="shared" ref="AC69:AC93" si="42">ROUND((ES69),6)</f>
        <v>1254.92</v>
      </c>
      <c r="AD69">
        <f>ROUND(((((ET69*ROUND(1.15,7)))-((EU69*ROUND(1.15,7))))+AE69),6)</f>
        <v>1.3915</v>
      </c>
      <c r="AE69">
        <f>ROUND(((EU69*ROUND(1.15,7))),6)</f>
        <v>0</v>
      </c>
      <c r="AF69">
        <f>ROUND(((EV69*ROUND(1.15,7))),6)</f>
        <v>1827.1545000000001</v>
      </c>
      <c r="AG69">
        <f t="shared" ref="AG69:AG93" si="43">ROUND((AP69),6)</f>
        <v>0</v>
      </c>
      <c r="AH69">
        <f>((EW69*ROUND(1.15,7)))</f>
        <v>216.48749999999998</v>
      </c>
      <c r="AI69">
        <f>((EX69*ROUND(1.15,7)))</f>
        <v>0</v>
      </c>
      <c r="AJ69">
        <f t="shared" ref="AJ69:AJ93" si="44">(AS69)</f>
        <v>0</v>
      </c>
      <c r="AK69">
        <v>2844.96</v>
      </c>
      <c r="AL69">
        <v>1254.92</v>
      </c>
      <c r="AM69">
        <v>1.21</v>
      </c>
      <c r="AN69">
        <v>0</v>
      </c>
      <c r="AO69">
        <v>1588.83</v>
      </c>
      <c r="AP69">
        <v>0</v>
      </c>
      <c r="AQ69">
        <v>188.25</v>
      </c>
      <c r="AR69">
        <v>0</v>
      </c>
      <c r="AS69">
        <v>0</v>
      </c>
      <c r="AT69">
        <v>89</v>
      </c>
      <c r="AU69">
        <v>44</v>
      </c>
      <c r="AV69">
        <v>1</v>
      </c>
      <c r="AW69">
        <v>1</v>
      </c>
      <c r="AZ69">
        <v>1</v>
      </c>
      <c r="BA69">
        <v>24.22</v>
      </c>
      <c r="BB69">
        <v>1</v>
      </c>
      <c r="BC69">
        <v>1</v>
      </c>
      <c r="BD69" t="s">
        <v>6</v>
      </c>
      <c r="BE69" t="s">
        <v>6</v>
      </c>
      <c r="BF69" t="s">
        <v>6</v>
      </c>
      <c r="BG69" t="s">
        <v>6</v>
      </c>
      <c r="BH69">
        <v>0</v>
      </c>
      <c r="BI69">
        <v>1</v>
      </c>
      <c r="BJ69" t="s">
        <v>103</v>
      </c>
      <c r="BM69">
        <v>61001</v>
      </c>
      <c r="BN69">
        <v>0</v>
      </c>
      <c r="BO69" t="s">
        <v>1327</v>
      </c>
      <c r="BP69">
        <v>1</v>
      </c>
      <c r="BQ69">
        <v>6</v>
      </c>
      <c r="BR69">
        <v>0</v>
      </c>
      <c r="BS69">
        <v>24.22</v>
      </c>
      <c r="BT69">
        <v>1</v>
      </c>
      <c r="BU69">
        <v>1</v>
      </c>
      <c r="BV69">
        <v>1</v>
      </c>
      <c r="BW69">
        <v>1</v>
      </c>
      <c r="BX69">
        <v>1</v>
      </c>
      <c r="BY69" t="s">
        <v>6</v>
      </c>
      <c r="BZ69">
        <v>89</v>
      </c>
      <c r="CA69">
        <v>44</v>
      </c>
      <c r="CB69" t="s">
        <v>6</v>
      </c>
      <c r="CE69">
        <v>0</v>
      </c>
      <c r="CF69">
        <v>0</v>
      </c>
      <c r="CG69">
        <v>0</v>
      </c>
      <c r="CM69">
        <v>0</v>
      </c>
      <c r="CN69" t="s">
        <v>6</v>
      </c>
      <c r="CO69">
        <v>0</v>
      </c>
      <c r="CP69">
        <f t="shared" ref="CP69:CP93" si="45">(P69+Q69+S69)</f>
        <v>360.77</v>
      </c>
      <c r="CQ69">
        <f>AC69*BC69</f>
        <v>1254.92</v>
      </c>
      <c r="CR69">
        <f t="shared" ref="CR69:CR93" si="46">AD69*BB69</f>
        <v>1.3915</v>
      </c>
      <c r="CS69">
        <f t="shared" ref="CS69:CS93" si="47">AE69</f>
        <v>0</v>
      </c>
      <c r="CT69">
        <f t="shared" ref="CT69:CT93" si="48">AF69</f>
        <v>1827.1545000000001</v>
      </c>
      <c r="CU69">
        <f t="shared" ref="CU69:CU93" si="49">AG69</f>
        <v>0</v>
      </c>
      <c r="CV69">
        <f t="shared" ref="CV69:CV93" si="50">AH69</f>
        <v>216.48749999999998</v>
      </c>
      <c r="CW69">
        <f t="shared" ref="CW69:CW93" si="51">AI69</f>
        <v>0</v>
      </c>
      <c r="CX69">
        <f t="shared" ref="CX69:CX93" si="52">AJ69</f>
        <v>0</v>
      </c>
      <c r="CY69">
        <f t="shared" ref="CY69:CY93" si="53">(((S69+R69)*AT69)/100)</f>
        <v>190.26420000000002</v>
      </c>
      <c r="CZ69">
        <f t="shared" ref="CZ69:CZ93" si="54">(((S69+R69)*AU69)/100)</f>
        <v>94.063199999999995</v>
      </c>
      <c r="DC69" t="s">
        <v>6</v>
      </c>
      <c r="DD69" t="s">
        <v>6</v>
      </c>
      <c r="DE69" t="s">
        <v>36</v>
      </c>
      <c r="DF69" t="s">
        <v>36</v>
      </c>
      <c r="DG69" t="s">
        <v>36</v>
      </c>
      <c r="DH69" t="s">
        <v>6</v>
      </c>
      <c r="DI69" t="s">
        <v>36</v>
      </c>
      <c r="DJ69" t="s">
        <v>36</v>
      </c>
      <c r="DK69" t="s">
        <v>6</v>
      </c>
      <c r="DL69" t="s">
        <v>6</v>
      </c>
      <c r="DM69" t="s">
        <v>6</v>
      </c>
      <c r="DN69">
        <v>0</v>
      </c>
      <c r="DO69">
        <v>0</v>
      </c>
      <c r="DP69">
        <v>1</v>
      </c>
      <c r="DQ69">
        <v>1</v>
      </c>
      <c r="DU69">
        <v>1013</v>
      </c>
      <c r="DV69" t="s">
        <v>102</v>
      </c>
      <c r="DW69" t="s">
        <v>102</v>
      </c>
      <c r="DX69">
        <v>1</v>
      </c>
      <c r="DZ69" t="s">
        <v>6</v>
      </c>
      <c r="EA69" t="s">
        <v>6</v>
      </c>
      <c r="EB69" t="s">
        <v>6</v>
      </c>
      <c r="EC69" t="s">
        <v>6</v>
      </c>
      <c r="EE69">
        <v>30853013</v>
      </c>
      <c r="EF69">
        <v>6</v>
      </c>
      <c r="EG69" t="s">
        <v>37</v>
      </c>
      <c r="EH69">
        <v>0</v>
      </c>
      <c r="EI69" t="s">
        <v>6</v>
      </c>
      <c r="EJ69">
        <v>1</v>
      </c>
      <c r="EK69">
        <v>61001</v>
      </c>
      <c r="EL69" t="s">
        <v>104</v>
      </c>
      <c r="EM69" t="s">
        <v>105</v>
      </c>
      <c r="EO69" t="s">
        <v>6</v>
      </c>
      <c r="EQ69">
        <v>131072</v>
      </c>
      <c r="ER69">
        <v>2844.96</v>
      </c>
      <c r="ES69">
        <v>1254.92</v>
      </c>
      <c r="ET69">
        <v>1.21</v>
      </c>
      <c r="EU69">
        <v>0</v>
      </c>
      <c r="EV69">
        <v>1588.83</v>
      </c>
      <c r="EW69">
        <v>188.25</v>
      </c>
      <c r="EX69">
        <v>0</v>
      </c>
      <c r="EY69">
        <v>0</v>
      </c>
      <c r="FQ69">
        <v>0</v>
      </c>
      <c r="FR69">
        <f t="shared" ref="FR69:FR93" si="55">ROUND(IF(AND(BH69=3,BI69=3),P69,0),2)</f>
        <v>0</v>
      </c>
      <c r="FS69">
        <v>0</v>
      </c>
      <c r="FX69">
        <v>89</v>
      </c>
      <c r="FY69">
        <v>44</v>
      </c>
      <c r="GA69" t="s">
        <v>6</v>
      </c>
      <c r="GD69">
        <v>1</v>
      </c>
      <c r="GF69">
        <v>1806682339</v>
      </c>
      <c r="GG69">
        <v>2</v>
      </c>
      <c r="GH69">
        <v>1</v>
      </c>
      <c r="GI69">
        <v>4</v>
      </c>
      <c r="GJ69">
        <v>0</v>
      </c>
      <c r="GK69">
        <v>0</v>
      </c>
      <c r="GL69">
        <f t="shared" ref="GL69:GL93" si="56">ROUND(IF(AND(BH69=3,BI69=3,FS69&lt;&gt;0),P69,0),2)</f>
        <v>0</v>
      </c>
      <c r="GM69">
        <f t="shared" ref="GM69:GM93" si="57">ROUND(O69+X69+Y69,2)+GX69</f>
        <v>645.09</v>
      </c>
      <c r="GN69">
        <f t="shared" ref="GN69:GN93" si="58">IF(OR(BI69=0,BI69=1),ROUND(O69+X69+Y69,2),0)</f>
        <v>645.09</v>
      </c>
      <c r="GO69">
        <f t="shared" ref="GO69:GO93" si="59">IF(BI69=2,ROUND(O69+X69+Y69,2),0)</f>
        <v>0</v>
      </c>
      <c r="GP69">
        <f t="shared" ref="GP69:GP93" si="60">IF(BI69=4,ROUND(O69+X69+Y69,2)+GX69,0)</f>
        <v>0</v>
      </c>
      <c r="GR69">
        <v>0</v>
      </c>
      <c r="GS69">
        <v>3</v>
      </c>
      <c r="GT69">
        <v>0</v>
      </c>
      <c r="GU69" t="s">
        <v>6</v>
      </c>
      <c r="GV69">
        <f t="shared" ref="GV69:GV93" si="61">ROUND((GT69),6)</f>
        <v>0</v>
      </c>
      <c r="GW69">
        <v>1</v>
      </c>
      <c r="GX69">
        <f t="shared" ref="GX69:GX93" si="62">ROUND(HC69*I69,2)</f>
        <v>0</v>
      </c>
      <c r="HA69">
        <v>0</v>
      </c>
      <c r="HB69">
        <v>0</v>
      </c>
      <c r="HC69">
        <f t="shared" ref="HC69:HC93" si="63">GV69*GW69</f>
        <v>0</v>
      </c>
      <c r="HE69" t="s">
        <v>6</v>
      </c>
      <c r="HF69" t="s">
        <v>6</v>
      </c>
      <c r="HI69">
        <f t="shared" ref="HI69:HI93" si="64">ROUND(R69*BS69,0)</f>
        <v>0</v>
      </c>
      <c r="HJ69">
        <f t="shared" ref="HJ69:HJ93" si="65">ROUND(S69*BA69,0)</f>
        <v>5178</v>
      </c>
      <c r="HK69">
        <f t="shared" ref="HK69:HK93" si="66">ROUND((((HJ69+HI69)*AT69)/100),0)</f>
        <v>4608</v>
      </c>
      <c r="HL69">
        <f t="shared" ref="HL69:HL93" si="67">ROUND((((HJ69+HI69)*AU69)/100),0)</f>
        <v>2278</v>
      </c>
      <c r="HM69" t="s">
        <v>6</v>
      </c>
      <c r="HN69" t="s">
        <v>6</v>
      </c>
      <c r="HO69" t="s">
        <v>6</v>
      </c>
      <c r="HP69" t="s">
        <v>6</v>
      </c>
      <c r="HQ69" t="s">
        <v>6</v>
      </c>
      <c r="IK69">
        <v>0</v>
      </c>
    </row>
    <row r="70" spans="1:245">
      <c r="A70">
        <v>17</v>
      </c>
      <c r="B70">
        <v>1</v>
      </c>
      <c r="E70" t="s">
        <v>106</v>
      </c>
      <c r="F70" t="s">
        <v>107</v>
      </c>
      <c r="G70" t="s">
        <v>108</v>
      </c>
      <c r="H70" t="s">
        <v>109</v>
      </c>
      <c r="I70">
        <f>ROUND(I69*-2.2,7)</f>
        <v>-0.25740000000000002</v>
      </c>
      <c r="J70">
        <v>0</v>
      </c>
      <c r="K70">
        <f>ROUND(I69*-2.2,7)</f>
        <v>-0.25740000000000002</v>
      </c>
      <c r="O70">
        <f t="shared" si="31"/>
        <v>-146.72999999999999</v>
      </c>
      <c r="P70">
        <f>ROUND(CQ70*I70,2)</f>
        <v>-146.72999999999999</v>
      </c>
      <c r="Q70">
        <f t="shared" si="32"/>
        <v>0</v>
      </c>
      <c r="R70">
        <f t="shared" si="33"/>
        <v>0</v>
      </c>
      <c r="S70">
        <f t="shared" si="34"/>
        <v>0</v>
      </c>
      <c r="T70">
        <f t="shared" si="35"/>
        <v>0</v>
      </c>
      <c r="U70">
        <f t="shared" si="36"/>
        <v>0</v>
      </c>
      <c r="V70">
        <f t="shared" si="37"/>
        <v>0</v>
      </c>
      <c r="W70">
        <f t="shared" si="38"/>
        <v>0</v>
      </c>
      <c r="X70">
        <f t="shared" si="39"/>
        <v>0</v>
      </c>
      <c r="Y70">
        <f t="shared" si="40"/>
        <v>0</v>
      </c>
      <c r="AA70">
        <v>31028412</v>
      </c>
      <c r="AB70">
        <f t="shared" si="41"/>
        <v>570.03</v>
      </c>
      <c r="AC70">
        <f t="shared" si="42"/>
        <v>570.03</v>
      </c>
      <c r="AD70">
        <f>ROUND((((ET70)-(EU70))+AE70),6)</f>
        <v>0</v>
      </c>
      <c r="AE70">
        <f>ROUND((EU70),6)</f>
        <v>0</v>
      </c>
      <c r="AF70">
        <f>ROUND((EV70),6)</f>
        <v>0</v>
      </c>
      <c r="AG70">
        <f t="shared" si="43"/>
        <v>0</v>
      </c>
      <c r="AH70">
        <f>(EW70)</f>
        <v>0</v>
      </c>
      <c r="AI70">
        <f>(EX70)</f>
        <v>0</v>
      </c>
      <c r="AJ70">
        <f t="shared" si="44"/>
        <v>0</v>
      </c>
      <c r="AK70">
        <v>570.03</v>
      </c>
      <c r="AL70">
        <v>570.03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1</v>
      </c>
      <c r="AW70">
        <v>1</v>
      </c>
      <c r="AZ70">
        <v>1</v>
      </c>
      <c r="BA70">
        <v>1</v>
      </c>
      <c r="BB70">
        <v>1</v>
      </c>
      <c r="BC70">
        <v>1</v>
      </c>
      <c r="BD70" t="s">
        <v>6</v>
      </c>
      <c r="BE70" t="s">
        <v>6</v>
      </c>
      <c r="BF70" t="s">
        <v>6</v>
      </c>
      <c r="BG70" t="s">
        <v>6</v>
      </c>
      <c r="BH70">
        <v>3</v>
      </c>
      <c r="BI70">
        <v>1</v>
      </c>
      <c r="BJ70" t="s">
        <v>110</v>
      </c>
      <c r="BM70">
        <v>500001</v>
      </c>
      <c r="BN70">
        <v>0</v>
      </c>
      <c r="BO70" t="s">
        <v>111</v>
      </c>
      <c r="BP70">
        <v>1</v>
      </c>
      <c r="BQ70">
        <v>8</v>
      </c>
      <c r="BR70">
        <v>1</v>
      </c>
      <c r="BS70">
        <v>1</v>
      </c>
      <c r="BT70">
        <v>1</v>
      </c>
      <c r="BU70">
        <v>1</v>
      </c>
      <c r="BV70">
        <v>1</v>
      </c>
      <c r="BW70">
        <v>1</v>
      </c>
      <c r="BX70">
        <v>1</v>
      </c>
      <c r="BY70" t="s">
        <v>6</v>
      </c>
      <c r="BZ70">
        <v>0</v>
      </c>
      <c r="CA70">
        <v>0</v>
      </c>
      <c r="CB70" t="s">
        <v>6</v>
      </c>
      <c r="CE70">
        <v>0</v>
      </c>
      <c r="CF70">
        <v>0</v>
      </c>
      <c r="CG70">
        <v>0</v>
      </c>
      <c r="CM70">
        <v>0</v>
      </c>
      <c r="CN70" t="s">
        <v>6</v>
      </c>
      <c r="CO70">
        <v>0</v>
      </c>
      <c r="CP70">
        <f t="shared" si="45"/>
        <v>-146.72999999999999</v>
      </c>
      <c r="CQ70">
        <f>AC70*BC70</f>
        <v>570.03</v>
      </c>
      <c r="CR70">
        <f t="shared" si="46"/>
        <v>0</v>
      </c>
      <c r="CS70">
        <f t="shared" si="47"/>
        <v>0</v>
      </c>
      <c r="CT70">
        <f t="shared" si="48"/>
        <v>0</v>
      </c>
      <c r="CU70">
        <f t="shared" si="49"/>
        <v>0</v>
      </c>
      <c r="CV70">
        <f t="shared" si="50"/>
        <v>0</v>
      </c>
      <c r="CW70">
        <f t="shared" si="51"/>
        <v>0</v>
      </c>
      <c r="CX70">
        <f t="shared" si="52"/>
        <v>0</v>
      </c>
      <c r="CY70">
        <f t="shared" si="53"/>
        <v>0</v>
      </c>
      <c r="CZ70">
        <f t="shared" si="54"/>
        <v>0</v>
      </c>
      <c r="DC70" t="s">
        <v>6</v>
      </c>
      <c r="DD70" t="s">
        <v>6</v>
      </c>
      <c r="DE70" t="s">
        <v>6</v>
      </c>
      <c r="DF70" t="s">
        <v>6</v>
      </c>
      <c r="DG70" t="s">
        <v>6</v>
      </c>
      <c r="DH70" t="s">
        <v>6</v>
      </c>
      <c r="DI70" t="s">
        <v>6</v>
      </c>
      <c r="DJ70" t="s">
        <v>6</v>
      </c>
      <c r="DK70" t="s">
        <v>6</v>
      </c>
      <c r="DL70" t="s">
        <v>6</v>
      </c>
      <c r="DM70" t="s">
        <v>6</v>
      </c>
      <c r="DN70">
        <v>0</v>
      </c>
      <c r="DO70">
        <v>0</v>
      </c>
      <c r="DP70">
        <v>1</v>
      </c>
      <c r="DQ70">
        <v>1</v>
      </c>
      <c r="DU70">
        <v>1007</v>
      </c>
      <c r="DV70" t="s">
        <v>109</v>
      </c>
      <c r="DW70" t="s">
        <v>109</v>
      </c>
      <c r="DX70">
        <v>1</v>
      </c>
      <c r="DZ70" t="s">
        <v>6</v>
      </c>
      <c r="EA70" t="s">
        <v>6</v>
      </c>
      <c r="EB70" t="s">
        <v>6</v>
      </c>
      <c r="EC70" t="s">
        <v>6</v>
      </c>
      <c r="EE70">
        <v>30852824</v>
      </c>
      <c r="EF70">
        <v>8</v>
      </c>
      <c r="EG70" t="s">
        <v>112</v>
      </c>
      <c r="EH70">
        <v>0</v>
      </c>
      <c r="EI70" t="s">
        <v>6</v>
      </c>
      <c r="EJ70">
        <v>1</v>
      </c>
      <c r="EK70">
        <v>500001</v>
      </c>
      <c r="EL70" t="s">
        <v>113</v>
      </c>
      <c r="EM70" t="s">
        <v>114</v>
      </c>
      <c r="EO70" t="s">
        <v>6</v>
      </c>
      <c r="EQ70">
        <v>32768</v>
      </c>
      <c r="ER70">
        <v>570.03</v>
      </c>
      <c r="ES70">
        <v>570.03</v>
      </c>
      <c r="ET70">
        <v>0</v>
      </c>
      <c r="EU70">
        <v>0</v>
      </c>
      <c r="EV70">
        <v>0</v>
      </c>
      <c r="EW70">
        <v>0</v>
      </c>
      <c r="EX70">
        <v>0</v>
      </c>
      <c r="EY70">
        <v>0</v>
      </c>
      <c r="FQ70">
        <v>0</v>
      </c>
      <c r="FR70">
        <f t="shared" si="55"/>
        <v>0</v>
      </c>
      <c r="FS70">
        <v>0</v>
      </c>
      <c r="FX70">
        <v>0</v>
      </c>
      <c r="FY70">
        <v>0</v>
      </c>
      <c r="GA70" t="s">
        <v>6</v>
      </c>
      <c r="GD70">
        <v>1</v>
      </c>
      <c r="GF70">
        <v>-1738869177</v>
      </c>
      <c r="GG70">
        <v>2</v>
      </c>
      <c r="GH70">
        <v>1</v>
      </c>
      <c r="GI70">
        <v>4</v>
      </c>
      <c r="GJ70">
        <v>0</v>
      </c>
      <c r="GK70">
        <v>0</v>
      </c>
      <c r="GL70">
        <f t="shared" si="56"/>
        <v>0</v>
      </c>
      <c r="GM70">
        <f t="shared" si="57"/>
        <v>-146.72999999999999</v>
      </c>
      <c r="GN70">
        <f t="shared" si="58"/>
        <v>-146.72999999999999</v>
      </c>
      <c r="GO70">
        <f t="shared" si="59"/>
        <v>0</v>
      </c>
      <c r="GP70">
        <f t="shared" si="60"/>
        <v>0</v>
      </c>
      <c r="GR70">
        <v>0</v>
      </c>
      <c r="GS70">
        <v>3</v>
      </c>
      <c r="GT70">
        <v>0</v>
      </c>
      <c r="GU70" t="s">
        <v>6</v>
      </c>
      <c r="GV70">
        <f t="shared" si="61"/>
        <v>0</v>
      </c>
      <c r="GW70">
        <v>1</v>
      </c>
      <c r="GX70">
        <f t="shared" si="62"/>
        <v>0</v>
      </c>
      <c r="HA70">
        <v>0</v>
      </c>
      <c r="HB70">
        <v>0</v>
      </c>
      <c r="HC70">
        <f t="shared" si="63"/>
        <v>0</v>
      </c>
      <c r="HE70" t="s">
        <v>6</v>
      </c>
      <c r="HF70" t="s">
        <v>6</v>
      </c>
      <c r="HI70">
        <f t="shared" si="64"/>
        <v>0</v>
      </c>
      <c r="HJ70">
        <f t="shared" si="65"/>
        <v>0</v>
      </c>
      <c r="HK70">
        <f t="shared" si="66"/>
        <v>0</v>
      </c>
      <c r="HL70">
        <f t="shared" si="67"/>
        <v>0</v>
      </c>
      <c r="HM70" t="s">
        <v>6</v>
      </c>
      <c r="HN70" t="s">
        <v>6</v>
      </c>
      <c r="HO70" t="s">
        <v>6</v>
      </c>
      <c r="HP70" t="s">
        <v>6</v>
      </c>
      <c r="HQ70" t="s">
        <v>6</v>
      </c>
      <c r="IK70">
        <v>0</v>
      </c>
    </row>
    <row r="71" spans="1:245">
      <c r="A71">
        <v>17</v>
      </c>
      <c r="B71">
        <v>1</v>
      </c>
      <c r="E71" t="s">
        <v>115</v>
      </c>
      <c r="F71" t="s">
        <v>116</v>
      </c>
      <c r="G71" t="s">
        <v>117</v>
      </c>
      <c r="H71" t="s">
        <v>118</v>
      </c>
      <c r="I71">
        <f>ROUND(36*11.7,7)</f>
        <v>421.2</v>
      </c>
      <c r="J71">
        <v>0</v>
      </c>
      <c r="K71">
        <f>ROUND(36*11.7,7)</f>
        <v>421.2</v>
      </c>
      <c r="O71">
        <f t="shared" si="31"/>
        <v>2104.6999999999998</v>
      </c>
      <c r="P71">
        <f>ROUND(ROUND(CQ71*I71,0)/BC71,2)</f>
        <v>2104.6999999999998</v>
      </c>
      <c r="Q71">
        <f t="shared" si="32"/>
        <v>0</v>
      </c>
      <c r="R71">
        <f t="shared" si="33"/>
        <v>0</v>
      </c>
      <c r="S71">
        <f t="shared" si="34"/>
        <v>0</v>
      </c>
      <c r="T71">
        <f t="shared" si="35"/>
        <v>0</v>
      </c>
      <c r="U71">
        <f t="shared" si="36"/>
        <v>0</v>
      </c>
      <c r="V71">
        <f t="shared" si="37"/>
        <v>0</v>
      </c>
      <c r="W71">
        <f t="shared" si="38"/>
        <v>0</v>
      </c>
      <c r="X71">
        <f t="shared" si="39"/>
        <v>0</v>
      </c>
      <c r="Y71">
        <f t="shared" si="40"/>
        <v>0</v>
      </c>
      <c r="AA71">
        <v>31028412</v>
      </c>
      <c r="AB71">
        <f t="shared" si="41"/>
        <v>30.83</v>
      </c>
      <c r="AC71">
        <f t="shared" si="42"/>
        <v>30.83</v>
      </c>
      <c r="AD71">
        <f>ROUND((((ET71)-(EU71))+AE71),6)</f>
        <v>0</v>
      </c>
      <c r="AE71">
        <f>ROUND((EU71),6)</f>
        <v>0</v>
      </c>
      <c r="AF71">
        <f>ROUND((EV71),6)</f>
        <v>0</v>
      </c>
      <c r="AG71">
        <f t="shared" si="43"/>
        <v>0</v>
      </c>
      <c r="AH71">
        <f>(EW71)</f>
        <v>0</v>
      </c>
      <c r="AI71">
        <f>(EX71)</f>
        <v>0</v>
      </c>
      <c r="AJ71">
        <f t="shared" si="44"/>
        <v>0</v>
      </c>
      <c r="AK71">
        <v>30.83</v>
      </c>
      <c r="AL71">
        <v>30.83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1</v>
      </c>
      <c r="AW71">
        <v>1</v>
      </c>
      <c r="AZ71">
        <v>1</v>
      </c>
      <c r="BA71">
        <v>1</v>
      </c>
      <c r="BB71">
        <v>1</v>
      </c>
      <c r="BC71">
        <v>6.17</v>
      </c>
      <c r="BD71" t="s">
        <v>6</v>
      </c>
      <c r="BE71" t="s">
        <v>6</v>
      </c>
      <c r="BF71" t="s">
        <v>6</v>
      </c>
      <c r="BG71" t="s">
        <v>6</v>
      </c>
      <c r="BH71">
        <v>3</v>
      </c>
      <c r="BI71">
        <v>1</v>
      </c>
      <c r="BJ71" t="s">
        <v>6</v>
      </c>
      <c r="BM71">
        <v>1100</v>
      </c>
      <c r="BN71">
        <v>0</v>
      </c>
      <c r="BO71" t="s">
        <v>111</v>
      </c>
      <c r="BP71">
        <v>1</v>
      </c>
      <c r="BQ71">
        <v>8</v>
      </c>
      <c r="BR71">
        <v>0</v>
      </c>
      <c r="BS71">
        <v>1</v>
      </c>
      <c r="BT71">
        <v>1</v>
      </c>
      <c r="BU71">
        <v>1</v>
      </c>
      <c r="BV71">
        <v>1</v>
      </c>
      <c r="BW71">
        <v>1</v>
      </c>
      <c r="BX71">
        <v>1</v>
      </c>
      <c r="BY71" t="s">
        <v>6</v>
      </c>
      <c r="BZ71">
        <v>0</v>
      </c>
      <c r="CA71">
        <v>0</v>
      </c>
      <c r="CB71" t="s">
        <v>6</v>
      </c>
      <c r="CE71">
        <v>0</v>
      </c>
      <c r="CF71">
        <v>0</v>
      </c>
      <c r="CG71">
        <v>0</v>
      </c>
      <c r="CM71">
        <v>0</v>
      </c>
      <c r="CN71" t="s">
        <v>6</v>
      </c>
      <c r="CO71">
        <v>0</v>
      </c>
      <c r="CP71">
        <f t="shared" si="45"/>
        <v>2104.6999999999998</v>
      </c>
      <c r="CQ71">
        <f>AC71</f>
        <v>30.83</v>
      </c>
      <c r="CR71">
        <f t="shared" si="46"/>
        <v>0</v>
      </c>
      <c r="CS71">
        <f t="shared" si="47"/>
        <v>0</v>
      </c>
      <c r="CT71">
        <f t="shared" si="48"/>
        <v>0</v>
      </c>
      <c r="CU71">
        <f t="shared" si="49"/>
        <v>0</v>
      </c>
      <c r="CV71">
        <f t="shared" si="50"/>
        <v>0</v>
      </c>
      <c r="CW71">
        <f t="shared" si="51"/>
        <v>0</v>
      </c>
      <c r="CX71">
        <f t="shared" si="52"/>
        <v>0</v>
      </c>
      <c r="CY71">
        <f t="shared" si="53"/>
        <v>0</v>
      </c>
      <c r="CZ71">
        <f t="shared" si="54"/>
        <v>0</v>
      </c>
      <c r="DC71" t="s">
        <v>6</v>
      </c>
      <c r="DD71" t="s">
        <v>6</v>
      </c>
      <c r="DE71" t="s">
        <v>6</v>
      </c>
      <c r="DF71" t="s">
        <v>6</v>
      </c>
      <c r="DG71" t="s">
        <v>6</v>
      </c>
      <c r="DH71" t="s">
        <v>6</v>
      </c>
      <c r="DI71" t="s">
        <v>6</v>
      </c>
      <c r="DJ71" t="s">
        <v>6</v>
      </c>
      <c r="DK71" t="s">
        <v>6</v>
      </c>
      <c r="DL71" t="s">
        <v>6</v>
      </c>
      <c r="DM71" t="s">
        <v>6</v>
      </c>
      <c r="DN71">
        <v>0</v>
      </c>
      <c r="DO71">
        <v>0</v>
      </c>
      <c r="DP71">
        <v>1</v>
      </c>
      <c r="DQ71">
        <v>1</v>
      </c>
      <c r="DU71">
        <v>1009</v>
      </c>
      <c r="DV71" t="s">
        <v>118</v>
      </c>
      <c r="DW71" t="s">
        <v>118</v>
      </c>
      <c r="DX71">
        <v>1</v>
      </c>
      <c r="DZ71" t="s">
        <v>6</v>
      </c>
      <c r="EA71" t="s">
        <v>6</v>
      </c>
      <c r="EB71" t="s">
        <v>6</v>
      </c>
      <c r="EC71" t="s">
        <v>6</v>
      </c>
      <c r="EE71">
        <v>30853118</v>
      </c>
      <c r="EF71">
        <v>8</v>
      </c>
      <c r="EG71" t="s">
        <v>112</v>
      </c>
      <c r="EH71">
        <v>0</v>
      </c>
      <c r="EI71" t="s">
        <v>6</v>
      </c>
      <c r="EJ71">
        <v>1</v>
      </c>
      <c r="EK71">
        <v>1100</v>
      </c>
      <c r="EL71" t="s">
        <v>119</v>
      </c>
      <c r="EM71" t="s">
        <v>120</v>
      </c>
      <c r="EO71" t="s">
        <v>6</v>
      </c>
      <c r="EQ71">
        <v>0</v>
      </c>
      <c r="ER71">
        <v>30.83</v>
      </c>
      <c r="ES71">
        <v>30.83</v>
      </c>
      <c r="ET71">
        <v>0</v>
      </c>
      <c r="EU71">
        <v>0</v>
      </c>
      <c r="EV71">
        <v>0</v>
      </c>
      <c r="EW71">
        <v>0</v>
      </c>
      <c r="EX71">
        <v>0</v>
      </c>
      <c r="EY71">
        <v>0</v>
      </c>
      <c r="EZ71">
        <v>5</v>
      </c>
      <c r="FC71">
        <v>0</v>
      </c>
      <c r="FD71">
        <v>18</v>
      </c>
      <c r="FF71">
        <v>30.83</v>
      </c>
      <c r="FQ71">
        <v>0</v>
      </c>
      <c r="FR71">
        <f t="shared" si="55"/>
        <v>0</v>
      </c>
      <c r="FS71">
        <v>0</v>
      </c>
      <c r="FX71">
        <v>0</v>
      </c>
      <c r="FY71">
        <v>0</v>
      </c>
      <c r="GA71" t="s">
        <v>6</v>
      </c>
      <c r="GD71">
        <v>1</v>
      </c>
      <c r="GF71">
        <v>-1779708610</v>
      </c>
      <c r="GG71">
        <v>2</v>
      </c>
      <c r="GH71">
        <v>3</v>
      </c>
      <c r="GI71">
        <v>4</v>
      </c>
      <c r="GJ71">
        <v>0</v>
      </c>
      <c r="GK71">
        <v>0</v>
      </c>
      <c r="GL71">
        <f t="shared" si="56"/>
        <v>0</v>
      </c>
      <c r="GM71">
        <f t="shared" si="57"/>
        <v>2104.6999999999998</v>
      </c>
      <c r="GN71">
        <f t="shared" si="58"/>
        <v>2104.6999999999998</v>
      </c>
      <c r="GO71">
        <f t="shared" si="59"/>
        <v>0</v>
      </c>
      <c r="GP71">
        <f t="shared" si="60"/>
        <v>0</v>
      </c>
      <c r="GR71">
        <v>1</v>
      </c>
      <c r="GS71">
        <v>1</v>
      </c>
      <c r="GT71">
        <v>0</v>
      </c>
      <c r="GU71" t="s">
        <v>6</v>
      </c>
      <c r="GV71">
        <f t="shared" si="61"/>
        <v>0</v>
      </c>
      <c r="GW71">
        <v>1</v>
      </c>
      <c r="GX71">
        <f t="shared" si="62"/>
        <v>0</v>
      </c>
      <c r="HA71">
        <v>0</v>
      </c>
      <c r="HB71">
        <v>0</v>
      </c>
      <c r="HC71">
        <f t="shared" si="63"/>
        <v>0</v>
      </c>
      <c r="HE71" t="s">
        <v>6</v>
      </c>
      <c r="HF71" t="s">
        <v>6</v>
      </c>
      <c r="HG71">
        <f>ROUND(AC71*I71,0)</f>
        <v>12986</v>
      </c>
      <c r="HI71">
        <f t="shared" si="64"/>
        <v>0</v>
      </c>
      <c r="HJ71">
        <f t="shared" si="65"/>
        <v>0</v>
      </c>
      <c r="HK71">
        <f t="shared" si="66"/>
        <v>0</v>
      </c>
      <c r="HL71">
        <f t="shared" si="67"/>
        <v>0</v>
      </c>
      <c r="HM71" t="s">
        <v>6</v>
      </c>
      <c r="HN71" t="s">
        <v>6</v>
      </c>
      <c r="HO71" t="s">
        <v>6</v>
      </c>
      <c r="HP71" t="s">
        <v>6</v>
      </c>
      <c r="HQ71" t="s">
        <v>6</v>
      </c>
      <c r="IK71">
        <v>0</v>
      </c>
    </row>
    <row r="72" spans="1:245">
      <c r="A72">
        <v>17</v>
      </c>
      <c r="B72">
        <v>1</v>
      </c>
      <c r="C72">
        <f>ROW(SmtRes!A30)</f>
        <v>30</v>
      </c>
      <c r="D72">
        <f>ROW(EtalonRes!A33)</f>
        <v>33</v>
      </c>
      <c r="E72" t="s">
        <v>121</v>
      </c>
      <c r="F72" t="s">
        <v>122</v>
      </c>
      <c r="G72" t="s">
        <v>123</v>
      </c>
      <c r="H72" t="s">
        <v>124</v>
      </c>
      <c r="I72">
        <f>ROUND(11.7/100,7)</f>
        <v>0.11700000000000001</v>
      </c>
      <c r="J72">
        <v>0</v>
      </c>
      <c r="K72">
        <f>ROUND(11.7/100,7)</f>
        <v>0.11700000000000001</v>
      </c>
      <c r="O72">
        <f t="shared" si="31"/>
        <v>91.96</v>
      </c>
      <c r="P72">
        <f>ROUND(CQ72*I72,2)</f>
        <v>71.55</v>
      </c>
      <c r="Q72">
        <f t="shared" si="32"/>
        <v>1.26</v>
      </c>
      <c r="R72">
        <f t="shared" si="33"/>
        <v>0</v>
      </c>
      <c r="S72">
        <f t="shared" si="34"/>
        <v>19.149999999999999</v>
      </c>
      <c r="T72">
        <f t="shared" si="35"/>
        <v>0</v>
      </c>
      <c r="U72">
        <f t="shared" si="36"/>
        <v>2.1353085000000003</v>
      </c>
      <c r="V72">
        <f t="shared" si="37"/>
        <v>0</v>
      </c>
      <c r="W72">
        <f t="shared" si="38"/>
        <v>0</v>
      </c>
      <c r="X72">
        <f t="shared" si="39"/>
        <v>17.239999999999998</v>
      </c>
      <c r="Y72">
        <f t="shared" si="40"/>
        <v>7.98</v>
      </c>
      <c r="AA72">
        <v>31028412</v>
      </c>
      <c r="AB72">
        <f t="shared" si="41"/>
        <v>785.994775</v>
      </c>
      <c r="AC72">
        <f t="shared" si="42"/>
        <v>611.53</v>
      </c>
      <c r="AD72">
        <f>ROUND(((((ET72*ROUND((1.25*1.15),7)))-((EU72*ROUND((1.25*1.15),7))))+AE72),6)</f>
        <v>10.7525</v>
      </c>
      <c r="AE72">
        <f>ROUND(((EU72*ROUND((1.25*1.15),7))),6)</f>
        <v>0</v>
      </c>
      <c r="AF72">
        <f>ROUND(((EV72*ROUND((1.15*1.15),7))),6)</f>
        <v>163.71227500000001</v>
      </c>
      <c r="AG72">
        <f t="shared" si="43"/>
        <v>0</v>
      </c>
      <c r="AH72">
        <f>((EW72*ROUND((1.15*1.15),7)))</f>
        <v>18.250500000000002</v>
      </c>
      <c r="AI72">
        <f>((EX72*ROUND((1.25*1.15),7)))</f>
        <v>0</v>
      </c>
      <c r="AJ72">
        <f t="shared" si="44"/>
        <v>0</v>
      </c>
      <c r="AK72">
        <v>742.8</v>
      </c>
      <c r="AL72">
        <v>611.53</v>
      </c>
      <c r="AM72">
        <v>7.48</v>
      </c>
      <c r="AN72">
        <v>0</v>
      </c>
      <c r="AO72">
        <v>123.79</v>
      </c>
      <c r="AP72">
        <v>0</v>
      </c>
      <c r="AQ72">
        <v>13.8</v>
      </c>
      <c r="AR72">
        <v>0</v>
      </c>
      <c r="AS72">
        <v>0</v>
      </c>
      <c r="AT72">
        <v>90</v>
      </c>
      <c r="AU72">
        <v>41.65</v>
      </c>
      <c r="AV72">
        <v>1</v>
      </c>
      <c r="AW72">
        <v>1</v>
      </c>
      <c r="AZ72">
        <v>1</v>
      </c>
      <c r="BA72">
        <v>24.22</v>
      </c>
      <c r="BB72">
        <v>1</v>
      </c>
      <c r="BC72">
        <v>1</v>
      </c>
      <c r="BD72" t="s">
        <v>6</v>
      </c>
      <c r="BE72" t="s">
        <v>6</v>
      </c>
      <c r="BF72" t="s">
        <v>6</v>
      </c>
      <c r="BG72" t="s">
        <v>6</v>
      </c>
      <c r="BH72">
        <v>0</v>
      </c>
      <c r="BI72">
        <v>1</v>
      </c>
      <c r="BJ72" t="s">
        <v>125</v>
      </c>
      <c r="BM72">
        <v>15001</v>
      </c>
      <c r="BN72">
        <v>0</v>
      </c>
      <c r="BO72" t="s">
        <v>1327</v>
      </c>
      <c r="BP72">
        <v>1</v>
      </c>
      <c r="BQ72">
        <v>2</v>
      </c>
      <c r="BR72">
        <v>0</v>
      </c>
      <c r="BS72">
        <v>24.22</v>
      </c>
      <c r="BT72">
        <v>1</v>
      </c>
      <c r="BU72">
        <v>1</v>
      </c>
      <c r="BV72">
        <v>1</v>
      </c>
      <c r="BW72">
        <v>1</v>
      </c>
      <c r="BX72">
        <v>1</v>
      </c>
      <c r="BY72" t="s">
        <v>6</v>
      </c>
      <c r="BZ72">
        <v>100</v>
      </c>
      <c r="CA72">
        <v>49</v>
      </c>
      <c r="CB72" t="s">
        <v>6</v>
      </c>
      <c r="CE72">
        <v>0</v>
      </c>
      <c r="CF72">
        <v>0</v>
      </c>
      <c r="CG72">
        <v>0</v>
      </c>
      <c r="CM72">
        <v>0</v>
      </c>
      <c r="CN72" t="s">
        <v>6</v>
      </c>
      <c r="CO72">
        <v>0</v>
      </c>
      <c r="CP72">
        <f t="shared" si="45"/>
        <v>91.960000000000008</v>
      </c>
      <c r="CQ72">
        <f>AC72*BC72</f>
        <v>611.53</v>
      </c>
      <c r="CR72">
        <f t="shared" si="46"/>
        <v>10.7525</v>
      </c>
      <c r="CS72">
        <f t="shared" si="47"/>
        <v>0</v>
      </c>
      <c r="CT72">
        <f t="shared" si="48"/>
        <v>163.71227500000001</v>
      </c>
      <c r="CU72">
        <f t="shared" si="49"/>
        <v>0</v>
      </c>
      <c r="CV72">
        <f t="shared" si="50"/>
        <v>18.250500000000002</v>
      </c>
      <c r="CW72">
        <f t="shared" si="51"/>
        <v>0</v>
      </c>
      <c r="CX72">
        <f t="shared" si="52"/>
        <v>0</v>
      </c>
      <c r="CY72">
        <f t="shared" si="53"/>
        <v>17.234999999999999</v>
      </c>
      <c r="CZ72">
        <f t="shared" si="54"/>
        <v>7.975975</v>
      </c>
      <c r="DC72" t="s">
        <v>6</v>
      </c>
      <c r="DD72" t="s">
        <v>6</v>
      </c>
      <c r="DE72" t="s">
        <v>126</v>
      </c>
      <c r="DF72" t="s">
        <v>126</v>
      </c>
      <c r="DG72" t="s">
        <v>127</v>
      </c>
      <c r="DH72" t="s">
        <v>6</v>
      </c>
      <c r="DI72" t="s">
        <v>127</v>
      </c>
      <c r="DJ72" t="s">
        <v>126</v>
      </c>
      <c r="DK72" t="s">
        <v>6</v>
      </c>
      <c r="DL72" t="s">
        <v>6</v>
      </c>
      <c r="DM72" t="s">
        <v>6</v>
      </c>
      <c r="DN72">
        <v>0</v>
      </c>
      <c r="DO72">
        <v>0</v>
      </c>
      <c r="DP72">
        <v>1</v>
      </c>
      <c r="DQ72">
        <v>1</v>
      </c>
      <c r="DU72">
        <v>1005</v>
      </c>
      <c r="DV72" t="s">
        <v>124</v>
      </c>
      <c r="DW72" t="s">
        <v>124</v>
      </c>
      <c r="DX72">
        <v>100</v>
      </c>
      <c r="DZ72" t="s">
        <v>6</v>
      </c>
      <c r="EA72" t="s">
        <v>6</v>
      </c>
      <c r="EB72" t="s">
        <v>6</v>
      </c>
      <c r="EC72" t="s">
        <v>6</v>
      </c>
      <c r="EE72">
        <v>30852936</v>
      </c>
      <c r="EF72">
        <v>2</v>
      </c>
      <c r="EG72" t="s">
        <v>26</v>
      </c>
      <c r="EH72">
        <v>0</v>
      </c>
      <c r="EI72" t="s">
        <v>6</v>
      </c>
      <c r="EJ72">
        <v>1</v>
      </c>
      <c r="EK72">
        <v>15001</v>
      </c>
      <c r="EL72" t="s">
        <v>128</v>
      </c>
      <c r="EM72" t="s">
        <v>129</v>
      </c>
      <c r="EO72" t="s">
        <v>6</v>
      </c>
      <c r="EQ72">
        <v>131072</v>
      </c>
      <c r="ER72">
        <v>742.8</v>
      </c>
      <c r="ES72">
        <v>611.53</v>
      </c>
      <c r="ET72">
        <v>7.48</v>
      </c>
      <c r="EU72">
        <v>0</v>
      </c>
      <c r="EV72">
        <v>123.79</v>
      </c>
      <c r="EW72">
        <v>13.8</v>
      </c>
      <c r="EX72">
        <v>0</v>
      </c>
      <c r="EY72">
        <v>0</v>
      </c>
      <c r="FQ72">
        <v>0</v>
      </c>
      <c r="FR72">
        <f t="shared" si="55"/>
        <v>0</v>
      </c>
      <c r="FS72">
        <v>0</v>
      </c>
      <c r="FT72" t="s">
        <v>29</v>
      </c>
      <c r="FU72" t="s">
        <v>30</v>
      </c>
      <c r="FX72">
        <v>90</v>
      </c>
      <c r="FY72">
        <v>41.65</v>
      </c>
      <c r="GA72" t="s">
        <v>6</v>
      </c>
      <c r="GD72">
        <v>1</v>
      </c>
      <c r="GF72">
        <v>-1294516075</v>
      </c>
      <c r="GG72">
        <v>2</v>
      </c>
      <c r="GH72">
        <v>1</v>
      </c>
      <c r="GI72">
        <v>4</v>
      </c>
      <c r="GJ72">
        <v>0</v>
      </c>
      <c r="GK72">
        <v>0</v>
      </c>
      <c r="GL72">
        <f t="shared" si="56"/>
        <v>0</v>
      </c>
      <c r="GM72">
        <f t="shared" si="57"/>
        <v>117.18</v>
      </c>
      <c r="GN72">
        <f t="shared" si="58"/>
        <v>117.18</v>
      </c>
      <c r="GO72">
        <f t="shared" si="59"/>
        <v>0</v>
      </c>
      <c r="GP72">
        <f t="shared" si="60"/>
        <v>0</v>
      </c>
      <c r="GR72">
        <v>0</v>
      </c>
      <c r="GS72">
        <v>3</v>
      </c>
      <c r="GT72">
        <v>0</v>
      </c>
      <c r="GU72" t="s">
        <v>6</v>
      </c>
      <c r="GV72">
        <f t="shared" si="61"/>
        <v>0</v>
      </c>
      <c r="GW72">
        <v>1</v>
      </c>
      <c r="GX72">
        <f t="shared" si="62"/>
        <v>0</v>
      </c>
      <c r="HA72">
        <v>0</v>
      </c>
      <c r="HB72">
        <v>0</v>
      </c>
      <c r="HC72">
        <f t="shared" si="63"/>
        <v>0</v>
      </c>
      <c r="HE72" t="s">
        <v>6</v>
      </c>
      <c r="HF72" t="s">
        <v>6</v>
      </c>
      <c r="HI72">
        <f t="shared" si="64"/>
        <v>0</v>
      </c>
      <c r="HJ72">
        <f t="shared" si="65"/>
        <v>464</v>
      </c>
      <c r="HK72">
        <f t="shared" si="66"/>
        <v>418</v>
      </c>
      <c r="HL72">
        <f t="shared" si="67"/>
        <v>193</v>
      </c>
      <c r="HM72" t="s">
        <v>6</v>
      </c>
      <c r="HN72" t="s">
        <v>6</v>
      </c>
      <c r="HO72" t="s">
        <v>6</v>
      </c>
      <c r="HP72" t="s">
        <v>6</v>
      </c>
      <c r="HQ72" t="s">
        <v>6</v>
      </c>
      <c r="IK72">
        <v>0</v>
      </c>
    </row>
    <row r="73" spans="1:245">
      <c r="A73">
        <v>17</v>
      </c>
      <c r="B73">
        <v>1</v>
      </c>
      <c r="E73" t="s">
        <v>130</v>
      </c>
      <c r="F73" t="s">
        <v>131</v>
      </c>
      <c r="G73" t="s">
        <v>132</v>
      </c>
      <c r="H73" t="s">
        <v>118</v>
      </c>
      <c r="I73">
        <f>ROUND(I72*-13,7)</f>
        <v>-1.5209999999999999</v>
      </c>
      <c r="J73">
        <v>0</v>
      </c>
      <c r="K73">
        <f>ROUND(I72*-13,7)</f>
        <v>-1.5209999999999999</v>
      </c>
      <c r="O73">
        <f t="shared" si="31"/>
        <v>-25.22</v>
      </c>
      <c r="P73">
        <f>ROUND(CQ73*I73,2)</f>
        <v>-25.22</v>
      </c>
      <c r="Q73">
        <f t="shared" si="32"/>
        <v>0</v>
      </c>
      <c r="R73">
        <f t="shared" si="33"/>
        <v>0</v>
      </c>
      <c r="S73">
        <f t="shared" si="34"/>
        <v>0</v>
      </c>
      <c r="T73">
        <f t="shared" si="35"/>
        <v>0</v>
      </c>
      <c r="U73">
        <f t="shared" si="36"/>
        <v>0</v>
      </c>
      <c r="V73">
        <f t="shared" si="37"/>
        <v>0</v>
      </c>
      <c r="W73">
        <f t="shared" si="38"/>
        <v>0</v>
      </c>
      <c r="X73">
        <f t="shared" si="39"/>
        <v>0</v>
      </c>
      <c r="Y73">
        <f t="shared" si="40"/>
        <v>0</v>
      </c>
      <c r="AA73">
        <v>31028412</v>
      </c>
      <c r="AB73">
        <f t="shared" si="41"/>
        <v>16.579999999999998</v>
      </c>
      <c r="AC73">
        <f t="shared" si="42"/>
        <v>16.579999999999998</v>
      </c>
      <c r="AD73">
        <f>ROUND((((ET73)-(EU73))+AE73),6)</f>
        <v>0</v>
      </c>
      <c r="AE73">
        <f t="shared" ref="AE73:AF76" si="68">ROUND((EU73),6)</f>
        <v>0</v>
      </c>
      <c r="AF73">
        <f t="shared" si="68"/>
        <v>0</v>
      </c>
      <c r="AG73">
        <f t="shared" si="43"/>
        <v>0</v>
      </c>
      <c r="AH73">
        <f t="shared" ref="AH73:AI76" si="69">(EW73)</f>
        <v>0</v>
      </c>
      <c r="AI73">
        <f t="shared" si="69"/>
        <v>0</v>
      </c>
      <c r="AJ73">
        <f t="shared" si="44"/>
        <v>0</v>
      </c>
      <c r="AK73">
        <v>16.579999999999998</v>
      </c>
      <c r="AL73">
        <v>16.579999999999998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1</v>
      </c>
      <c r="AW73">
        <v>1</v>
      </c>
      <c r="AZ73">
        <v>1</v>
      </c>
      <c r="BA73">
        <v>1</v>
      </c>
      <c r="BB73">
        <v>1</v>
      </c>
      <c r="BC73">
        <v>1</v>
      </c>
      <c r="BD73" t="s">
        <v>6</v>
      </c>
      <c r="BE73" t="s">
        <v>6</v>
      </c>
      <c r="BF73" t="s">
        <v>6</v>
      </c>
      <c r="BG73" t="s">
        <v>6</v>
      </c>
      <c r="BH73">
        <v>3</v>
      </c>
      <c r="BI73">
        <v>1</v>
      </c>
      <c r="BJ73" t="s">
        <v>133</v>
      </c>
      <c r="BM73">
        <v>500001</v>
      </c>
      <c r="BN73">
        <v>0</v>
      </c>
      <c r="BO73" t="s">
        <v>111</v>
      </c>
      <c r="BP73">
        <v>1</v>
      </c>
      <c r="BQ73">
        <v>8</v>
      </c>
      <c r="BR73">
        <v>1</v>
      </c>
      <c r="BS73">
        <v>1</v>
      </c>
      <c r="BT73">
        <v>1</v>
      </c>
      <c r="BU73">
        <v>1</v>
      </c>
      <c r="BV73">
        <v>1</v>
      </c>
      <c r="BW73">
        <v>1</v>
      </c>
      <c r="BX73">
        <v>1</v>
      </c>
      <c r="BY73" t="s">
        <v>6</v>
      </c>
      <c r="BZ73">
        <v>0</v>
      </c>
      <c r="CA73">
        <v>0</v>
      </c>
      <c r="CB73" t="s">
        <v>6</v>
      </c>
      <c r="CE73">
        <v>0</v>
      </c>
      <c r="CF73">
        <v>0</v>
      </c>
      <c r="CG73">
        <v>0</v>
      </c>
      <c r="CM73">
        <v>0</v>
      </c>
      <c r="CN73" t="s">
        <v>6</v>
      </c>
      <c r="CO73">
        <v>0</v>
      </c>
      <c r="CP73">
        <f t="shared" si="45"/>
        <v>-25.22</v>
      </c>
      <c r="CQ73">
        <f>AC73*BC73</f>
        <v>16.579999999999998</v>
      </c>
      <c r="CR73">
        <f t="shared" si="46"/>
        <v>0</v>
      </c>
      <c r="CS73">
        <f t="shared" si="47"/>
        <v>0</v>
      </c>
      <c r="CT73">
        <f t="shared" si="48"/>
        <v>0</v>
      </c>
      <c r="CU73">
        <f t="shared" si="49"/>
        <v>0</v>
      </c>
      <c r="CV73">
        <f t="shared" si="50"/>
        <v>0</v>
      </c>
      <c r="CW73">
        <f t="shared" si="51"/>
        <v>0</v>
      </c>
      <c r="CX73">
        <f t="shared" si="52"/>
        <v>0</v>
      </c>
      <c r="CY73">
        <f t="shared" si="53"/>
        <v>0</v>
      </c>
      <c r="CZ73">
        <f t="shared" si="54"/>
        <v>0</v>
      </c>
      <c r="DC73" t="s">
        <v>6</v>
      </c>
      <c r="DD73" t="s">
        <v>6</v>
      </c>
      <c r="DE73" t="s">
        <v>6</v>
      </c>
      <c r="DF73" t="s">
        <v>6</v>
      </c>
      <c r="DG73" t="s">
        <v>6</v>
      </c>
      <c r="DH73" t="s">
        <v>6</v>
      </c>
      <c r="DI73" t="s">
        <v>6</v>
      </c>
      <c r="DJ73" t="s">
        <v>6</v>
      </c>
      <c r="DK73" t="s">
        <v>6</v>
      </c>
      <c r="DL73" t="s">
        <v>6</v>
      </c>
      <c r="DM73" t="s">
        <v>6</v>
      </c>
      <c r="DN73">
        <v>0</v>
      </c>
      <c r="DO73">
        <v>0</v>
      </c>
      <c r="DP73">
        <v>1</v>
      </c>
      <c r="DQ73">
        <v>1</v>
      </c>
      <c r="DU73">
        <v>1009</v>
      </c>
      <c r="DV73" t="s">
        <v>118</v>
      </c>
      <c r="DW73" t="s">
        <v>118</v>
      </c>
      <c r="DX73">
        <v>1</v>
      </c>
      <c r="DZ73" t="s">
        <v>6</v>
      </c>
      <c r="EA73" t="s">
        <v>6</v>
      </c>
      <c r="EB73" t="s">
        <v>6</v>
      </c>
      <c r="EC73" t="s">
        <v>6</v>
      </c>
      <c r="EE73">
        <v>30852824</v>
      </c>
      <c r="EF73">
        <v>8</v>
      </c>
      <c r="EG73" t="s">
        <v>112</v>
      </c>
      <c r="EH73">
        <v>0</v>
      </c>
      <c r="EI73" t="s">
        <v>6</v>
      </c>
      <c r="EJ73">
        <v>1</v>
      </c>
      <c r="EK73">
        <v>500001</v>
      </c>
      <c r="EL73" t="s">
        <v>113</v>
      </c>
      <c r="EM73" t="s">
        <v>114</v>
      </c>
      <c r="EO73" t="s">
        <v>6</v>
      </c>
      <c r="EQ73">
        <v>32768</v>
      </c>
      <c r="ER73">
        <v>16.579999999999998</v>
      </c>
      <c r="ES73">
        <v>16.579999999999998</v>
      </c>
      <c r="ET73">
        <v>0</v>
      </c>
      <c r="EU73">
        <v>0</v>
      </c>
      <c r="EV73">
        <v>0</v>
      </c>
      <c r="EW73">
        <v>0</v>
      </c>
      <c r="EX73">
        <v>0</v>
      </c>
      <c r="EY73">
        <v>0</v>
      </c>
      <c r="FQ73">
        <v>0</v>
      </c>
      <c r="FR73">
        <f t="shared" si="55"/>
        <v>0</v>
      </c>
      <c r="FS73">
        <v>0</v>
      </c>
      <c r="FX73">
        <v>0</v>
      </c>
      <c r="FY73">
        <v>0</v>
      </c>
      <c r="GA73" t="s">
        <v>6</v>
      </c>
      <c r="GD73">
        <v>1</v>
      </c>
      <c r="GF73">
        <v>827323639</v>
      </c>
      <c r="GG73">
        <v>2</v>
      </c>
      <c r="GH73">
        <v>1</v>
      </c>
      <c r="GI73">
        <v>4</v>
      </c>
      <c r="GJ73">
        <v>0</v>
      </c>
      <c r="GK73">
        <v>0</v>
      </c>
      <c r="GL73">
        <f t="shared" si="56"/>
        <v>0</v>
      </c>
      <c r="GM73">
        <f t="shared" si="57"/>
        <v>-25.22</v>
      </c>
      <c r="GN73">
        <f t="shared" si="58"/>
        <v>-25.22</v>
      </c>
      <c r="GO73">
        <f t="shared" si="59"/>
        <v>0</v>
      </c>
      <c r="GP73">
        <f t="shared" si="60"/>
        <v>0</v>
      </c>
      <c r="GR73">
        <v>0</v>
      </c>
      <c r="GS73">
        <v>3</v>
      </c>
      <c r="GT73">
        <v>0</v>
      </c>
      <c r="GU73" t="s">
        <v>6</v>
      </c>
      <c r="GV73">
        <f t="shared" si="61"/>
        <v>0</v>
      </c>
      <c r="GW73">
        <v>1</v>
      </c>
      <c r="GX73">
        <f t="shared" si="62"/>
        <v>0</v>
      </c>
      <c r="HA73">
        <v>0</v>
      </c>
      <c r="HB73">
        <v>0</v>
      </c>
      <c r="HC73">
        <f t="shared" si="63"/>
        <v>0</v>
      </c>
      <c r="HE73" t="s">
        <v>6</v>
      </c>
      <c r="HF73" t="s">
        <v>6</v>
      </c>
      <c r="HI73">
        <f t="shared" si="64"/>
        <v>0</v>
      </c>
      <c r="HJ73">
        <f t="shared" si="65"/>
        <v>0</v>
      </c>
      <c r="HK73">
        <f t="shared" si="66"/>
        <v>0</v>
      </c>
      <c r="HL73">
        <f t="shared" si="67"/>
        <v>0</v>
      </c>
      <c r="HM73" t="s">
        <v>6</v>
      </c>
      <c r="HN73" t="s">
        <v>6</v>
      </c>
      <c r="HO73" t="s">
        <v>6</v>
      </c>
      <c r="HP73" t="s">
        <v>6</v>
      </c>
      <c r="HQ73" t="s">
        <v>6</v>
      </c>
      <c r="IK73">
        <v>0</v>
      </c>
    </row>
    <row r="74" spans="1:245">
      <c r="A74">
        <v>17</v>
      </c>
      <c r="B74">
        <v>1</v>
      </c>
      <c r="E74" t="s">
        <v>134</v>
      </c>
      <c r="F74" t="s">
        <v>135</v>
      </c>
      <c r="G74" t="s">
        <v>136</v>
      </c>
      <c r="H74" t="s">
        <v>137</v>
      </c>
      <c r="I74">
        <f>ROUND(I72*-0.038,7)</f>
        <v>-4.4460000000000003E-3</v>
      </c>
      <c r="J74">
        <v>0</v>
      </c>
      <c r="K74">
        <f>ROUND(I72*-0.038,7)</f>
        <v>-4.4460000000000003E-3</v>
      </c>
      <c r="O74">
        <f t="shared" si="31"/>
        <v>-33.08</v>
      </c>
      <c r="P74">
        <f>ROUND(CQ74*I74,2)</f>
        <v>-33.08</v>
      </c>
      <c r="Q74">
        <f t="shared" si="32"/>
        <v>0</v>
      </c>
      <c r="R74">
        <f t="shared" si="33"/>
        <v>0</v>
      </c>
      <c r="S74">
        <f t="shared" si="34"/>
        <v>0</v>
      </c>
      <c r="T74">
        <f t="shared" si="35"/>
        <v>0</v>
      </c>
      <c r="U74">
        <f t="shared" si="36"/>
        <v>0</v>
      </c>
      <c r="V74">
        <f t="shared" si="37"/>
        <v>0</v>
      </c>
      <c r="W74">
        <f t="shared" si="38"/>
        <v>0</v>
      </c>
      <c r="X74">
        <f t="shared" si="39"/>
        <v>0</v>
      </c>
      <c r="Y74">
        <f t="shared" si="40"/>
        <v>0</v>
      </c>
      <c r="AA74">
        <v>31028412</v>
      </c>
      <c r="AB74">
        <f t="shared" si="41"/>
        <v>7439.37</v>
      </c>
      <c r="AC74">
        <f t="shared" si="42"/>
        <v>7439.37</v>
      </c>
      <c r="AD74">
        <f>ROUND((((ET74)-(EU74))+AE74),6)</f>
        <v>0</v>
      </c>
      <c r="AE74">
        <f t="shared" si="68"/>
        <v>0</v>
      </c>
      <c r="AF74">
        <f t="shared" si="68"/>
        <v>0</v>
      </c>
      <c r="AG74">
        <f t="shared" si="43"/>
        <v>0</v>
      </c>
      <c r="AH74">
        <f t="shared" si="69"/>
        <v>0</v>
      </c>
      <c r="AI74">
        <f t="shared" si="69"/>
        <v>0</v>
      </c>
      <c r="AJ74">
        <f t="shared" si="44"/>
        <v>0</v>
      </c>
      <c r="AK74">
        <v>7439.37</v>
      </c>
      <c r="AL74">
        <v>7439.37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1</v>
      </c>
      <c r="AW74">
        <v>1</v>
      </c>
      <c r="AZ74">
        <v>1</v>
      </c>
      <c r="BA74">
        <v>1</v>
      </c>
      <c r="BB74">
        <v>1</v>
      </c>
      <c r="BC74">
        <v>1</v>
      </c>
      <c r="BD74" t="s">
        <v>6</v>
      </c>
      <c r="BE74" t="s">
        <v>6</v>
      </c>
      <c r="BF74" t="s">
        <v>6</v>
      </c>
      <c r="BG74" t="s">
        <v>6</v>
      </c>
      <c r="BH74">
        <v>3</v>
      </c>
      <c r="BI74">
        <v>1</v>
      </c>
      <c r="BJ74" t="s">
        <v>138</v>
      </c>
      <c r="BM74">
        <v>500001</v>
      </c>
      <c r="BN74">
        <v>0</v>
      </c>
      <c r="BO74" t="s">
        <v>111</v>
      </c>
      <c r="BP74">
        <v>1</v>
      </c>
      <c r="BQ74">
        <v>8</v>
      </c>
      <c r="BR74">
        <v>1</v>
      </c>
      <c r="BS74">
        <v>1</v>
      </c>
      <c r="BT74">
        <v>1</v>
      </c>
      <c r="BU74">
        <v>1</v>
      </c>
      <c r="BV74">
        <v>1</v>
      </c>
      <c r="BW74">
        <v>1</v>
      </c>
      <c r="BX74">
        <v>1</v>
      </c>
      <c r="BY74" t="s">
        <v>6</v>
      </c>
      <c r="BZ74">
        <v>0</v>
      </c>
      <c r="CA74">
        <v>0</v>
      </c>
      <c r="CB74" t="s">
        <v>6</v>
      </c>
      <c r="CE74">
        <v>0</v>
      </c>
      <c r="CF74">
        <v>0</v>
      </c>
      <c r="CG74">
        <v>0</v>
      </c>
      <c r="CM74">
        <v>0</v>
      </c>
      <c r="CN74" t="s">
        <v>6</v>
      </c>
      <c r="CO74">
        <v>0</v>
      </c>
      <c r="CP74">
        <f t="shared" si="45"/>
        <v>-33.08</v>
      </c>
      <c r="CQ74">
        <f>AC74*BC74</f>
        <v>7439.37</v>
      </c>
      <c r="CR74">
        <f t="shared" si="46"/>
        <v>0</v>
      </c>
      <c r="CS74">
        <f t="shared" si="47"/>
        <v>0</v>
      </c>
      <c r="CT74">
        <f t="shared" si="48"/>
        <v>0</v>
      </c>
      <c r="CU74">
        <f t="shared" si="49"/>
        <v>0</v>
      </c>
      <c r="CV74">
        <f t="shared" si="50"/>
        <v>0</v>
      </c>
      <c r="CW74">
        <f t="shared" si="51"/>
        <v>0</v>
      </c>
      <c r="CX74">
        <f t="shared" si="52"/>
        <v>0</v>
      </c>
      <c r="CY74">
        <f t="shared" si="53"/>
        <v>0</v>
      </c>
      <c r="CZ74">
        <f t="shared" si="54"/>
        <v>0</v>
      </c>
      <c r="DC74" t="s">
        <v>6</v>
      </c>
      <c r="DD74" t="s">
        <v>6</v>
      </c>
      <c r="DE74" t="s">
        <v>6</v>
      </c>
      <c r="DF74" t="s">
        <v>6</v>
      </c>
      <c r="DG74" t="s">
        <v>6</v>
      </c>
      <c r="DH74" t="s">
        <v>6</v>
      </c>
      <c r="DI74" t="s">
        <v>6</v>
      </c>
      <c r="DJ74" t="s">
        <v>6</v>
      </c>
      <c r="DK74" t="s">
        <v>6</v>
      </c>
      <c r="DL74" t="s">
        <v>6</v>
      </c>
      <c r="DM74" t="s">
        <v>6</v>
      </c>
      <c r="DN74">
        <v>0</v>
      </c>
      <c r="DO74">
        <v>0</v>
      </c>
      <c r="DP74">
        <v>1</v>
      </c>
      <c r="DQ74">
        <v>1</v>
      </c>
      <c r="DU74">
        <v>1009</v>
      </c>
      <c r="DV74" t="s">
        <v>137</v>
      </c>
      <c r="DW74" t="s">
        <v>137</v>
      </c>
      <c r="DX74">
        <v>1000</v>
      </c>
      <c r="DZ74" t="s">
        <v>6</v>
      </c>
      <c r="EA74" t="s">
        <v>6</v>
      </c>
      <c r="EB74" t="s">
        <v>6</v>
      </c>
      <c r="EC74" t="s">
        <v>6</v>
      </c>
      <c r="EE74">
        <v>30852824</v>
      </c>
      <c r="EF74">
        <v>8</v>
      </c>
      <c r="EG74" t="s">
        <v>112</v>
      </c>
      <c r="EH74">
        <v>0</v>
      </c>
      <c r="EI74" t="s">
        <v>6</v>
      </c>
      <c r="EJ74">
        <v>1</v>
      </c>
      <c r="EK74">
        <v>500001</v>
      </c>
      <c r="EL74" t="s">
        <v>113</v>
      </c>
      <c r="EM74" t="s">
        <v>114</v>
      </c>
      <c r="EO74" t="s">
        <v>6</v>
      </c>
      <c r="EQ74">
        <v>32768</v>
      </c>
      <c r="ER74">
        <v>7439.37</v>
      </c>
      <c r="ES74">
        <v>7439.37</v>
      </c>
      <c r="ET74">
        <v>0</v>
      </c>
      <c r="EU74">
        <v>0</v>
      </c>
      <c r="EV74">
        <v>0</v>
      </c>
      <c r="EW74">
        <v>0</v>
      </c>
      <c r="EX74">
        <v>0</v>
      </c>
      <c r="EY74">
        <v>0</v>
      </c>
      <c r="FQ74">
        <v>0</v>
      </c>
      <c r="FR74">
        <f t="shared" si="55"/>
        <v>0</v>
      </c>
      <c r="FS74">
        <v>0</v>
      </c>
      <c r="FX74">
        <v>0</v>
      </c>
      <c r="FY74">
        <v>0</v>
      </c>
      <c r="GA74" t="s">
        <v>6</v>
      </c>
      <c r="GD74">
        <v>1</v>
      </c>
      <c r="GF74">
        <v>1384949503</v>
      </c>
      <c r="GG74">
        <v>2</v>
      </c>
      <c r="GH74">
        <v>1</v>
      </c>
      <c r="GI74">
        <v>4</v>
      </c>
      <c r="GJ74">
        <v>0</v>
      </c>
      <c r="GK74">
        <v>0</v>
      </c>
      <c r="GL74">
        <f t="shared" si="56"/>
        <v>0</v>
      </c>
      <c r="GM74">
        <f t="shared" si="57"/>
        <v>-33.08</v>
      </c>
      <c r="GN74">
        <f t="shared" si="58"/>
        <v>-33.08</v>
      </c>
      <c r="GO74">
        <f t="shared" si="59"/>
        <v>0</v>
      </c>
      <c r="GP74">
        <f t="shared" si="60"/>
        <v>0</v>
      </c>
      <c r="GR74">
        <v>0</v>
      </c>
      <c r="GS74">
        <v>3</v>
      </c>
      <c r="GT74">
        <v>0</v>
      </c>
      <c r="GU74" t="s">
        <v>6</v>
      </c>
      <c r="GV74">
        <f t="shared" si="61"/>
        <v>0</v>
      </c>
      <c r="GW74">
        <v>1</v>
      </c>
      <c r="GX74">
        <f t="shared" si="62"/>
        <v>0</v>
      </c>
      <c r="HA74">
        <v>0</v>
      </c>
      <c r="HB74">
        <v>0</v>
      </c>
      <c r="HC74">
        <f t="shared" si="63"/>
        <v>0</v>
      </c>
      <c r="HE74" t="s">
        <v>6</v>
      </c>
      <c r="HF74" t="s">
        <v>6</v>
      </c>
      <c r="HI74">
        <f t="shared" si="64"/>
        <v>0</v>
      </c>
      <c r="HJ74">
        <f t="shared" si="65"/>
        <v>0</v>
      </c>
      <c r="HK74">
        <f t="shared" si="66"/>
        <v>0</v>
      </c>
      <c r="HL74">
        <f t="shared" si="67"/>
        <v>0</v>
      </c>
      <c r="HM74" t="s">
        <v>6</v>
      </c>
      <c r="HN74" t="s">
        <v>6</v>
      </c>
      <c r="HO74" t="s">
        <v>6</v>
      </c>
      <c r="HP74" t="s">
        <v>6</v>
      </c>
      <c r="HQ74" t="s">
        <v>6</v>
      </c>
      <c r="IK74">
        <v>0</v>
      </c>
    </row>
    <row r="75" spans="1:245">
      <c r="A75">
        <v>17</v>
      </c>
      <c r="B75">
        <v>1</v>
      </c>
      <c r="E75" t="s">
        <v>139</v>
      </c>
      <c r="F75" t="s">
        <v>140</v>
      </c>
      <c r="G75" t="s">
        <v>141</v>
      </c>
      <c r="H75" t="s">
        <v>142</v>
      </c>
      <c r="I75">
        <v>4.68</v>
      </c>
      <c r="J75">
        <v>0</v>
      </c>
      <c r="K75">
        <v>4.68</v>
      </c>
      <c r="O75">
        <f t="shared" si="31"/>
        <v>672.29</v>
      </c>
      <c r="P75">
        <f>ROUND(ROUND(CQ75*I75,0)/BC75,2)</f>
        <v>672.29</v>
      </c>
      <c r="Q75">
        <f t="shared" si="32"/>
        <v>0</v>
      </c>
      <c r="R75">
        <f t="shared" si="33"/>
        <v>0</v>
      </c>
      <c r="S75">
        <f t="shared" si="34"/>
        <v>0</v>
      </c>
      <c r="T75">
        <f t="shared" si="35"/>
        <v>0</v>
      </c>
      <c r="U75">
        <f t="shared" si="36"/>
        <v>0</v>
      </c>
      <c r="V75">
        <f t="shared" si="37"/>
        <v>0</v>
      </c>
      <c r="W75">
        <f t="shared" si="38"/>
        <v>0</v>
      </c>
      <c r="X75">
        <f t="shared" si="39"/>
        <v>0</v>
      </c>
      <c r="Y75">
        <f t="shared" si="40"/>
        <v>0</v>
      </c>
      <c r="AA75">
        <v>31028412</v>
      </c>
      <c r="AB75">
        <f t="shared" si="41"/>
        <v>886.25</v>
      </c>
      <c r="AC75">
        <f t="shared" si="42"/>
        <v>886.25</v>
      </c>
      <c r="AD75">
        <f>ROUND((((ET75)-(EU75))+AE75),6)</f>
        <v>0</v>
      </c>
      <c r="AE75">
        <f t="shared" si="68"/>
        <v>0</v>
      </c>
      <c r="AF75">
        <f t="shared" si="68"/>
        <v>0</v>
      </c>
      <c r="AG75">
        <f t="shared" si="43"/>
        <v>0</v>
      </c>
      <c r="AH75">
        <f t="shared" si="69"/>
        <v>0</v>
      </c>
      <c r="AI75">
        <f t="shared" si="69"/>
        <v>0</v>
      </c>
      <c r="AJ75">
        <f t="shared" si="44"/>
        <v>0</v>
      </c>
      <c r="AK75">
        <v>886.25</v>
      </c>
      <c r="AL75">
        <v>886.25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1</v>
      </c>
      <c r="AW75">
        <v>1</v>
      </c>
      <c r="AZ75">
        <v>1</v>
      </c>
      <c r="BA75">
        <v>1</v>
      </c>
      <c r="BB75">
        <v>1</v>
      </c>
      <c r="BC75">
        <v>6.17</v>
      </c>
      <c r="BD75" t="s">
        <v>6</v>
      </c>
      <c r="BE75" t="s">
        <v>6</v>
      </c>
      <c r="BF75" t="s">
        <v>6</v>
      </c>
      <c r="BG75" t="s">
        <v>6</v>
      </c>
      <c r="BH75">
        <v>3</v>
      </c>
      <c r="BI75">
        <v>1</v>
      </c>
      <c r="BJ75" t="s">
        <v>6</v>
      </c>
      <c r="BM75">
        <v>1100</v>
      </c>
      <c r="BN75">
        <v>0</v>
      </c>
      <c r="BO75" t="s">
        <v>111</v>
      </c>
      <c r="BP75">
        <v>1</v>
      </c>
      <c r="BQ75">
        <v>8</v>
      </c>
      <c r="BR75">
        <v>0</v>
      </c>
      <c r="BS75">
        <v>1</v>
      </c>
      <c r="BT75">
        <v>1</v>
      </c>
      <c r="BU75">
        <v>1</v>
      </c>
      <c r="BV75">
        <v>1</v>
      </c>
      <c r="BW75">
        <v>1</v>
      </c>
      <c r="BX75">
        <v>1</v>
      </c>
      <c r="BY75" t="s">
        <v>6</v>
      </c>
      <c r="BZ75">
        <v>0</v>
      </c>
      <c r="CA75">
        <v>0</v>
      </c>
      <c r="CB75" t="s">
        <v>6</v>
      </c>
      <c r="CE75">
        <v>0</v>
      </c>
      <c r="CF75">
        <v>0</v>
      </c>
      <c r="CG75">
        <v>0</v>
      </c>
      <c r="CM75">
        <v>0</v>
      </c>
      <c r="CN75" t="s">
        <v>6</v>
      </c>
      <c r="CO75">
        <v>0</v>
      </c>
      <c r="CP75">
        <f t="shared" si="45"/>
        <v>672.29</v>
      </c>
      <c r="CQ75">
        <f>AC75</f>
        <v>886.25</v>
      </c>
      <c r="CR75">
        <f t="shared" si="46"/>
        <v>0</v>
      </c>
      <c r="CS75">
        <f t="shared" si="47"/>
        <v>0</v>
      </c>
      <c r="CT75">
        <f t="shared" si="48"/>
        <v>0</v>
      </c>
      <c r="CU75">
        <f t="shared" si="49"/>
        <v>0</v>
      </c>
      <c r="CV75">
        <f t="shared" si="50"/>
        <v>0</v>
      </c>
      <c r="CW75">
        <f t="shared" si="51"/>
        <v>0</v>
      </c>
      <c r="CX75">
        <f t="shared" si="52"/>
        <v>0</v>
      </c>
      <c r="CY75">
        <f t="shared" si="53"/>
        <v>0</v>
      </c>
      <c r="CZ75">
        <f t="shared" si="54"/>
        <v>0</v>
      </c>
      <c r="DC75" t="s">
        <v>6</v>
      </c>
      <c r="DD75" t="s">
        <v>6</v>
      </c>
      <c r="DE75" t="s">
        <v>6</v>
      </c>
      <c r="DF75" t="s">
        <v>6</v>
      </c>
      <c r="DG75" t="s">
        <v>6</v>
      </c>
      <c r="DH75" t="s">
        <v>6</v>
      </c>
      <c r="DI75" t="s">
        <v>6</v>
      </c>
      <c r="DJ75" t="s">
        <v>6</v>
      </c>
      <c r="DK75" t="s">
        <v>6</v>
      </c>
      <c r="DL75" t="s">
        <v>6</v>
      </c>
      <c r="DM75" t="s">
        <v>6</v>
      </c>
      <c r="DN75">
        <v>0</v>
      </c>
      <c r="DO75">
        <v>0</v>
      </c>
      <c r="DP75">
        <v>1</v>
      </c>
      <c r="DQ75">
        <v>1</v>
      </c>
      <c r="DU75">
        <v>1002</v>
      </c>
      <c r="DV75" t="s">
        <v>142</v>
      </c>
      <c r="DW75" t="s">
        <v>142</v>
      </c>
      <c r="DX75">
        <v>1</v>
      </c>
      <c r="DZ75" t="s">
        <v>6</v>
      </c>
      <c r="EA75" t="s">
        <v>6</v>
      </c>
      <c r="EB75" t="s">
        <v>6</v>
      </c>
      <c r="EC75" t="s">
        <v>6</v>
      </c>
      <c r="EE75">
        <v>30853118</v>
      </c>
      <c r="EF75">
        <v>8</v>
      </c>
      <c r="EG75" t="s">
        <v>112</v>
      </c>
      <c r="EH75">
        <v>0</v>
      </c>
      <c r="EI75" t="s">
        <v>6</v>
      </c>
      <c r="EJ75">
        <v>1</v>
      </c>
      <c r="EK75">
        <v>1100</v>
      </c>
      <c r="EL75" t="s">
        <v>119</v>
      </c>
      <c r="EM75" t="s">
        <v>120</v>
      </c>
      <c r="EO75" t="s">
        <v>6</v>
      </c>
      <c r="EQ75">
        <v>0</v>
      </c>
      <c r="ER75">
        <v>886.25</v>
      </c>
      <c r="ES75">
        <v>886.25</v>
      </c>
      <c r="ET75">
        <v>0</v>
      </c>
      <c r="EU75">
        <v>0</v>
      </c>
      <c r="EV75">
        <v>0</v>
      </c>
      <c r="EW75">
        <v>0</v>
      </c>
      <c r="EX75">
        <v>0</v>
      </c>
      <c r="EY75">
        <v>0</v>
      </c>
      <c r="EZ75">
        <v>5</v>
      </c>
      <c r="FC75">
        <v>0</v>
      </c>
      <c r="FD75">
        <v>18</v>
      </c>
      <c r="FF75">
        <v>886.25</v>
      </c>
      <c r="FQ75">
        <v>0</v>
      </c>
      <c r="FR75">
        <f t="shared" si="55"/>
        <v>0</v>
      </c>
      <c r="FS75">
        <v>0</v>
      </c>
      <c r="FX75">
        <v>0</v>
      </c>
      <c r="FY75">
        <v>0</v>
      </c>
      <c r="GA75" t="s">
        <v>6</v>
      </c>
      <c r="GD75">
        <v>1</v>
      </c>
      <c r="GF75">
        <v>-606846823</v>
      </c>
      <c r="GG75">
        <v>2</v>
      </c>
      <c r="GH75">
        <v>3</v>
      </c>
      <c r="GI75">
        <v>4</v>
      </c>
      <c r="GJ75">
        <v>0</v>
      </c>
      <c r="GK75">
        <v>0</v>
      </c>
      <c r="GL75">
        <f t="shared" si="56"/>
        <v>0</v>
      </c>
      <c r="GM75">
        <f t="shared" si="57"/>
        <v>672.29</v>
      </c>
      <c r="GN75">
        <f t="shared" si="58"/>
        <v>672.29</v>
      </c>
      <c r="GO75">
        <f t="shared" si="59"/>
        <v>0</v>
      </c>
      <c r="GP75">
        <f t="shared" si="60"/>
        <v>0</v>
      </c>
      <c r="GR75">
        <v>1</v>
      </c>
      <c r="GS75">
        <v>1</v>
      </c>
      <c r="GT75">
        <v>0</v>
      </c>
      <c r="GU75" t="s">
        <v>6</v>
      </c>
      <c r="GV75">
        <f t="shared" si="61"/>
        <v>0</v>
      </c>
      <c r="GW75">
        <v>1</v>
      </c>
      <c r="GX75">
        <f t="shared" si="62"/>
        <v>0</v>
      </c>
      <c r="HA75">
        <v>0</v>
      </c>
      <c r="HB75">
        <v>0</v>
      </c>
      <c r="HC75">
        <f t="shared" si="63"/>
        <v>0</v>
      </c>
      <c r="HE75" t="s">
        <v>6</v>
      </c>
      <c r="HF75" t="s">
        <v>6</v>
      </c>
      <c r="HG75">
        <f>ROUND(AC75*I75,0)</f>
        <v>4148</v>
      </c>
      <c r="HI75">
        <f t="shared" si="64"/>
        <v>0</v>
      </c>
      <c r="HJ75">
        <f t="shared" si="65"/>
        <v>0</v>
      </c>
      <c r="HK75">
        <f t="shared" si="66"/>
        <v>0</v>
      </c>
      <c r="HL75">
        <f t="shared" si="67"/>
        <v>0</v>
      </c>
      <c r="HM75" t="s">
        <v>6</v>
      </c>
      <c r="HN75" t="s">
        <v>6</v>
      </c>
      <c r="HO75" t="s">
        <v>6</v>
      </c>
      <c r="HP75" t="s">
        <v>6</v>
      </c>
      <c r="HQ75" t="s">
        <v>6</v>
      </c>
      <c r="IK75">
        <v>0</v>
      </c>
    </row>
    <row r="76" spans="1:245">
      <c r="A76">
        <v>17</v>
      </c>
      <c r="B76">
        <v>1</v>
      </c>
      <c r="E76" t="s">
        <v>143</v>
      </c>
      <c r="F76" t="s">
        <v>140</v>
      </c>
      <c r="G76" t="s">
        <v>144</v>
      </c>
      <c r="H76" t="s">
        <v>142</v>
      </c>
      <c r="I76">
        <v>3.51</v>
      </c>
      <c r="J76">
        <v>0</v>
      </c>
      <c r="K76">
        <v>3.51</v>
      </c>
      <c r="O76">
        <f t="shared" si="31"/>
        <v>411.99</v>
      </c>
      <c r="P76">
        <f>ROUND(ROUND(CQ76*I76,0)/BC76,2)</f>
        <v>411.99</v>
      </c>
      <c r="Q76">
        <f t="shared" si="32"/>
        <v>0</v>
      </c>
      <c r="R76">
        <f t="shared" si="33"/>
        <v>0</v>
      </c>
      <c r="S76">
        <f t="shared" si="34"/>
        <v>0</v>
      </c>
      <c r="T76">
        <f t="shared" si="35"/>
        <v>0</v>
      </c>
      <c r="U76">
        <f t="shared" si="36"/>
        <v>0</v>
      </c>
      <c r="V76">
        <f t="shared" si="37"/>
        <v>0</v>
      </c>
      <c r="W76">
        <f t="shared" si="38"/>
        <v>0</v>
      </c>
      <c r="X76">
        <f t="shared" si="39"/>
        <v>0</v>
      </c>
      <c r="Y76">
        <f t="shared" si="40"/>
        <v>0</v>
      </c>
      <c r="AA76">
        <v>31028412</v>
      </c>
      <c r="AB76">
        <f t="shared" si="41"/>
        <v>724.17</v>
      </c>
      <c r="AC76">
        <f t="shared" si="42"/>
        <v>724.17</v>
      </c>
      <c r="AD76">
        <f>ROUND((((ET76)-(EU76))+AE76),6)</f>
        <v>0</v>
      </c>
      <c r="AE76">
        <f t="shared" si="68"/>
        <v>0</v>
      </c>
      <c r="AF76">
        <f t="shared" si="68"/>
        <v>0</v>
      </c>
      <c r="AG76">
        <f t="shared" si="43"/>
        <v>0</v>
      </c>
      <c r="AH76">
        <f t="shared" si="69"/>
        <v>0</v>
      </c>
      <c r="AI76">
        <f t="shared" si="69"/>
        <v>0</v>
      </c>
      <c r="AJ76">
        <f t="shared" si="44"/>
        <v>0</v>
      </c>
      <c r="AK76">
        <v>724.17</v>
      </c>
      <c r="AL76">
        <v>724.17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1</v>
      </c>
      <c r="AW76">
        <v>1</v>
      </c>
      <c r="AZ76">
        <v>1</v>
      </c>
      <c r="BA76">
        <v>1</v>
      </c>
      <c r="BB76">
        <v>1</v>
      </c>
      <c r="BC76">
        <v>6.17</v>
      </c>
      <c r="BD76" t="s">
        <v>6</v>
      </c>
      <c r="BE76" t="s">
        <v>6</v>
      </c>
      <c r="BF76" t="s">
        <v>6</v>
      </c>
      <c r="BG76" t="s">
        <v>6</v>
      </c>
      <c r="BH76">
        <v>3</v>
      </c>
      <c r="BI76">
        <v>1</v>
      </c>
      <c r="BJ76" t="s">
        <v>6</v>
      </c>
      <c r="BM76">
        <v>1100</v>
      </c>
      <c r="BN76">
        <v>0</v>
      </c>
      <c r="BO76" t="s">
        <v>111</v>
      </c>
      <c r="BP76">
        <v>1</v>
      </c>
      <c r="BQ76">
        <v>8</v>
      </c>
      <c r="BR76">
        <v>0</v>
      </c>
      <c r="BS76">
        <v>1</v>
      </c>
      <c r="BT76">
        <v>1</v>
      </c>
      <c r="BU76">
        <v>1</v>
      </c>
      <c r="BV76">
        <v>1</v>
      </c>
      <c r="BW76">
        <v>1</v>
      </c>
      <c r="BX76">
        <v>1</v>
      </c>
      <c r="BY76" t="s">
        <v>6</v>
      </c>
      <c r="BZ76">
        <v>0</v>
      </c>
      <c r="CA76">
        <v>0</v>
      </c>
      <c r="CB76" t="s">
        <v>6</v>
      </c>
      <c r="CE76">
        <v>0</v>
      </c>
      <c r="CF76">
        <v>0</v>
      </c>
      <c r="CG76">
        <v>0</v>
      </c>
      <c r="CM76">
        <v>0</v>
      </c>
      <c r="CN76" t="s">
        <v>6</v>
      </c>
      <c r="CO76">
        <v>0</v>
      </c>
      <c r="CP76">
        <f t="shared" si="45"/>
        <v>411.99</v>
      </c>
      <c r="CQ76">
        <f>AC76</f>
        <v>724.17</v>
      </c>
      <c r="CR76">
        <f t="shared" si="46"/>
        <v>0</v>
      </c>
      <c r="CS76">
        <f t="shared" si="47"/>
        <v>0</v>
      </c>
      <c r="CT76">
        <f t="shared" si="48"/>
        <v>0</v>
      </c>
      <c r="CU76">
        <f t="shared" si="49"/>
        <v>0</v>
      </c>
      <c r="CV76">
        <f t="shared" si="50"/>
        <v>0</v>
      </c>
      <c r="CW76">
        <f t="shared" si="51"/>
        <v>0</v>
      </c>
      <c r="CX76">
        <f t="shared" si="52"/>
        <v>0</v>
      </c>
      <c r="CY76">
        <f t="shared" si="53"/>
        <v>0</v>
      </c>
      <c r="CZ76">
        <f t="shared" si="54"/>
        <v>0</v>
      </c>
      <c r="DC76" t="s">
        <v>6</v>
      </c>
      <c r="DD76" t="s">
        <v>6</v>
      </c>
      <c r="DE76" t="s">
        <v>6</v>
      </c>
      <c r="DF76" t="s">
        <v>6</v>
      </c>
      <c r="DG76" t="s">
        <v>6</v>
      </c>
      <c r="DH76" t="s">
        <v>6</v>
      </c>
      <c r="DI76" t="s">
        <v>6</v>
      </c>
      <c r="DJ76" t="s">
        <v>6</v>
      </c>
      <c r="DK76" t="s">
        <v>6</v>
      </c>
      <c r="DL76" t="s">
        <v>6</v>
      </c>
      <c r="DM76" t="s">
        <v>6</v>
      </c>
      <c r="DN76">
        <v>0</v>
      </c>
      <c r="DO76">
        <v>0</v>
      </c>
      <c r="DP76">
        <v>1</v>
      </c>
      <c r="DQ76">
        <v>1</v>
      </c>
      <c r="DU76">
        <v>1002</v>
      </c>
      <c r="DV76" t="s">
        <v>142</v>
      </c>
      <c r="DW76" t="s">
        <v>142</v>
      </c>
      <c r="DX76">
        <v>1</v>
      </c>
      <c r="DZ76" t="s">
        <v>6</v>
      </c>
      <c r="EA76" t="s">
        <v>6</v>
      </c>
      <c r="EB76" t="s">
        <v>6</v>
      </c>
      <c r="EC76" t="s">
        <v>6</v>
      </c>
      <c r="EE76">
        <v>30853118</v>
      </c>
      <c r="EF76">
        <v>8</v>
      </c>
      <c r="EG76" t="s">
        <v>112</v>
      </c>
      <c r="EH76">
        <v>0</v>
      </c>
      <c r="EI76" t="s">
        <v>6</v>
      </c>
      <c r="EJ76">
        <v>1</v>
      </c>
      <c r="EK76">
        <v>1100</v>
      </c>
      <c r="EL76" t="s">
        <v>119</v>
      </c>
      <c r="EM76" t="s">
        <v>120</v>
      </c>
      <c r="EO76" t="s">
        <v>6</v>
      </c>
      <c r="EQ76">
        <v>0</v>
      </c>
      <c r="ER76">
        <v>724.17</v>
      </c>
      <c r="ES76">
        <v>724.17</v>
      </c>
      <c r="ET76">
        <v>0</v>
      </c>
      <c r="EU76">
        <v>0</v>
      </c>
      <c r="EV76">
        <v>0</v>
      </c>
      <c r="EW76">
        <v>0</v>
      </c>
      <c r="EX76">
        <v>0</v>
      </c>
      <c r="EY76">
        <v>0</v>
      </c>
      <c r="EZ76">
        <v>5</v>
      </c>
      <c r="FC76">
        <v>0</v>
      </c>
      <c r="FD76">
        <v>18</v>
      </c>
      <c r="FF76">
        <v>724.17</v>
      </c>
      <c r="FQ76">
        <v>0</v>
      </c>
      <c r="FR76">
        <f t="shared" si="55"/>
        <v>0</v>
      </c>
      <c r="FS76">
        <v>0</v>
      </c>
      <c r="FX76">
        <v>0</v>
      </c>
      <c r="FY76">
        <v>0</v>
      </c>
      <c r="GA76" t="s">
        <v>6</v>
      </c>
      <c r="GD76">
        <v>1</v>
      </c>
      <c r="GF76">
        <v>71410718</v>
      </c>
      <c r="GG76">
        <v>2</v>
      </c>
      <c r="GH76">
        <v>3</v>
      </c>
      <c r="GI76">
        <v>4</v>
      </c>
      <c r="GJ76">
        <v>0</v>
      </c>
      <c r="GK76">
        <v>0</v>
      </c>
      <c r="GL76">
        <f t="shared" si="56"/>
        <v>0</v>
      </c>
      <c r="GM76">
        <f t="shared" si="57"/>
        <v>411.99</v>
      </c>
      <c r="GN76">
        <f t="shared" si="58"/>
        <v>411.99</v>
      </c>
      <c r="GO76">
        <f t="shared" si="59"/>
        <v>0</v>
      </c>
      <c r="GP76">
        <f t="shared" si="60"/>
        <v>0</v>
      </c>
      <c r="GR76">
        <v>1</v>
      </c>
      <c r="GS76">
        <v>1</v>
      </c>
      <c r="GT76">
        <v>0</v>
      </c>
      <c r="GU76" t="s">
        <v>6</v>
      </c>
      <c r="GV76">
        <f t="shared" si="61"/>
        <v>0</v>
      </c>
      <c r="GW76">
        <v>1</v>
      </c>
      <c r="GX76">
        <f t="shared" si="62"/>
        <v>0</v>
      </c>
      <c r="HA76">
        <v>0</v>
      </c>
      <c r="HB76">
        <v>0</v>
      </c>
      <c r="HC76">
        <f t="shared" si="63"/>
        <v>0</v>
      </c>
      <c r="HE76" t="s">
        <v>6</v>
      </c>
      <c r="HF76" t="s">
        <v>6</v>
      </c>
      <c r="HG76">
        <f>ROUND(AC76*I76,0)</f>
        <v>2542</v>
      </c>
      <c r="HI76">
        <f t="shared" si="64"/>
        <v>0</v>
      </c>
      <c r="HJ76">
        <f t="shared" si="65"/>
        <v>0</v>
      </c>
      <c r="HK76">
        <f t="shared" si="66"/>
        <v>0</v>
      </c>
      <c r="HL76">
        <f t="shared" si="67"/>
        <v>0</v>
      </c>
      <c r="HM76" t="s">
        <v>6</v>
      </c>
      <c r="HN76" t="s">
        <v>6</v>
      </c>
      <c r="HO76" t="s">
        <v>6</v>
      </c>
      <c r="HP76" t="s">
        <v>6</v>
      </c>
      <c r="HQ76" t="s">
        <v>6</v>
      </c>
      <c r="IK76">
        <v>0</v>
      </c>
    </row>
    <row r="77" spans="1:245">
      <c r="A77">
        <v>17</v>
      </c>
      <c r="B77">
        <v>1</v>
      </c>
      <c r="C77">
        <f>ROW(SmtRes!A35)</f>
        <v>35</v>
      </c>
      <c r="D77">
        <f>ROW(EtalonRes!A40)</f>
        <v>40</v>
      </c>
      <c r="E77" t="s">
        <v>145</v>
      </c>
      <c r="F77" t="s">
        <v>146</v>
      </c>
      <c r="G77" t="s">
        <v>147</v>
      </c>
      <c r="H77" t="s">
        <v>148</v>
      </c>
      <c r="I77">
        <f>ROUND(2.5*0.38,7)</f>
        <v>0.95</v>
      </c>
      <c r="J77">
        <v>0</v>
      </c>
      <c r="K77">
        <f>ROUND(2.5*0.38,7)</f>
        <v>0.95</v>
      </c>
      <c r="O77">
        <f t="shared" si="31"/>
        <v>1068.71</v>
      </c>
      <c r="P77">
        <f t="shared" ref="P77:P83" si="70">ROUND(CQ77*I77,2)</f>
        <v>738</v>
      </c>
      <c r="Q77">
        <f t="shared" si="32"/>
        <v>31.45</v>
      </c>
      <c r="R77">
        <f t="shared" si="33"/>
        <v>6.12</v>
      </c>
      <c r="S77">
        <f t="shared" si="34"/>
        <v>299.26</v>
      </c>
      <c r="T77">
        <f t="shared" si="35"/>
        <v>0</v>
      </c>
      <c r="U77">
        <f t="shared" si="36"/>
        <v>38.663574999999994</v>
      </c>
      <c r="V77">
        <f t="shared" si="37"/>
        <v>0.46977499999999994</v>
      </c>
      <c r="W77">
        <f t="shared" si="38"/>
        <v>0</v>
      </c>
      <c r="X77">
        <f t="shared" si="39"/>
        <v>280.95</v>
      </c>
      <c r="Y77">
        <f t="shared" si="40"/>
        <v>158.80000000000001</v>
      </c>
      <c r="AA77">
        <v>31028412</v>
      </c>
      <c r="AB77">
        <f t="shared" si="41"/>
        <v>1124.9565</v>
      </c>
      <c r="AC77">
        <f t="shared" si="42"/>
        <v>776.84</v>
      </c>
      <c r="AD77">
        <f>ROUND(((((ET77*ROUND(1.15,7)))-((EU77*ROUND(1.15,7))))+AE77),6)</f>
        <v>33.108499999999999</v>
      </c>
      <c r="AE77">
        <f>ROUND(((EU77*ROUND(1.15,7))),6)</f>
        <v>6.44</v>
      </c>
      <c r="AF77">
        <f>ROUND(((EV77*ROUND(1.15,7))),6)</f>
        <v>315.00799999999998</v>
      </c>
      <c r="AG77">
        <f t="shared" si="43"/>
        <v>0</v>
      </c>
      <c r="AH77">
        <f>((EW77*ROUND(1.15,7)))</f>
        <v>40.698499999999996</v>
      </c>
      <c r="AI77">
        <f>((EX77*ROUND(1.15,7)))</f>
        <v>0.49449999999999994</v>
      </c>
      <c r="AJ77">
        <f t="shared" si="44"/>
        <v>0</v>
      </c>
      <c r="AK77">
        <v>1079.55</v>
      </c>
      <c r="AL77">
        <v>776.84</v>
      </c>
      <c r="AM77">
        <v>28.79</v>
      </c>
      <c r="AN77">
        <v>5.6</v>
      </c>
      <c r="AO77">
        <v>273.92</v>
      </c>
      <c r="AP77">
        <v>0</v>
      </c>
      <c r="AQ77">
        <v>35.39</v>
      </c>
      <c r="AR77">
        <v>0.43</v>
      </c>
      <c r="AS77">
        <v>0</v>
      </c>
      <c r="AT77">
        <v>92</v>
      </c>
      <c r="AU77">
        <v>52</v>
      </c>
      <c r="AV77">
        <v>1</v>
      </c>
      <c r="AW77">
        <v>1</v>
      </c>
      <c r="AZ77">
        <v>1</v>
      </c>
      <c r="BA77">
        <v>24.22</v>
      </c>
      <c r="BB77">
        <v>1</v>
      </c>
      <c r="BC77">
        <v>1</v>
      </c>
      <c r="BD77" t="s">
        <v>6</v>
      </c>
      <c r="BE77" t="s">
        <v>6</v>
      </c>
      <c r="BF77" t="s">
        <v>6</v>
      </c>
      <c r="BG77" t="s">
        <v>6</v>
      </c>
      <c r="BH77">
        <v>0</v>
      </c>
      <c r="BI77">
        <v>1</v>
      </c>
      <c r="BJ77" t="s">
        <v>149</v>
      </c>
      <c r="BM77">
        <v>53001</v>
      </c>
      <c r="BN77">
        <v>0</v>
      </c>
      <c r="BO77" t="s">
        <v>1327</v>
      </c>
      <c r="BP77">
        <v>1</v>
      </c>
      <c r="BQ77">
        <v>6</v>
      </c>
      <c r="BR77">
        <v>0</v>
      </c>
      <c r="BS77">
        <v>24.22</v>
      </c>
      <c r="BT77">
        <v>1</v>
      </c>
      <c r="BU77">
        <v>1</v>
      </c>
      <c r="BV77">
        <v>1</v>
      </c>
      <c r="BW77">
        <v>1</v>
      </c>
      <c r="BX77">
        <v>1</v>
      </c>
      <c r="BY77" t="s">
        <v>6</v>
      </c>
      <c r="BZ77">
        <v>92</v>
      </c>
      <c r="CA77">
        <v>52</v>
      </c>
      <c r="CB77" t="s">
        <v>6</v>
      </c>
      <c r="CE77">
        <v>0</v>
      </c>
      <c r="CF77">
        <v>0</v>
      </c>
      <c r="CG77">
        <v>0</v>
      </c>
      <c r="CM77">
        <v>0</v>
      </c>
      <c r="CN77" t="s">
        <v>6</v>
      </c>
      <c r="CO77">
        <v>0</v>
      </c>
      <c r="CP77">
        <f t="shared" si="45"/>
        <v>1068.71</v>
      </c>
      <c r="CQ77">
        <f t="shared" ref="CQ77:CQ83" si="71">AC77*BC77</f>
        <v>776.84</v>
      </c>
      <c r="CR77">
        <f t="shared" si="46"/>
        <v>33.108499999999999</v>
      </c>
      <c r="CS77">
        <f t="shared" si="47"/>
        <v>6.44</v>
      </c>
      <c r="CT77">
        <f t="shared" si="48"/>
        <v>315.00799999999998</v>
      </c>
      <c r="CU77">
        <f t="shared" si="49"/>
        <v>0</v>
      </c>
      <c r="CV77">
        <f t="shared" si="50"/>
        <v>40.698499999999996</v>
      </c>
      <c r="CW77">
        <f t="shared" si="51"/>
        <v>0.49449999999999994</v>
      </c>
      <c r="CX77">
        <f t="shared" si="52"/>
        <v>0</v>
      </c>
      <c r="CY77">
        <f t="shared" si="53"/>
        <v>280.94959999999998</v>
      </c>
      <c r="CZ77">
        <f t="shared" si="54"/>
        <v>158.79759999999999</v>
      </c>
      <c r="DC77" t="s">
        <v>6</v>
      </c>
      <c r="DD77" t="s">
        <v>6</v>
      </c>
      <c r="DE77" t="s">
        <v>36</v>
      </c>
      <c r="DF77" t="s">
        <v>36</v>
      </c>
      <c r="DG77" t="s">
        <v>36</v>
      </c>
      <c r="DH77" t="s">
        <v>6</v>
      </c>
      <c r="DI77" t="s">
        <v>36</v>
      </c>
      <c r="DJ77" t="s">
        <v>36</v>
      </c>
      <c r="DK77" t="s">
        <v>6</v>
      </c>
      <c r="DL77" t="s">
        <v>6</v>
      </c>
      <c r="DM77" t="s">
        <v>6</v>
      </c>
      <c r="DN77">
        <v>0</v>
      </c>
      <c r="DO77">
        <v>0</v>
      </c>
      <c r="DP77">
        <v>1</v>
      </c>
      <c r="DQ77">
        <v>1</v>
      </c>
      <c r="DU77">
        <v>1013</v>
      </c>
      <c r="DV77" t="s">
        <v>148</v>
      </c>
      <c r="DW77" t="s">
        <v>148</v>
      </c>
      <c r="DX77">
        <v>1</v>
      </c>
      <c r="DZ77" t="s">
        <v>6</v>
      </c>
      <c r="EA77" t="s">
        <v>6</v>
      </c>
      <c r="EB77" t="s">
        <v>6</v>
      </c>
      <c r="EC77" t="s">
        <v>6</v>
      </c>
      <c r="EE77">
        <v>30853005</v>
      </c>
      <c r="EF77">
        <v>6</v>
      </c>
      <c r="EG77" t="s">
        <v>37</v>
      </c>
      <c r="EH77">
        <v>0</v>
      </c>
      <c r="EI77" t="s">
        <v>6</v>
      </c>
      <c r="EJ77">
        <v>1</v>
      </c>
      <c r="EK77">
        <v>53001</v>
      </c>
      <c r="EL77" t="s">
        <v>150</v>
      </c>
      <c r="EM77" t="s">
        <v>151</v>
      </c>
      <c r="EO77" t="s">
        <v>6</v>
      </c>
      <c r="EQ77">
        <v>131072</v>
      </c>
      <c r="ER77">
        <v>1079.55</v>
      </c>
      <c r="ES77">
        <v>776.84</v>
      </c>
      <c r="ET77">
        <v>28.79</v>
      </c>
      <c r="EU77">
        <v>5.6</v>
      </c>
      <c r="EV77">
        <v>273.92</v>
      </c>
      <c r="EW77">
        <v>35.39</v>
      </c>
      <c r="EX77">
        <v>0.43</v>
      </c>
      <c r="EY77">
        <v>0</v>
      </c>
      <c r="FQ77">
        <v>0</v>
      </c>
      <c r="FR77">
        <f t="shared" si="55"/>
        <v>0</v>
      </c>
      <c r="FS77">
        <v>0</v>
      </c>
      <c r="FX77">
        <v>92</v>
      </c>
      <c r="FY77">
        <v>52</v>
      </c>
      <c r="GA77" t="s">
        <v>6</v>
      </c>
      <c r="GD77">
        <v>1</v>
      </c>
      <c r="GF77">
        <v>1339347058</v>
      </c>
      <c r="GG77">
        <v>2</v>
      </c>
      <c r="GH77">
        <v>1</v>
      </c>
      <c r="GI77">
        <v>4</v>
      </c>
      <c r="GJ77">
        <v>0</v>
      </c>
      <c r="GK77">
        <v>0</v>
      </c>
      <c r="GL77">
        <f t="shared" si="56"/>
        <v>0</v>
      </c>
      <c r="GM77">
        <f t="shared" si="57"/>
        <v>1508.46</v>
      </c>
      <c r="GN77">
        <f t="shared" si="58"/>
        <v>1508.46</v>
      </c>
      <c r="GO77">
        <f t="shared" si="59"/>
        <v>0</v>
      </c>
      <c r="GP77">
        <f t="shared" si="60"/>
        <v>0</v>
      </c>
      <c r="GR77">
        <v>0</v>
      </c>
      <c r="GS77">
        <v>0</v>
      </c>
      <c r="GT77">
        <v>0</v>
      </c>
      <c r="GU77" t="s">
        <v>6</v>
      </c>
      <c r="GV77">
        <f t="shared" si="61"/>
        <v>0</v>
      </c>
      <c r="GW77">
        <v>1</v>
      </c>
      <c r="GX77">
        <f t="shared" si="62"/>
        <v>0</v>
      </c>
      <c r="HA77">
        <v>0</v>
      </c>
      <c r="HB77">
        <v>0</v>
      </c>
      <c r="HC77">
        <f t="shared" si="63"/>
        <v>0</v>
      </c>
      <c r="HE77" t="s">
        <v>6</v>
      </c>
      <c r="HF77" t="s">
        <v>6</v>
      </c>
      <c r="HI77">
        <f t="shared" si="64"/>
        <v>148</v>
      </c>
      <c r="HJ77">
        <f t="shared" si="65"/>
        <v>7248</v>
      </c>
      <c r="HK77">
        <f t="shared" si="66"/>
        <v>6804</v>
      </c>
      <c r="HL77">
        <f t="shared" si="67"/>
        <v>3846</v>
      </c>
      <c r="HM77" t="s">
        <v>6</v>
      </c>
      <c r="HN77" t="s">
        <v>6</v>
      </c>
      <c r="HO77" t="s">
        <v>6</v>
      </c>
      <c r="HP77" t="s">
        <v>6</v>
      </c>
      <c r="HQ77" t="s">
        <v>6</v>
      </c>
      <c r="IK77">
        <v>0</v>
      </c>
    </row>
    <row r="78" spans="1:245">
      <c r="A78">
        <v>17</v>
      </c>
      <c r="B78">
        <v>1</v>
      </c>
      <c r="E78" t="s">
        <v>152</v>
      </c>
      <c r="F78" t="s">
        <v>153</v>
      </c>
      <c r="G78" t="s">
        <v>154</v>
      </c>
      <c r="H78" t="s">
        <v>155</v>
      </c>
      <c r="I78">
        <f>ROUND(I77*-0.402,7)</f>
        <v>-0.38190000000000002</v>
      </c>
      <c r="J78">
        <v>0</v>
      </c>
      <c r="K78">
        <f>ROUND(I77*-0.402,7)</f>
        <v>-0.38190000000000002</v>
      </c>
      <c r="O78">
        <f t="shared" si="31"/>
        <v>-634.99</v>
      </c>
      <c r="P78">
        <f t="shared" si="70"/>
        <v>-634.99</v>
      </c>
      <c r="Q78">
        <f t="shared" si="32"/>
        <v>0</v>
      </c>
      <c r="R78">
        <f t="shared" si="33"/>
        <v>0</v>
      </c>
      <c r="S78">
        <f t="shared" si="34"/>
        <v>0</v>
      </c>
      <c r="T78">
        <f t="shared" si="35"/>
        <v>0</v>
      </c>
      <c r="U78">
        <f t="shared" si="36"/>
        <v>0</v>
      </c>
      <c r="V78">
        <f t="shared" si="37"/>
        <v>0</v>
      </c>
      <c r="W78">
        <f t="shared" si="38"/>
        <v>0</v>
      </c>
      <c r="X78">
        <f t="shared" si="39"/>
        <v>0</v>
      </c>
      <c r="Y78">
        <f t="shared" si="40"/>
        <v>0</v>
      </c>
      <c r="AA78">
        <v>31028412</v>
      </c>
      <c r="AB78">
        <f t="shared" si="41"/>
        <v>1662.7</v>
      </c>
      <c r="AC78">
        <f t="shared" si="42"/>
        <v>1662.7</v>
      </c>
      <c r="AD78">
        <f>ROUND((((ET78)-(EU78))+AE78),6)</f>
        <v>0</v>
      </c>
      <c r="AE78">
        <f t="shared" ref="AE78:AF81" si="72">ROUND((EU78),6)</f>
        <v>0</v>
      </c>
      <c r="AF78">
        <f t="shared" si="72"/>
        <v>0</v>
      </c>
      <c r="AG78">
        <f t="shared" si="43"/>
        <v>0</v>
      </c>
      <c r="AH78">
        <f t="shared" ref="AH78:AI81" si="73">(EW78)</f>
        <v>0</v>
      </c>
      <c r="AI78">
        <f t="shared" si="73"/>
        <v>0</v>
      </c>
      <c r="AJ78">
        <f t="shared" si="44"/>
        <v>0</v>
      </c>
      <c r="AK78">
        <v>1662.7</v>
      </c>
      <c r="AL78">
        <v>1662.7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1</v>
      </c>
      <c r="AW78">
        <v>1</v>
      </c>
      <c r="AZ78">
        <v>1</v>
      </c>
      <c r="BA78">
        <v>1</v>
      </c>
      <c r="BB78">
        <v>1</v>
      </c>
      <c r="BC78">
        <v>1</v>
      </c>
      <c r="BD78" t="s">
        <v>6</v>
      </c>
      <c r="BE78" t="s">
        <v>6</v>
      </c>
      <c r="BF78" t="s">
        <v>6</v>
      </c>
      <c r="BG78" t="s">
        <v>6</v>
      </c>
      <c r="BH78">
        <v>3</v>
      </c>
      <c r="BI78">
        <v>1</v>
      </c>
      <c r="BJ78" t="s">
        <v>156</v>
      </c>
      <c r="BM78">
        <v>500001</v>
      </c>
      <c r="BN78">
        <v>0</v>
      </c>
      <c r="BO78" t="s">
        <v>111</v>
      </c>
      <c r="BP78">
        <v>1</v>
      </c>
      <c r="BQ78">
        <v>8</v>
      </c>
      <c r="BR78">
        <v>1</v>
      </c>
      <c r="BS78">
        <v>1</v>
      </c>
      <c r="BT78">
        <v>1</v>
      </c>
      <c r="BU78">
        <v>1</v>
      </c>
      <c r="BV78">
        <v>1</v>
      </c>
      <c r="BW78">
        <v>1</v>
      </c>
      <c r="BX78">
        <v>1</v>
      </c>
      <c r="BY78" t="s">
        <v>6</v>
      </c>
      <c r="BZ78">
        <v>0</v>
      </c>
      <c r="CA78">
        <v>0</v>
      </c>
      <c r="CB78" t="s">
        <v>6</v>
      </c>
      <c r="CE78">
        <v>0</v>
      </c>
      <c r="CF78">
        <v>0</v>
      </c>
      <c r="CG78">
        <v>0</v>
      </c>
      <c r="CM78">
        <v>0</v>
      </c>
      <c r="CN78" t="s">
        <v>6</v>
      </c>
      <c r="CO78">
        <v>0</v>
      </c>
      <c r="CP78">
        <f t="shared" si="45"/>
        <v>-634.99</v>
      </c>
      <c r="CQ78">
        <f t="shared" si="71"/>
        <v>1662.7</v>
      </c>
      <c r="CR78">
        <f t="shared" si="46"/>
        <v>0</v>
      </c>
      <c r="CS78">
        <f t="shared" si="47"/>
        <v>0</v>
      </c>
      <c r="CT78">
        <f t="shared" si="48"/>
        <v>0</v>
      </c>
      <c r="CU78">
        <f t="shared" si="49"/>
        <v>0</v>
      </c>
      <c r="CV78">
        <f t="shared" si="50"/>
        <v>0</v>
      </c>
      <c r="CW78">
        <f t="shared" si="51"/>
        <v>0</v>
      </c>
      <c r="CX78">
        <f t="shared" si="52"/>
        <v>0</v>
      </c>
      <c r="CY78">
        <f t="shared" si="53"/>
        <v>0</v>
      </c>
      <c r="CZ78">
        <f t="shared" si="54"/>
        <v>0</v>
      </c>
      <c r="DC78" t="s">
        <v>6</v>
      </c>
      <c r="DD78" t="s">
        <v>6</v>
      </c>
      <c r="DE78" t="s">
        <v>6</v>
      </c>
      <c r="DF78" t="s">
        <v>6</v>
      </c>
      <c r="DG78" t="s">
        <v>6</v>
      </c>
      <c r="DH78" t="s">
        <v>6</v>
      </c>
      <c r="DI78" t="s">
        <v>6</v>
      </c>
      <c r="DJ78" t="s">
        <v>6</v>
      </c>
      <c r="DK78" t="s">
        <v>6</v>
      </c>
      <c r="DL78" t="s">
        <v>6</v>
      </c>
      <c r="DM78" t="s">
        <v>6</v>
      </c>
      <c r="DN78">
        <v>0</v>
      </c>
      <c r="DO78">
        <v>0</v>
      </c>
      <c r="DP78">
        <v>1</v>
      </c>
      <c r="DQ78">
        <v>1</v>
      </c>
      <c r="DU78">
        <v>1010</v>
      </c>
      <c r="DV78" t="s">
        <v>155</v>
      </c>
      <c r="DW78" t="s">
        <v>155</v>
      </c>
      <c r="DX78">
        <v>1000</v>
      </c>
      <c r="DZ78" t="s">
        <v>6</v>
      </c>
      <c r="EA78" t="s">
        <v>6</v>
      </c>
      <c r="EB78" t="s">
        <v>6</v>
      </c>
      <c r="EC78" t="s">
        <v>6</v>
      </c>
      <c r="EE78">
        <v>30852824</v>
      </c>
      <c r="EF78">
        <v>8</v>
      </c>
      <c r="EG78" t="s">
        <v>112</v>
      </c>
      <c r="EH78">
        <v>0</v>
      </c>
      <c r="EI78" t="s">
        <v>6</v>
      </c>
      <c r="EJ78">
        <v>1</v>
      </c>
      <c r="EK78">
        <v>500001</v>
      </c>
      <c r="EL78" t="s">
        <v>113</v>
      </c>
      <c r="EM78" t="s">
        <v>114</v>
      </c>
      <c r="EO78" t="s">
        <v>6</v>
      </c>
      <c r="EQ78">
        <v>32768</v>
      </c>
      <c r="ER78">
        <v>1662.7</v>
      </c>
      <c r="ES78">
        <v>1662.7</v>
      </c>
      <c r="ET78">
        <v>0</v>
      </c>
      <c r="EU78">
        <v>0</v>
      </c>
      <c r="EV78">
        <v>0</v>
      </c>
      <c r="EW78">
        <v>0</v>
      </c>
      <c r="EX78">
        <v>0</v>
      </c>
      <c r="EY78">
        <v>0</v>
      </c>
      <c r="FQ78">
        <v>0</v>
      </c>
      <c r="FR78">
        <f t="shared" si="55"/>
        <v>0</v>
      </c>
      <c r="FS78">
        <v>0</v>
      </c>
      <c r="FX78">
        <v>0</v>
      </c>
      <c r="FY78">
        <v>0</v>
      </c>
      <c r="GA78" t="s">
        <v>6</v>
      </c>
      <c r="GD78">
        <v>1</v>
      </c>
      <c r="GF78">
        <v>-1891761004</v>
      </c>
      <c r="GG78">
        <v>2</v>
      </c>
      <c r="GH78">
        <v>1</v>
      </c>
      <c r="GI78">
        <v>4</v>
      </c>
      <c r="GJ78">
        <v>0</v>
      </c>
      <c r="GK78">
        <v>0</v>
      </c>
      <c r="GL78">
        <f t="shared" si="56"/>
        <v>0</v>
      </c>
      <c r="GM78">
        <f t="shared" si="57"/>
        <v>-634.99</v>
      </c>
      <c r="GN78">
        <f t="shared" si="58"/>
        <v>-634.99</v>
      </c>
      <c r="GO78">
        <f t="shared" si="59"/>
        <v>0</v>
      </c>
      <c r="GP78">
        <f t="shared" si="60"/>
        <v>0</v>
      </c>
      <c r="GR78">
        <v>0</v>
      </c>
      <c r="GS78">
        <v>0</v>
      </c>
      <c r="GT78">
        <v>0</v>
      </c>
      <c r="GU78" t="s">
        <v>6</v>
      </c>
      <c r="GV78">
        <f t="shared" si="61"/>
        <v>0</v>
      </c>
      <c r="GW78">
        <v>1</v>
      </c>
      <c r="GX78">
        <f t="shared" si="62"/>
        <v>0</v>
      </c>
      <c r="HA78">
        <v>0</v>
      </c>
      <c r="HB78">
        <v>0</v>
      </c>
      <c r="HC78">
        <f t="shared" si="63"/>
        <v>0</v>
      </c>
      <c r="HE78" t="s">
        <v>6</v>
      </c>
      <c r="HF78" t="s">
        <v>6</v>
      </c>
      <c r="HI78">
        <f t="shared" si="64"/>
        <v>0</v>
      </c>
      <c r="HJ78">
        <f t="shared" si="65"/>
        <v>0</v>
      </c>
      <c r="HK78">
        <f t="shared" si="66"/>
        <v>0</v>
      </c>
      <c r="HL78">
        <f t="shared" si="67"/>
        <v>0</v>
      </c>
      <c r="HM78" t="s">
        <v>6</v>
      </c>
      <c r="HN78" t="s">
        <v>6</v>
      </c>
      <c r="HO78" t="s">
        <v>6</v>
      </c>
      <c r="HP78" t="s">
        <v>6</v>
      </c>
      <c r="HQ78" t="s">
        <v>6</v>
      </c>
      <c r="IK78">
        <v>0</v>
      </c>
    </row>
    <row r="79" spans="1:245">
      <c r="A79">
        <v>17</v>
      </c>
      <c r="B79">
        <v>1</v>
      </c>
      <c r="E79" t="s">
        <v>157</v>
      </c>
      <c r="F79" t="s">
        <v>158</v>
      </c>
      <c r="G79" t="s">
        <v>159</v>
      </c>
      <c r="H79" t="s">
        <v>109</v>
      </c>
      <c r="I79">
        <f>ROUND(I77*-0.253,7)</f>
        <v>-0.24035000000000001</v>
      </c>
      <c r="J79">
        <v>0</v>
      </c>
      <c r="K79">
        <f>ROUND(I77*-0.253,7)</f>
        <v>-0.24035000000000001</v>
      </c>
      <c r="O79">
        <f t="shared" si="31"/>
        <v>-102.91</v>
      </c>
      <c r="P79">
        <f t="shared" si="70"/>
        <v>-102.91</v>
      </c>
      <c r="Q79">
        <f t="shared" si="32"/>
        <v>0</v>
      </c>
      <c r="R79">
        <f t="shared" si="33"/>
        <v>0</v>
      </c>
      <c r="S79">
        <f t="shared" si="34"/>
        <v>0</v>
      </c>
      <c r="T79">
        <f t="shared" si="35"/>
        <v>0</v>
      </c>
      <c r="U79">
        <f t="shared" si="36"/>
        <v>0</v>
      </c>
      <c r="V79">
        <f t="shared" si="37"/>
        <v>0</v>
      </c>
      <c r="W79">
        <f t="shared" si="38"/>
        <v>0</v>
      </c>
      <c r="X79">
        <f t="shared" si="39"/>
        <v>0</v>
      </c>
      <c r="Y79">
        <f t="shared" si="40"/>
        <v>0</v>
      </c>
      <c r="AA79">
        <v>31028412</v>
      </c>
      <c r="AB79">
        <f t="shared" si="41"/>
        <v>428.17</v>
      </c>
      <c r="AC79">
        <f t="shared" si="42"/>
        <v>428.17</v>
      </c>
      <c r="AD79">
        <f>ROUND((((ET79)-(EU79))+AE79),6)</f>
        <v>0</v>
      </c>
      <c r="AE79">
        <f t="shared" si="72"/>
        <v>0</v>
      </c>
      <c r="AF79">
        <f t="shared" si="72"/>
        <v>0</v>
      </c>
      <c r="AG79">
        <f t="shared" si="43"/>
        <v>0</v>
      </c>
      <c r="AH79">
        <f t="shared" si="73"/>
        <v>0</v>
      </c>
      <c r="AI79">
        <f t="shared" si="73"/>
        <v>0</v>
      </c>
      <c r="AJ79">
        <f t="shared" si="44"/>
        <v>0</v>
      </c>
      <c r="AK79">
        <v>428.17</v>
      </c>
      <c r="AL79">
        <v>428.17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1</v>
      </c>
      <c r="AW79">
        <v>1</v>
      </c>
      <c r="AZ79">
        <v>1</v>
      </c>
      <c r="BA79">
        <v>1</v>
      </c>
      <c r="BB79">
        <v>1</v>
      </c>
      <c r="BC79">
        <v>1</v>
      </c>
      <c r="BD79" t="s">
        <v>6</v>
      </c>
      <c r="BE79" t="s">
        <v>6</v>
      </c>
      <c r="BF79" t="s">
        <v>6</v>
      </c>
      <c r="BG79" t="s">
        <v>6</v>
      </c>
      <c r="BH79">
        <v>3</v>
      </c>
      <c r="BI79">
        <v>1</v>
      </c>
      <c r="BJ79" t="s">
        <v>160</v>
      </c>
      <c r="BM79">
        <v>500001</v>
      </c>
      <c r="BN79">
        <v>0</v>
      </c>
      <c r="BO79" t="s">
        <v>111</v>
      </c>
      <c r="BP79">
        <v>1</v>
      </c>
      <c r="BQ79">
        <v>8</v>
      </c>
      <c r="BR79">
        <v>1</v>
      </c>
      <c r="BS79">
        <v>1</v>
      </c>
      <c r="BT79">
        <v>1</v>
      </c>
      <c r="BU79">
        <v>1</v>
      </c>
      <c r="BV79">
        <v>1</v>
      </c>
      <c r="BW79">
        <v>1</v>
      </c>
      <c r="BX79">
        <v>1</v>
      </c>
      <c r="BY79" t="s">
        <v>6</v>
      </c>
      <c r="BZ79">
        <v>0</v>
      </c>
      <c r="CA79">
        <v>0</v>
      </c>
      <c r="CB79" t="s">
        <v>6</v>
      </c>
      <c r="CE79">
        <v>0</v>
      </c>
      <c r="CF79">
        <v>0</v>
      </c>
      <c r="CG79">
        <v>0</v>
      </c>
      <c r="CM79">
        <v>0</v>
      </c>
      <c r="CN79" t="s">
        <v>6</v>
      </c>
      <c r="CO79">
        <v>0</v>
      </c>
      <c r="CP79">
        <f t="shared" si="45"/>
        <v>-102.91</v>
      </c>
      <c r="CQ79">
        <f t="shared" si="71"/>
        <v>428.17</v>
      </c>
      <c r="CR79">
        <f t="shared" si="46"/>
        <v>0</v>
      </c>
      <c r="CS79">
        <f t="shared" si="47"/>
        <v>0</v>
      </c>
      <c r="CT79">
        <f t="shared" si="48"/>
        <v>0</v>
      </c>
      <c r="CU79">
        <f t="shared" si="49"/>
        <v>0</v>
      </c>
      <c r="CV79">
        <f t="shared" si="50"/>
        <v>0</v>
      </c>
      <c r="CW79">
        <f t="shared" si="51"/>
        <v>0</v>
      </c>
      <c r="CX79">
        <f t="shared" si="52"/>
        <v>0</v>
      </c>
      <c r="CY79">
        <f t="shared" si="53"/>
        <v>0</v>
      </c>
      <c r="CZ79">
        <f t="shared" si="54"/>
        <v>0</v>
      </c>
      <c r="DC79" t="s">
        <v>6</v>
      </c>
      <c r="DD79" t="s">
        <v>6</v>
      </c>
      <c r="DE79" t="s">
        <v>6</v>
      </c>
      <c r="DF79" t="s">
        <v>6</v>
      </c>
      <c r="DG79" t="s">
        <v>6</v>
      </c>
      <c r="DH79" t="s">
        <v>6</v>
      </c>
      <c r="DI79" t="s">
        <v>6</v>
      </c>
      <c r="DJ79" t="s">
        <v>6</v>
      </c>
      <c r="DK79" t="s">
        <v>6</v>
      </c>
      <c r="DL79" t="s">
        <v>6</v>
      </c>
      <c r="DM79" t="s">
        <v>6</v>
      </c>
      <c r="DN79">
        <v>0</v>
      </c>
      <c r="DO79">
        <v>0</v>
      </c>
      <c r="DP79">
        <v>1</v>
      </c>
      <c r="DQ79">
        <v>1</v>
      </c>
      <c r="DU79">
        <v>1007</v>
      </c>
      <c r="DV79" t="s">
        <v>109</v>
      </c>
      <c r="DW79" t="s">
        <v>109</v>
      </c>
      <c r="DX79">
        <v>1</v>
      </c>
      <c r="DZ79" t="s">
        <v>6</v>
      </c>
      <c r="EA79" t="s">
        <v>6</v>
      </c>
      <c r="EB79" t="s">
        <v>6</v>
      </c>
      <c r="EC79" t="s">
        <v>6</v>
      </c>
      <c r="EE79">
        <v>30852824</v>
      </c>
      <c r="EF79">
        <v>8</v>
      </c>
      <c r="EG79" t="s">
        <v>112</v>
      </c>
      <c r="EH79">
        <v>0</v>
      </c>
      <c r="EI79" t="s">
        <v>6</v>
      </c>
      <c r="EJ79">
        <v>1</v>
      </c>
      <c r="EK79">
        <v>500001</v>
      </c>
      <c r="EL79" t="s">
        <v>113</v>
      </c>
      <c r="EM79" t="s">
        <v>114</v>
      </c>
      <c r="EO79" t="s">
        <v>6</v>
      </c>
      <c r="EQ79">
        <v>32768</v>
      </c>
      <c r="ER79">
        <v>428.17</v>
      </c>
      <c r="ES79">
        <v>428.17</v>
      </c>
      <c r="ET79">
        <v>0</v>
      </c>
      <c r="EU79">
        <v>0</v>
      </c>
      <c r="EV79">
        <v>0</v>
      </c>
      <c r="EW79">
        <v>0</v>
      </c>
      <c r="EX79">
        <v>0</v>
      </c>
      <c r="EY79">
        <v>0</v>
      </c>
      <c r="FQ79">
        <v>0</v>
      </c>
      <c r="FR79">
        <f t="shared" si="55"/>
        <v>0</v>
      </c>
      <c r="FS79">
        <v>0</v>
      </c>
      <c r="FX79">
        <v>0</v>
      </c>
      <c r="FY79">
        <v>0</v>
      </c>
      <c r="GA79" t="s">
        <v>6</v>
      </c>
      <c r="GD79">
        <v>1</v>
      </c>
      <c r="GF79">
        <v>2037766963</v>
      </c>
      <c r="GG79">
        <v>2</v>
      </c>
      <c r="GH79">
        <v>1</v>
      </c>
      <c r="GI79">
        <v>4</v>
      </c>
      <c r="GJ79">
        <v>0</v>
      </c>
      <c r="GK79">
        <v>0</v>
      </c>
      <c r="GL79">
        <f t="shared" si="56"/>
        <v>0</v>
      </c>
      <c r="GM79">
        <f t="shared" si="57"/>
        <v>-102.91</v>
      </c>
      <c r="GN79">
        <f t="shared" si="58"/>
        <v>-102.91</v>
      </c>
      <c r="GO79">
        <f t="shared" si="59"/>
        <v>0</v>
      </c>
      <c r="GP79">
        <f t="shared" si="60"/>
        <v>0</v>
      </c>
      <c r="GR79">
        <v>0</v>
      </c>
      <c r="GS79">
        <v>0</v>
      </c>
      <c r="GT79">
        <v>0</v>
      </c>
      <c r="GU79" t="s">
        <v>6</v>
      </c>
      <c r="GV79">
        <f t="shared" si="61"/>
        <v>0</v>
      </c>
      <c r="GW79">
        <v>1</v>
      </c>
      <c r="GX79">
        <f t="shared" si="62"/>
        <v>0</v>
      </c>
      <c r="HA79">
        <v>0</v>
      </c>
      <c r="HB79">
        <v>0</v>
      </c>
      <c r="HC79">
        <f t="shared" si="63"/>
        <v>0</v>
      </c>
      <c r="HE79" t="s">
        <v>6</v>
      </c>
      <c r="HF79" t="s">
        <v>6</v>
      </c>
      <c r="HI79">
        <f t="shared" si="64"/>
        <v>0</v>
      </c>
      <c r="HJ79">
        <f t="shared" si="65"/>
        <v>0</v>
      </c>
      <c r="HK79">
        <f t="shared" si="66"/>
        <v>0</v>
      </c>
      <c r="HL79">
        <f t="shared" si="67"/>
        <v>0</v>
      </c>
      <c r="HM79" t="s">
        <v>6</v>
      </c>
      <c r="HN79" t="s">
        <v>6</v>
      </c>
      <c r="HO79" t="s">
        <v>6</v>
      </c>
      <c r="HP79" t="s">
        <v>6</v>
      </c>
      <c r="HQ79" t="s">
        <v>6</v>
      </c>
      <c r="IK79">
        <v>0</v>
      </c>
    </row>
    <row r="80" spans="1:245">
      <c r="A80">
        <v>17</v>
      </c>
      <c r="B80">
        <v>1</v>
      </c>
      <c r="E80" t="s">
        <v>161</v>
      </c>
      <c r="F80" t="s">
        <v>162</v>
      </c>
      <c r="G80" t="s">
        <v>163</v>
      </c>
      <c r="H80" t="s">
        <v>155</v>
      </c>
      <c r="I80">
        <f>ROUND((381.9)/1000,7)</f>
        <v>0.38190000000000002</v>
      </c>
      <c r="J80">
        <v>0</v>
      </c>
      <c r="K80">
        <f>ROUND((381.9)/1000,7)</f>
        <v>0.38190000000000002</v>
      </c>
      <c r="O80">
        <f t="shared" si="31"/>
        <v>730.4</v>
      </c>
      <c r="P80">
        <f t="shared" si="70"/>
        <v>730.4</v>
      </c>
      <c r="Q80">
        <f t="shared" si="32"/>
        <v>0</v>
      </c>
      <c r="R80">
        <f t="shared" si="33"/>
        <v>0</v>
      </c>
      <c r="S80">
        <f t="shared" si="34"/>
        <v>0</v>
      </c>
      <c r="T80">
        <f t="shared" si="35"/>
        <v>0</v>
      </c>
      <c r="U80">
        <f t="shared" si="36"/>
        <v>0</v>
      </c>
      <c r="V80">
        <f t="shared" si="37"/>
        <v>0</v>
      </c>
      <c r="W80">
        <f t="shared" si="38"/>
        <v>0</v>
      </c>
      <c r="X80">
        <f t="shared" si="39"/>
        <v>0</v>
      </c>
      <c r="Y80">
        <f t="shared" si="40"/>
        <v>0</v>
      </c>
      <c r="AA80">
        <v>31028412</v>
      </c>
      <c r="AB80">
        <f t="shared" si="41"/>
        <v>1912.53</v>
      </c>
      <c r="AC80">
        <f t="shared" si="42"/>
        <v>1912.53</v>
      </c>
      <c r="AD80">
        <f>ROUND((((ET80)-(EU80))+AE80),6)</f>
        <v>0</v>
      </c>
      <c r="AE80">
        <f t="shared" si="72"/>
        <v>0</v>
      </c>
      <c r="AF80">
        <f t="shared" si="72"/>
        <v>0</v>
      </c>
      <c r="AG80">
        <f t="shared" si="43"/>
        <v>0</v>
      </c>
      <c r="AH80">
        <f t="shared" si="73"/>
        <v>0</v>
      </c>
      <c r="AI80">
        <f t="shared" si="73"/>
        <v>0</v>
      </c>
      <c r="AJ80">
        <f t="shared" si="44"/>
        <v>0</v>
      </c>
      <c r="AK80">
        <v>1912.53</v>
      </c>
      <c r="AL80">
        <v>1912.53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1</v>
      </c>
      <c r="AW80">
        <v>1</v>
      </c>
      <c r="AZ80">
        <v>1</v>
      </c>
      <c r="BA80">
        <v>1</v>
      </c>
      <c r="BB80">
        <v>1</v>
      </c>
      <c r="BC80">
        <v>1</v>
      </c>
      <c r="BD80" t="s">
        <v>6</v>
      </c>
      <c r="BE80" t="s">
        <v>6</v>
      </c>
      <c r="BF80" t="s">
        <v>6</v>
      </c>
      <c r="BG80" t="s">
        <v>6</v>
      </c>
      <c r="BH80">
        <v>3</v>
      </c>
      <c r="BI80">
        <v>1</v>
      </c>
      <c r="BJ80" t="s">
        <v>164</v>
      </c>
      <c r="BM80">
        <v>500001</v>
      </c>
      <c r="BN80">
        <v>0</v>
      </c>
      <c r="BO80" t="s">
        <v>111</v>
      </c>
      <c r="BP80">
        <v>1</v>
      </c>
      <c r="BQ80">
        <v>8</v>
      </c>
      <c r="BR80">
        <v>0</v>
      </c>
      <c r="BS80">
        <v>1</v>
      </c>
      <c r="BT80">
        <v>1</v>
      </c>
      <c r="BU80">
        <v>1</v>
      </c>
      <c r="BV80">
        <v>1</v>
      </c>
      <c r="BW80">
        <v>1</v>
      </c>
      <c r="BX80">
        <v>1</v>
      </c>
      <c r="BY80" t="s">
        <v>6</v>
      </c>
      <c r="BZ80">
        <v>0</v>
      </c>
      <c r="CA80">
        <v>0</v>
      </c>
      <c r="CB80" t="s">
        <v>6</v>
      </c>
      <c r="CE80">
        <v>0</v>
      </c>
      <c r="CF80">
        <v>0</v>
      </c>
      <c r="CG80">
        <v>0</v>
      </c>
      <c r="CM80">
        <v>0</v>
      </c>
      <c r="CN80" t="s">
        <v>6</v>
      </c>
      <c r="CO80">
        <v>0</v>
      </c>
      <c r="CP80">
        <f t="shared" si="45"/>
        <v>730.4</v>
      </c>
      <c r="CQ80">
        <f t="shared" si="71"/>
        <v>1912.53</v>
      </c>
      <c r="CR80">
        <f t="shared" si="46"/>
        <v>0</v>
      </c>
      <c r="CS80">
        <f t="shared" si="47"/>
        <v>0</v>
      </c>
      <c r="CT80">
        <f t="shared" si="48"/>
        <v>0</v>
      </c>
      <c r="CU80">
        <f t="shared" si="49"/>
        <v>0</v>
      </c>
      <c r="CV80">
        <f t="shared" si="50"/>
        <v>0</v>
      </c>
      <c r="CW80">
        <f t="shared" si="51"/>
        <v>0</v>
      </c>
      <c r="CX80">
        <f t="shared" si="52"/>
        <v>0</v>
      </c>
      <c r="CY80">
        <f t="shared" si="53"/>
        <v>0</v>
      </c>
      <c r="CZ80">
        <f t="shared" si="54"/>
        <v>0</v>
      </c>
      <c r="DC80" t="s">
        <v>6</v>
      </c>
      <c r="DD80" t="s">
        <v>6</v>
      </c>
      <c r="DE80" t="s">
        <v>6</v>
      </c>
      <c r="DF80" t="s">
        <v>6</v>
      </c>
      <c r="DG80" t="s">
        <v>6</v>
      </c>
      <c r="DH80" t="s">
        <v>6</v>
      </c>
      <c r="DI80" t="s">
        <v>6</v>
      </c>
      <c r="DJ80" t="s">
        <v>6</v>
      </c>
      <c r="DK80" t="s">
        <v>6</v>
      </c>
      <c r="DL80" t="s">
        <v>6</v>
      </c>
      <c r="DM80" t="s">
        <v>6</v>
      </c>
      <c r="DN80">
        <v>0</v>
      </c>
      <c r="DO80">
        <v>0</v>
      </c>
      <c r="DP80">
        <v>1</v>
      </c>
      <c r="DQ80">
        <v>1</v>
      </c>
      <c r="DU80">
        <v>1010</v>
      </c>
      <c r="DV80" t="s">
        <v>155</v>
      </c>
      <c r="DW80" t="s">
        <v>155</v>
      </c>
      <c r="DX80">
        <v>1000</v>
      </c>
      <c r="DZ80" t="s">
        <v>6</v>
      </c>
      <c r="EA80" t="s">
        <v>6</v>
      </c>
      <c r="EB80" t="s">
        <v>6</v>
      </c>
      <c r="EC80" t="s">
        <v>6</v>
      </c>
      <c r="EE80">
        <v>30852824</v>
      </c>
      <c r="EF80">
        <v>8</v>
      </c>
      <c r="EG80" t="s">
        <v>112</v>
      </c>
      <c r="EH80">
        <v>0</v>
      </c>
      <c r="EI80" t="s">
        <v>6</v>
      </c>
      <c r="EJ80">
        <v>1</v>
      </c>
      <c r="EK80">
        <v>500001</v>
      </c>
      <c r="EL80" t="s">
        <v>113</v>
      </c>
      <c r="EM80" t="s">
        <v>114</v>
      </c>
      <c r="EO80" t="s">
        <v>6</v>
      </c>
      <c r="EQ80">
        <v>0</v>
      </c>
      <c r="ER80">
        <v>1912.53</v>
      </c>
      <c r="ES80">
        <v>1912.53</v>
      </c>
      <c r="ET80">
        <v>0</v>
      </c>
      <c r="EU80">
        <v>0</v>
      </c>
      <c r="EV80">
        <v>0</v>
      </c>
      <c r="EW80">
        <v>0</v>
      </c>
      <c r="EX80">
        <v>0</v>
      </c>
      <c r="EY80">
        <v>0</v>
      </c>
      <c r="FQ80">
        <v>0</v>
      </c>
      <c r="FR80">
        <f t="shared" si="55"/>
        <v>0</v>
      </c>
      <c r="FS80">
        <v>0</v>
      </c>
      <c r="FX80">
        <v>0</v>
      </c>
      <c r="FY80">
        <v>0</v>
      </c>
      <c r="GA80" t="s">
        <v>6</v>
      </c>
      <c r="GD80">
        <v>1</v>
      </c>
      <c r="GF80">
        <v>-1674372488</v>
      </c>
      <c r="GG80">
        <v>2</v>
      </c>
      <c r="GH80">
        <v>1</v>
      </c>
      <c r="GI80">
        <v>4</v>
      </c>
      <c r="GJ80">
        <v>0</v>
      </c>
      <c r="GK80">
        <v>0</v>
      </c>
      <c r="GL80">
        <f t="shared" si="56"/>
        <v>0</v>
      </c>
      <c r="GM80">
        <f t="shared" si="57"/>
        <v>730.4</v>
      </c>
      <c r="GN80">
        <f t="shared" si="58"/>
        <v>730.4</v>
      </c>
      <c r="GO80">
        <f t="shared" si="59"/>
        <v>0</v>
      </c>
      <c r="GP80">
        <f t="shared" si="60"/>
        <v>0</v>
      </c>
      <c r="GR80">
        <v>0</v>
      </c>
      <c r="GS80">
        <v>3</v>
      </c>
      <c r="GT80">
        <v>0</v>
      </c>
      <c r="GU80" t="s">
        <v>6</v>
      </c>
      <c r="GV80">
        <f t="shared" si="61"/>
        <v>0</v>
      </c>
      <c r="GW80">
        <v>1</v>
      </c>
      <c r="GX80">
        <f t="shared" si="62"/>
        <v>0</v>
      </c>
      <c r="HA80">
        <v>0</v>
      </c>
      <c r="HB80">
        <v>0</v>
      </c>
      <c r="HC80">
        <f t="shared" si="63"/>
        <v>0</v>
      </c>
      <c r="HE80" t="s">
        <v>6</v>
      </c>
      <c r="HF80" t="s">
        <v>6</v>
      </c>
      <c r="HI80">
        <f t="shared" si="64"/>
        <v>0</v>
      </c>
      <c r="HJ80">
        <f t="shared" si="65"/>
        <v>0</v>
      </c>
      <c r="HK80">
        <f t="shared" si="66"/>
        <v>0</v>
      </c>
      <c r="HL80">
        <f t="shared" si="67"/>
        <v>0</v>
      </c>
      <c r="HM80" t="s">
        <v>6</v>
      </c>
      <c r="HN80" t="s">
        <v>6</v>
      </c>
      <c r="HO80" t="s">
        <v>6</v>
      </c>
      <c r="HP80" t="s">
        <v>6</v>
      </c>
      <c r="HQ80" t="s">
        <v>6</v>
      </c>
      <c r="IK80">
        <v>0</v>
      </c>
    </row>
    <row r="81" spans="1:245">
      <c r="A81">
        <v>17</v>
      </c>
      <c r="B81">
        <v>1</v>
      </c>
      <c r="E81" t="s">
        <v>165</v>
      </c>
      <c r="F81" t="s">
        <v>166</v>
      </c>
      <c r="G81" t="s">
        <v>167</v>
      </c>
      <c r="H81" t="s">
        <v>109</v>
      </c>
      <c r="I81">
        <v>0.24035000000000001</v>
      </c>
      <c r="J81">
        <v>0</v>
      </c>
      <c r="K81">
        <v>0.24035000000000001</v>
      </c>
      <c r="O81">
        <f t="shared" si="31"/>
        <v>116.27</v>
      </c>
      <c r="P81">
        <f t="shared" si="70"/>
        <v>116.27</v>
      </c>
      <c r="Q81">
        <f t="shared" si="32"/>
        <v>0</v>
      </c>
      <c r="R81">
        <f t="shared" si="33"/>
        <v>0</v>
      </c>
      <c r="S81">
        <f t="shared" si="34"/>
        <v>0</v>
      </c>
      <c r="T81">
        <f t="shared" si="35"/>
        <v>0</v>
      </c>
      <c r="U81">
        <f t="shared" si="36"/>
        <v>0</v>
      </c>
      <c r="V81">
        <f t="shared" si="37"/>
        <v>0</v>
      </c>
      <c r="W81">
        <f t="shared" si="38"/>
        <v>0</v>
      </c>
      <c r="X81">
        <f t="shared" si="39"/>
        <v>0</v>
      </c>
      <c r="Y81">
        <f t="shared" si="40"/>
        <v>0</v>
      </c>
      <c r="AA81">
        <v>31028412</v>
      </c>
      <c r="AB81">
        <f t="shared" si="41"/>
        <v>483.76</v>
      </c>
      <c r="AC81">
        <f t="shared" si="42"/>
        <v>483.76</v>
      </c>
      <c r="AD81">
        <f>ROUND((((ET81)-(EU81))+AE81),6)</f>
        <v>0</v>
      </c>
      <c r="AE81">
        <f t="shared" si="72"/>
        <v>0</v>
      </c>
      <c r="AF81">
        <f t="shared" si="72"/>
        <v>0</v>
      </c>
      <c r="AG81">
        <f t="shared" si="43"/>
        <v>0</v>
      </c>
      <c r="AH81">
        <f t="shared" si="73"/>
        <v>0</v>
      </c>
      <c r="AI81">
        <f t="shared" si="73"/>
        <v>0</v>
      </c>
      <c r="AJ81">
        <f t="shared" si="44"/>
        <v>0</v>
      </c>
      <c r="AK81">
        <v>483.76</v>
      </c>
      <c r="AL81">
        <v>483.76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1</v>
      </c>
      <c r="AW81">
        <v>1</v>
      </c>
      <c r="AZ81">
        <v>1</v>
      </c>
      <c r="BA81">
        <v>1</v>
      </c>
      <c r="BB81">
        <v>1</v>
      </c>
      <c r="BC81">
        <v>1</v>
      </c>
      <c r="BD81" t="s">
        <v>6</v>
      </c>
      <c r="BE81" t="s">
        <v>6</v>
      </c>
      <c r="BF81" t="s">
        <v>6</v>
      </c>
      <c r="BG81" t="s">
        <v>6</v>
      </c>
      <c r="BH81">
        <v>3</v>
      </c>
      <c r="BI81">
        <v>1</v>
      </c>
      <c r="BJ81" t="s">
        <v>168</v>
      </c>
      <c r="BM81">
        <v>500001</v>
      </c>
      <c r="BN81">
        <v>0</v>
      </c>
      <c r="BO81" t="s">
        <v>111</v>
      </c>
      <c r="BP81">
        <v>1</v>
      </c>
      <c r="BQ81">
        <v>8</v>
      </c>
      <c r="BR81">
        <v>0</v>
      </c>
      <c r="BS81">
        <v>1</v>
      </c>
      <c r="BT81">
        <v>1</v>
      </c>
      <c r="BU81">
        <v>1</v>
      </c>
      <c r="BV81">
        <v>1</v>
      </c>
      <c r="BW81">
        <v>1</v>
      </c>
      <c r="BX81">
        <v>1</v>
      </c>
      <c r="BY81" t="s">
        <v>6</v>
      </c>
      <c r="BZ81">
        <v>0</v>
      </c>
      <c r="CA81">
        <v>0</v>
      </c>
      <c r="CB81" t="s">
        <v>6</v>
      </c>
      <c r="CE81">
        <v>0</v>
      </c>
      <c r="CF81">
        <v>0</v>
      </c>
      <c r="CG81">
        <v>0</v>
      </c>
      <c r="CM81">
        <v>0</v>
      </c>
      <c r="CN81" t="s">
        <v>6</v>
      </c>
      <c r="CO81">
        <v>0</v>
      </c>
      <c r="CP81">
        <f t="shared" si="45"/>
        <v>116.27</v>
      </c>
      <c r="CQ81">
        <f t="shared" si="71"/>
        <v>483.76</v>
      </c>
      <c r="CR81">
        <f t="shared" si="46"/>
        <v>0</v>
      </c>
      <c r="CS81">
        <f t="shared" si="47"/>
        <v>0</v>
      </c>
      <c r="CT81">
        <f t="shared" si="48"/>
        <v>0</v>
      </c>
      <c r="CU81">
        <f t="shared" si="49"/>
        <v>0</v>
      </c>
      <c r="CV81">
        <f t="shared" si="50"/>
        <v>0</v>
      </c>
      <c r="CW81">
        <f t="shared" si="51"/>
        <v>0</v>
      </c>
      <c r="CX81">
        <f t="shared" si="52"/>
        <v>0</v>
      </c>
      <c r="CY81">
        <f t="shared" si="53"/>
        <v>0</v>
      </c>
      <c r="CZ81">
        <f t="shared" si="54"/>
        <v>0</v>
      </c>
      <c r="DC81" t="s">
        <v>6</v>
      </c>
      <c r="DD81" t="s">
        <v>6</v>
      </c>
      <c r="DE81" t="s">
        <v>6</v>
      </c>
      <c r="DF81" t="s">
        <v>6</v>
      </c>
      <c r="DG81" t="s">
        <v>6</v>
      </c>
      <c r="DH81" t="s">
        <v>6</v>
      </c>
      <c r="DI81" t="s">
        <v>6</v>
      </c>
      <c r="DJ81" t="s">
        <v>6</v>
      </c>
      <c r="DK81" t="s">
        <v>6</v>
      </c>
      <c r="DL81" t="s">
        <v>6</v>
      </c>
      <c r="DM81" t="s">
        <v>6</v>
      </c>
      <c r="DN81">
        <v>0</v>
      </c>
      <c r="DO81">
        <v>0</v>
      </c>
      <c r="DP81">
        <v>1</v>
      </c>
      <c r="DQ81">
        <v>1</v>
      </c>
      <c r="DU81">
        <v>1007</v>
      </c>
      <c r="DV81" t="s">
        <v>109</v>
      </c>
      <c r="DW81" t="s">
        <v>109</v>
      </c>
      <c r="DX81">
        <v>1</v>
      </c>
      <c r="DZ81" t="s">
        <v>6</v>
      </c>
      <c r="EA81" t="s">
        <v>6</v>
      </c>
      <c r="EB81" t="s">
        <v>6</v>
      </c>
      <c r="EC81" t="s">
        <v>6</v>
      </c>
      <c r="EE81">
        <v>30852824</v>
      </c>
      <c r="EF81">
        <v>8</v>
      </c>
      <c r="EG81" t="s">
        <v>112</v>
      </c>
      <c r="EH81">
        <v>0</v>
      </c>
      <c r="EI81" t="s">
        <v>6</v>
      </c>
      <c r="EJ81">
        <v>1</v>
      </c>
      <c r="EK81">
        <v>500001</v>
      </c>
      <c r="EL81" t="s">
        <v>113</v>
      </c>
      <c r="EM81" t="s">
        <v>114</v>
      </c>
      <c r="EO81" t="s">
        <v>6</v>
      </c>
      <c r="EQ81">
        <v>131072</v>
      </c>
      <c r="ER81">
        <v>483.76</v>
      </c>
      <c r="ES81">
        <v>483.76</v>
      </c>
      <c r="ET81">
        <v>0</v>
      </c>
      <c r="EU81">
        <v>0</v>
      </c>
      <c r="EV81">
        <v>0</v>
      </c>
      <c r="EW81">
        <v>0</v>
      </c>
      <c r="EX81">
        <v>0</v>
      </c>
      <c r="EY81">
        <v>0</v>
      </c>
      <c r="FQ81">
        <v>0</v>
      </c>
      <c r="FR81">
        <f t="shared" si="55"/>
        <v>0</v>
      </c>
      <c r="FS81">
        <v>0</v>
      </c>
      <c r="FX81">
        <v>0</v>
      </c>
      <c r="FY81">
        <v>0</v>
      </c>
      <c r="GA81" t="s">
        <v>6</v>
      </c>
      <c r="GD81">
        <v>1</v>
      </c>
      <c r="GF81">
        <v>-216866240</v>
      </c>
      <c r="GG81">
        <v>2</v>
      </c>
      <c r="GH81">
        <v>1</v>
      </c>
      <c r="GI81">
        <v>4</v>
      </c>
      <c r="GJ81">
        <v>0</v>
      </c>
      <c r="GK81">
        <v>0</v>
      </c>
      <c r="GL81">
        <f t="shared" si="56"/>
        <v>0</v>
      </c>
      <c r="GM81">
        <f t="shared" si="57"/>
        <v>116.27</v>
      </c>
      <c r="GN81">
        <f t="shared" si="58"/>
        <v>116.27</v>
      </c>
      <c r="GO81">
        <f t="shared" si="59"/>
        <v>0</v>
      </c>
      <c r="GP81">
        <f t="shared" si="60"/>
        <v>0</v>
      </c>
      <c r="GR81">
        <v>0</v>
      </c>
      <c r="GS81">
        <v>0</v>
      </c>
      <c r="GT81">
        <v>0</v>
      </c>
      <c r="GU81" t="s">
        <v>6</v>
      </c>
      <c r="GV81">
        <f t="shared" si="61"/>
        <v>0</v>
      </c>
      <c r="GW81">
        <v>1</v>
      </c>
      <c r="GX81">
        <f t="shared" si="62"/>
        <v>0</v>
      </c>
      <c r="HA81">
        <v>0</v>
      </c>
      <c r="HB81">
        <v>0</v>
      </c>
      <c r="HC81">
        <f t="shared" si="63"/>
        <v>0</v>
      </c>
      <c r="HE81" t="s">
        <v>6</v>
      </c>
      <c r="HF81" t="s">
        <v>6</v>
      </c>
      <c r="HI81">
        <f t="shared" si="64"/>
        <v>0</v>
      </c>
      <c r="HJ81">
        <f t="shared" si="65"/>
        <v>0</v>
      </c>
      <c r="HK81">
        <f t="shared" si="66"/>
        <v>0</v>
      </c>
      <c r="HL81">
        <f t="shared" si="67"/>
        <v>0</v>
      </c>
      <c r="HM81" t="s">
        <v>6</v>
      </c>
      <c r="HN81" t="s">
        <v>6</v>
      </c>
      <c r="HO81" t="s">
        <v>6</v>
      </c>
      <c r="HP81" t="s">
        <v>6</v>
      </c>
      <c r="HQ81" t="s">
        <v>6</v>
      </c>
      <c r="IK81">
        <v>0</v>
      </c>
    </row>
    <row r="82" spans="1:245">
      <c r="A82">
        <v>17</v>
      </c>
      <c r="B82">
        <v>1</v>
      </c>
      <c r="C82">
        <f>ROW(SmtRes!A40)</f>
        <v>40</v>
      </c>
      <c r="D82">
        <f>ROW(EtalonRes!A46)</f>
        <v>46</v>
      </c>
      <c r="E82" t="s">
        <v>169</v>
      </c>
      <c r="F82" t="s">
        <v>170</v>
      </c>
      <c r="G82" t="s">
        <v>171</v>
      </c>
      <c r="H82" t="s">
        <v>172</v>
      </c>
      <c r="I82">
        <f>ROUND(2.7/100,7)</f>
        <v>2.7E-2</v>
      </c>
      <c r="J82">
        <v>0</v>
      </c>
      <c r="K82">
        <f>ROUND(2.7/100,7)</f>
        <v>2.7E-2</v>
      </c>
      <c r="O82">
        <f t="shared" si="31"/>
        <v>54.97</v>
      </c>
      <c r="P82">
        <f t="shared" si="70"/>
        <v>29.11</v>
      </c>
      <c r="Q82">
        <f t="shared" si="32"/>
        <v>2.35</v>
      </c>
      <c r="R82">
        <f t="shared" si="33"/>
        <v>0.93</v>
      </c>
      <c r="S82">
        <f t="shared" si="34"/>
        <v>23.51</v>
      </c>
      <c r="T82">
        <f t="shared" si="35"/>
        <v>0</v>
      </c>
      <c r="U82">
        <f t="shared" si="36"/>
        <v>2.5309475999999997</v>
      </c>
      <c r="V82">
        <f t="shared" si="37"/>
        <v>0.10789875</v>
      </c>
      <c r="W82">
        <f t="shared" si="38"/>
        <v>0</v>
      </c>
      <c r="X82">
        <f t="shared" si="39"/>
        <v>22</v>
      </c>
      <c r="Y82">
        <f t="shared" si="40"/>
        <v>10.18</v>
      </c>
      <c r="AA82">
        <v>31028412</v>
      </c>
      <c r="AB82">
        <f t="shared" si="41"/>
        <v>2036.24855</v>
      </c>
      <c r="AC82">
        <f t="shared" si="42"/>
        <v>1078.21</v>
      </c>
      <c r="AD82">
        <f>ROUND(((((ET82*ROUND((1.25*1.15),7)))-((EU82*ROUND((1.25*1.15),7))))+AE82),6)</f>
        <v>87.198750000000004</v>
      </c>
      <c r="AE82">
        <f>ROUND(((EU82*ROUND((1.25*1.15),7))),6)</f>
        <v>34.370624999999997</v>
      </c>
      <c r="AF82">
        <f>ROUND(((EV82*ROUND((1.15*1.15),7))),6)</f>
        <v>870.83979999999997</v>
      </c>
      <c r="AG82">
        <f t="shared" si="43"/>
        <v>0</v>
      </c>
      <c r="AH82">
        <f>((EW82*ROUND((1.15*1.15),7)))</f>
        <v>93.738799999999998</v>
      </c>
      <c r="AI82">
        <f>((EX82*ROUND((1.25*1.15),7)))</f>
        <v>3.9962499999999999</v>
      </c>
      <c r="AJ82">
        <f t="shared" si="44"/>
        <v>0</v>
      </c>
      <c r="AK82">
        <v>1797.35</v>
      </c>
      <c r="AL82">
        <v>1078.21</v>
      </c>
      <c r="AM82">
        <v>60.66</v>
      </c>
      <c r="AN82">
        <v>23.91</v>
      </c>
      <c r="AO82">
        <v>658.48</v>
      </c>
      <c r="AP82">
        <v>0</v>
      </c>
      <c r="AQ82">
        <v>70.88</v>
      </c>
      <c r="AR82">
        <v>2.78</v>
      </c>
      <c r="AS82">
        <v>0</v>
      </c>
      <c r="AT82">
        <v>90</v>
      </c>
      <c r="AU82">
        <v>41.65</v>
      </c>
      <c r="AV82">
        <v>1</v>
      </c>
      <c r="AW82">
        <v>1</v>
      </c>
      <c r="AZ82">
        <v>1</v>
      </c>
      <c r="BA82">
        <v>24.22</v>
      </c>
      <c r="BB82">
        <v>1</v>
      </c>
      <c r="BC82">
        <v>1</v>
      </c>
      <c r="BD82" t="s">
        <v>6</v>
      </c>
      <c r="BE82" t="s">
        <v>6</v>
      </c>
      <c r="BF82" t="s">
        <v>6</v>
      </c>
      <c r="BG82" t="s">
        <v>6</v>
      </c>
      <c r="BH82">
        <v>0</v>
      </c>
      <c r="BI82">
        <v>1</v>
      </c>
      <c r="BJ82" t="s">
        <v>173</v>
      </c>
      <c r="BM82">
        <v>15001</v>
      </c>
      <c r="BN82">
        <v>0</v>
      </c>
      <c r="BO82" t="s">
        <v>1327</v>
      </c>
      <c r="BP82">
        <v>1</v>
      </c>
      <c r="BQ82">
        <v>2</v>
      </c>
      <c r="BR82">
        <v>0</v>
      </c>
      <c r="BS82">
        <v>24.22</v>
      </c>
      <c r="BT82">
        <v>1</v>
      </c>
      <c r="BU82">
        <v>1</v>
      </c>
      <c r="BV82">
        <v>1</v>
      </c>
      <c r="BW82">
        <v>1</v>
      </c>
      <c r="BX82">
        <v>1</v>
      </c>
      <c r="BY82" t="s">
        <v>6</v>
      </c>
      <c r="BZ82">
        <v>100</v>
      </c>
      <c r="CA82">
        <v>49</v>
      </c>
      <c r="CB82" t="s">
        <v>6</v>
      </c>
      <c r="CE82">
        <v>0</v>
      </c>
      <c r="CF82">
        <v>0</v>
      </c>
      <c r="CG82">
        <v>0</v>
      </c>
      <c r="CM82">
        <v>0</v>
      </c>
      <c r="CN82" t="s">
        <v>6</v>
      </c>
      <c r="CO82">
        <v>0</v>
      </c>
      <c r="CP82">
        <f t="shared" si="45"/>
        <v>54.97</v>
      </c>
      <c r="CQ82">
        <f t="shared" si="71"/>
        <v>1078.21</v>
      </c>
      <c r="CR82">
        <f t="shared" si="46"/>
        <v>87.198750000000004</v>
      </c>
      <c r="CS82">
        <f t="shared" si="47"/>
        <v>34.370624999999997</v>
      </c>
      <c r="CT82">
        <f t="shared" si="48"/>
        <v>870.83979999999997</v>
      </c>
      <c r="CU82">
        <f t="shared" si="49"/>
        <v>0</v>
      </c>
      <c r="CV82">
        <f t="shared" si="50"/>
        <v>93.738799999999998</v>
      </c>
      <c r="CW82">
        <f t="shared" si="51"/>
        <v>3.9962499999999999</v>
      </c>
      <c r="CX82">
        <f t="shared" si="52"/>
        <v>0</v>
      </c>
      <c r="CY82">
        <f t="shared" si="53"/>
        <v>21.995999999999999</v>
      </c>
      <c r="CZ82">
        <f t="shared" si="54"/>
        <v>10.179260000000001</v>
      </c>
      <c r="DC82" t="s">
        <v>6</v>
      </c>
      <c r="DD82" t="s">
        <v>6</v>
      </c>
      <c r="DE82" t="s">
        <v>126</v>
      </c>
      <c r="DF82" t="s">
        <v>126</v>
      </c>
      <c r="DG82" t="s">
        <v>127</v>
      </c>
      <c r="DH82" t="s">
        <v>6</v>
      </c>
      <c r="DI82" t="s">
        <v>127</v>
      </c>
      <c r="DJ82" t="s">
        <v>126</v>
      </c>
      <c r="DK82" t="s">
        <v>6</v>
      </c>
      <c r="DL82" t="s">
        <v>6</v>
      </c>
      <c r="DM82" t="s">
        <v>6</v>
      </c>
      <c r="DN82">
        <v>0</v>
      </c>
      <c r="DO82">
        <v>0</v>
      </c>
      <c r="DP82">
        <v>1</v>
      </c>
      <c r="DQ82">
        <v>1</v>
      </c>
      <c r="DU82">
        <v>1013</v>
      </c>
      <c r="DV82" t="s">
        <v>172</v>
      </c>
      <c r="DW82" t="s">
        <v>172</v>
      </c>
      <c r="DX82">
        <v>1</v>
      </c>
      <c r="DZ82" t="s">
        <v>6</v>
      </c>
      <c r="EA82" t="s">
        <v>6</v>
      </c>
      <c r="EB82" t="s">
        <v>6</v>
      </c>
      <c r="EC82" t="s">
        <v>6</v>
      </c>
      <c r="EE82">
        <v>30852936</v>
      </c>
      <c r="EF82">
        <v>2</v>
      </c>
      <c r="EG82" t="s">
        <v>26</v>
      </c>
      <c r="EH82">
        <v>0</v>
      </c>
      <c r="EI82" t="s">
        <v>6</v>
      </c>
      <c r="EJ82">
        <v>1</v>
      </c>
      <c r="EK82">
        <v>15001</v>
      </c>
      <c r="EL82" t="s">
        <v>128</v>
      </c>
      <c r="EM82" t="s">
        <v>129</v>
      </c>
      <c r="EO82" t="s">
        <v>6</v>
      </c>
      <c r="EQ82">
        <v>131072</v>
      </c>
      <c r="ER82">
        <v>1797.35</v>
      </c>
      <c r="ES82">
        <v>1078.21</v>
      </c>
      <c r="ET82">
        <v>60.66</v>
      </c>
      <c r="EU82">
        <v>23.91</v>
      </c>
      <c r="EV82">
        <v>658.48</v>
      </c>
      <c r="EW82">
        <v>70.88</v>
      </c>
      <c r="EX82">
        <v>2.78</v>
      </c>
      <c r="EY82">
        <v>0</v>
      </c>
      <c r="FQ82">
        <v>0</v>
      </c>
      <c r="FR82">
        <f t="shared" si="55"/>
        <v>0</v>
      </c>
      <c r="FS82">
        <v>0</v>
      </c>
      <c r="FT82" t="s">
        <v>29</v>
      </c>
      <c r="FU82" t="s">
        <v>30</v>
      </c>
      <c r="FX82">
        <v>90</v>
      </c>
      <c r="FY82">
        <v>41.65</v>
      </c>
      <c r="GA82" t="s">
        <v>6</v>
      </c>
      <c r="GD82">
        <v>1</v>
      </c>
      <c r="GF82">
        <v>-1447978063</v>
      </c>
      <c r="GG82">
        <v>2</v>
      </c>
      <c r="GH82">
        <v>1</v>
      </c>
      <c r="GI82">
        <v>4</v>
      </c>
      <c r="GJ82">
        <v>0</v>
      </c>
      <c r="GK82">
        <v>0</v>
      </c>
      <c r="GL82">
        <f t="shared" si="56"/>
        <v>0</v>
      </c>
      <c r="GM82">
        <f t="shared" si="57"/>
        <v>87.15</v>
      </c>
      <c r="GN82">
        <f t="shared" si="58"/>
        <v>87.15</v>
      </c>
      <c r="GO82">
        <f t="shared" si="59"/>
        <v>0</v>
      </c>
      <c r="GP82">
        <f t="shared" si="60"/>
        <v>0</v>
      </c>
      <c r="GR82">
        <v>0</v>
      </c>
      <c r="GS82">
        <v>0</v>
      </c>
      <c r="GT82">
        <v>0</v>
      </c>
      <c r="GU82" t="s">
        <v>6</v>
      </c>
      <c r="GV82">
        <f t="shared" si="61"/>
        <v>0</v>
      </c>
      <c r="GW82">
        <v>1</v>
      </c>
      <c r="GX82">
        <f t="shared" si="62"/>
        <v>0</v>
      </c>
      <c r="HA82">
        <v>0</v>
      </c>
      <c r="HB82">
        <v>0</v>
      </c>
      <c r="HC82">
        <f t="shared" si="63"/>
        <v>0</v>
      </c>
      <c r="HE82" t="s">
        <v>6</v>
      </c>
      <c r="HF82" t="s">
        <v>6</v>
      </c>
      <c r="HI82">
        <f t="shared" si="64"/>
        <v>23</v>
      </c>
      <c r="HJ82">
        <f t="shared" si="65"/>
        <v>569</v>
      </c>
      <c r="HK82">
        <f t="shared" si="66"/>
        <v>533</v>
      </c>
      <c r="HL82">
        <f t="shared" si="67"/>
        <v>247</v>
      </c>
      <c r="HM82" t="s">
        <v>6</v>
      </c>
      <c r="HN82" t="s">
        <v>6</v>
      </c>
      <c r="HO82" t="s">
        <v>6</v>
      </c>
      <c r="HP82" t="s">
        <v>6</v>
      </c>
      <c r="HQ82" t="s">
        <v>6</v>
      </c>
      <c r="IK82">
        <v>0</v>
      </c>
    </row>
    <row r="83" spans="1:245">
      <c r="A83">
        <v>17</v>
      </c>
      <c r="B83">
        <v>1</v>
      </c>
      <c r="E83" t="s">
        <v>174</v>
      </c>
      <c r="F83" t="s">
        <v>107</v>
      </c>
      <c r="G83" t="s">
        <v>108</v>
      </c>
      <c r="H83" t="s">
        <v>109</v>
      </c>
      <c r="I83">
        <f>ROUND(I82*-1.89,7)</f>
        <v>-5.1029999999999999E-2</v>
      </c>
      <c r="J83">
        <v>0</v>
      </c>
      <c r="K83">
        <f>ROUND(I82*-1.89,7)</f>
        <v>-5.1029999999999999E-2</v>
      </c>
      <c r="O83">
        <f t="shared" si="31"/>
        <v>-29.09</v>
      </c>
      <c r="P83">
        <f t="shared" si="70"/>
        <v>-29.09</v>
      </c>
      <c r="Q83">
        <f t="shared" si="32"/>
        <v>0</v>
      </c>
      <c r="R83">
        <f t="shared" si="33"/>
        <v>0</v>
      </c>
      <c r="S83">
        <f t="shared" si="34"/>
        <v>0</v>
      </c>
      <c r="T83">
        <f t="shared" si="35"/>
        <v>0</v>
      </c>
      <c r="U83">
        <f t="shared" si="36"/>
        <v>0</v>
      </c>
      <c r="V83">
        <f t="shared" si="37"/>
        <v>0</v>
      </c>
      <c r="W83">
        <f t="shared" si="38"/>
        <v>0</v>
      </c>
      <c r="X83">
        <f t="shared" si="39"/>
        <v>0</v>
      </c>
      <c r="Y83">
        <f t="shared" si="40"/>
        <v>0</v>
      </c>
      <c r="AA83">
        <v>31028412</v>
      </c>
      <c r="AB83">
        <f t="shared" si="41"/>
        <v>570.03</v>
      </c>
      <c r="AC83">
        <f t="shared" si="42"/>
        <v>570.03</v>
      </c>
      <c r="AD83">
        <f>ROUND((((ET83)-(EU83))+AE83),6)</f>
        <v>0</v>
      </c>
      <c r="AE83">
        <f>ROUND((EU83),6)</f>
        <v>0</v>
      </c>
      <c r="AF83">
        <f>ROUND((EV83),6)</f>
        <v>0</v>
      </c>
      <c r="AG83">
        <f t="shared" si="43"/>
        <v>0</v>
      </c>
      <c r="AH83">
        <f>(EW83)</f>
        <v>0</v>
      </c>
      <c r="AI83">
        <f>(EX83)</f>
        <v>0</v>
      </c>
      <c r="AJ83">
        <f t="shared" si="44"/>
        <v>0</v>
      </c>
      <c r="AK83">
        <v>570.03</v>
      </c>
      <c r="AL83">
        <v>570.03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1</v>
      </c>
      <c r="AW83">
        <v>1</v>
      </c>
      <c r="AZ83">
        <v>1</v>
      </c>
      <c r="BA83">
        <v>1</v>
      </c>
      <c r="BB83">
        <v>1</v>
      </c>
      <c r="BC83">
        <v>1</v>
      </c>
      <c r="BD83" t="s">
        <v>6</v>
      </c>
      <c r="BE83" t="s">
        <v>6</v>
      </c>
      <c r="BF83" t="s">
        <v>6</v>
      </c>
      <c r="BG83" t="s">
        <v>6</v>
      </c>
      <c r="BH83">
        <v>3</v>
      </c>
      <c r="BI83">
        <v>1</v>
      </c>
      <c r="BJ83" t="s">
        <v>110</v>
      </c>
      <c r="BM83">
        <v>500001</v>
      </c>
      <c r="BN83">
        <v>0</v>
      </c>
      <c r="BO83" t="s">
        <v>111</v>
      </c>
      <c r="BP83">
        <v>1</v>
      </c>
      <c r="BQ83">
        <v>8</v>
      </c>
      <c r="BR83">
        <v>1</v>
      </c>
      <c r="BS83">
        <v>1</v>
      </c>
      <c r="BT83">
        <v>1</v>
      </c>
      <c r="BU83">
        <v>1</v>
      </c>
      <c r="BV83">
        <v>1</v>
      </c>
      <c r="BW83">
        <v>1</v>
      </c>
      <c r="BX83">
        <v>1</v>
      </c>
      <c r="BY83" t="s">
        <v>6</v>
      </c>
      <c r="BZ83">
        <v>0</v>
      </c>
      <c r="CA83">
        <v>0</v>
      </c>
      <c r="CB83" t="s">
        <v>6</v>
      </c>
      <c r="CE83">
        <v>0</v>
      </c>
      <c r="CF83">
        <v>0</v>
      </c>
      <c r="CG83">
        <v>0</v>
      </c>
      <c r="CM83">
        <v>0</v>
      </c>
      <c r="CN83" t="s">
        <v>6</v>
      </c>
      <c r="CO83">
        <v>0</v>
      </c>
      <c r="CP83">
        <f t="shared" si="45"/>
        <v>-29.09</v>
      </c>
      <c r="CQ83">
        <f t="shared" si="71"/>
        <v>570.03</v>
      </c>
      <c r="CR83">
        <f t="shared" si="46"/>
        <v>0</v>
      </c>
      <c r="CS83">
        <f t="shared" si="47"/>
        <v>0</v>
      </c>
      <c r="CT83">
        <f t="shared" si="48"/>
        <v>0</v>
      </c>
      <c r="CU83">
        <f t="shared" si="49"/>
        <v>0</v>
      </c>
      <c r="CV83">
        <f t="shared" si="50"/>
        <v>0</v>
      </c>
      <c r="CW83">
        <f t="shared" si="51"/>
        <v>0</v>
      </c>
      <c r="CX83">
        <f t="shared" si="52"/>
        <v>0</v>
      </c>
      <c r="CY83">
        <f t="shared" si="53"/>
        <v>0</v>
      </c>
      <c r="CZ83">
        <f t="shared" si="54"/>
        <v>0</v>
      </c>
      <c r="DC83" t="s">
        <v>6</v>
      </c>
      <c r="DD83" t="s">
        <v>6</v>
      </c>
      <c r="DE83" t="s">
        <v>6</v>
      </c>
      <c r="DF83" t="s">
        <v>6</v>
      </c>
      <c r="DG83" t="s">
        <v>6</v>
      </c>
      <c r="DH83" t="s">
        <v>6</v>
      </c>
      <c r="DI83" t="s">
        <v>6</v>
      </c>
      <c r="DJ83" t="s">
        <v>6</v>
      </c>
      <c r="DK83" t="s">
        <v>6</v>
      </c>
      <c r="DL83" t="s">
        <v>6</v>
      </c>
      <c r="DM83" t="s">
        <v>6</v>
      </c>
      <c r="DN83">
        <v>0</v>
      </c>
      <c r="DO83">
        <v>0</v>
      </c>
      <c r="DP83">
        <v>1</v>
      </c>
      <c r="DQ83">
        <v>1</v>
      </c>
      <c r="DU83">
        <v>1007</v>
      </c>
      <c r="DV83" t="s">
        <v>109</v>
      </c>
      <c r="DW83" t="s">
        <v>109</v>
      </c>
      <c r="DX83">
        <v>1</v>
      </c>
      <c r="DZ83" t="s">
        <v>6</v>
      </c>
      <c r="EA83" t="s">
        <v>6</v>
      </c>
      <c r="EB83" t="s">
        <v>6</v>
      </c>
      <c r="EC83" t="s">
        <v>6</v>
      </c>
      <c r="EE83">
        <v>30852824</v>
      </c>
      <c r="EF83">
        <v>8</v>
      </c>
      <c r="EG83" t="s">
        <v>112</v>
      </c>
      <c r="EH83">
        <v>0</v>
      </c>
      <c r="EI83" t="s">
        <v>6</v>
      </c>
      <c r="EJ83">
        <v>1</v>
      </c>
      <c r="EK83">
        <v>500001</v>
      </c>
      <c r="EL83" t="s">
        <v>113</v>
      </c>
      <c r="EM83" t="s">
        <v>114</v>
      </c>
      <c r="EO83" t="s">
        <v>6</v>
      </c>
      <c r="EQ83">
        <v>32768</v>
      </c>
      <c r="ER83">
        <v>570.03</v>
      </c>
      <c r="ES83">
        <v>570.03</v>
      </c>
      <c r="ET83">
        <v>0</v>
      </c>
      <c r="EU83">
        <v>0</v>
      </c>
      <c r="EV83">
        <v>0</v>
      </c>
      <c r="EW83">
        <v>0</v>
      </c>
      <c r="EX83">
        <v>0</v>
      </c>
      <c r="EY83">
        <v>0</v>
      </c>
      <c r="FQ83">
        <v>0</v>
      </c>
      <c r="FR83">
        <f t="shared" si="55"/>
        <v>0</v>
      </c>
      <c r="FS83">
        <v>0</v>
      </c>
      <c r="FX83">
        <v>0</v>
      </c>
      <c r="FY83">
        <v>0</v>
      </c>
      <c r="GA83" t="s">
        <v>6</v>
      </c>
      <c r="GD83">
        <v>1</v>
      </c>
      <c r="GF83">
        <v>-1738869177</v>
      </c>
      <c r="GG83">
        <v>2</v>
      </c>
      <c r="GH83">
        <v>1</v>
      </c>
      <c r="GI83">
        <v>4</v>
      </c>
      <c r="GJ83">
        <v>0</v>
      </c>
      <c r="GK83">
        <v>0</v>
      </c>
      <c r="GL83">
        <f t="shared" si="56"/>
        <v>0</v>
      </c>
      <c r="GM83">
        <f t="shared" si="57"/>
        <v>-29.09</v>
      </c>
      <c r="GN83">
        <f t="shared" si="58"/>
        <v>-29.09</v>
      </c>
      <c r="GO83">
        <f t="shared" si="59"/>
        <v>0</v>
      </c>
      <c r="GP83">
        <f t="shared" si="60"/>
        <v>0</v>
      </c>
      <c r="GR83">
        <v>0</v>
      </c>
      <c r="GS83">
        <v>0</v>
      </c>
      <c r="GT83">
        <v>0</v>
      </c>
      <c r="GU83" t="s">
        <v>6</v>
      </c>
      <c r="GV83">
        <f t="shared" si="61"/>
        <v>0</v>
      </c>
      <c r="GW83">
        <v>1</v>
      </c>
      <c r="GX83">
        <f t="shared" si="62"/>
        <v>0</v>
      </c>
      <c r="HA83">
        <v>0</v>
      </c>
      <c r="HB83">
        <v>0</v>
      </c>
      <c r="HC83">
        <f t="shared" si="63"/>
        <v>0</v>
      </c>
      <c r="HE83" t="s">
        <v>6</v>
      </c>
      <c r="HF83" t="s">
        <v>6</v>
      </c>
      <c r="HI83">
        <f t="shared" si="64"/>
        <v>0</v>
      </c>
      <c r="HJ83">
        <f t="shared" si="65"/>
        <v>0</v>
      </c>
      <c r="HK83">
        <f t="shared" si="66"/>
        <v>0</v>
      </c>
      <c r="HL83">
        <f t="shared" si="67"/>
        <v>0</v>
      </c>
      <c r="HM83" t="s">
        <v>6</v>
      </c>
      <c r="HN83" t="s">
        <v>6</v>
      </c>
      <c r="HO83" t="s">
        <v>6</v>
      </c>
      <c r="HP83" t="s">
        <v>6</v>
      </c>
      <c r="HQ83" t="s">
        <v>6</v>
      </c>
      <c r="IK83">
        <v>0</v>
      </c>
    </row>
    <row r="84" spans="1:245">
      <c r="A84">
        <v>17</v>
      </c>
      <c r="B84">
        <v>1</v>
      </c>
      <c r="E84" t="s">
        <v>175</v>
      </c>
      <c r="F84" t="s">
        <v>176</v>
      </c>
      <c r="G84" t="s">
        <v>177</v>
      </c>
      <c r="H84" t="s">
        <v>118</v>
      </c>
      <c r="I84">
        <v>97.2</v>
      </c>
      <c r="J84">
        <v>0</v>
      </c>
      <c r="K84">
        <v>97.2</v>
      </c>
      <c r="O84">
        <f t="shared" si="31"/>
        <v>485.74</v>
      </c>
      <c r="P84">
        <f>ROUND(ROUND(CQ84*I84,0)/BC84,2)</f>
        <v>485.74</v>
      </c>
      <c r="Q84">
        <f t="shared" si="32"/>
        <v>0</v>
      </c>
      <c r="R84">
        <f t="shared" si="33"/>
        <v>0</v>
      </c>
      <c r="S84">
        <f t="shared" si="34"/>
        <v>0</v>
      </c>
      <c r="T84">
        <f t="shared" si="35"/>
        <v>0</v>
      </c>
      <c r="U84">
        <f t="shared" si="36"/>
        <v>0</v>
      </c>
      <c r="V84">
        <f t="shared" si="37"/>
        <v>0</v>
      </c>
      <c r="W84">
        <f t="shared" si="38"/>
        <v>0</v>
      </c>
      <c r="X84">
        <f t="shared" si="39"/>
        <v>0</v>
      </c>
      <c r="Y84">
        <f t="shared" si="40"/>
        <v>0</v>
      </c>
      <c r="AA84">
        <v>31028412</v>
      </c>
      <c r="AB84">
        <f t="shared" si="41"/>
        <v>30.83</v>
      </c>
      <c r="AC84">
        <f t="shared" si="42"/>
        <v>30.83</v>
      </c>
      <c r="AD84">
        <f>ROUND((((ET84)-(EU84))+AE84),6)</f>
        <v>0</v>
      </c>
      <c r="AE84">
        <f>ROUND((EU84),6)</f>
        <v>0</v>
      </c>
      <c r="AF84">
        <f>ROUND((EV84),6)</f>
        <v>0</v>
      </c>
      <c r="AG84">
        <f t="shared" si="43"/>
        <v>0</v>
      </c>
      <c r="AH84">
        <f>(EW84)</f>
        <v>0</v>
      </c>
      <c r="AI84">
        <f>(EX84)</f>
        <v>0</v>
      </c>
      <c r="AJ84">
        <f t="shared" si="44"/>
        <v>0</v>
      </c>
      <c r="AK84">
        <v>30.83</v>
      </c>
      <c r="AL84">
        <v>30.83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1</v>
      </c>
      <c r="AW84">
        <v>1</v>
      </c>
      <c r="AZ84">
        <v>1</v>
      </c>
      <c r="BA84">
        <v>1</v>
      </c>
      <c r="BB84">
        <v>1</v>
      </c>
      <c r="BC84">
        <v>6.17</v>
      </c>
      <c r="BD84" t="s">
        <v>6</v>
      </c>
      <c r="BE84" t="s">
        <v>6</v>
      </c>
      <c r="BF84" t="s">
        <v>6</v>
      </c>
      <c r="BG84" t="s">
        <v>6</v>
      </c>
      <c r="BH84">
        <v>3</v>
      </c>
      <c r="BI84">
        <v>1</v>
      </c>
      <c r="BJ84" t="s">
        <v>6</v>
      </c>
      <c r="BM84">
        <v>1100</v>
      </c>
      <c r="BN84">
        <v>0</v>
      </c>
      <c r="BO84" t="s">
        <v>111</v>
      </c>
      <c r="BP84">
        <v>1</v>
      </c>
      <c r="BQ84">
        <v>8</v>
      </c>
      <c r="BR84">
        <v>0</v>
      </c>
      <c r="BS84">
        <v>1</v>
      </c>
      <c r="BT84">
        <v>1</v>
      </c>
      <c r="BU84">
        <v>1</v>
      </c>
      <c r="BV84">
        <v>1</v>
      </c>
      <c r="BW84">
        <v>1</v>
      </c>
      <c r="BX84">
        <v>1</v>
      </c>
      <c r="BY84" t="s">
        <v>6</v>
      </c>
      <c r="BZ84">
        <v>0</v>
      </c>
      <c r="CA84">
        <v>0</v>
      </c>
      <c r="CB84" t="s">
        <v>6</v>
      </c>
      <c r="CE84">
        <v>0</v>
      </c>
      <c r="CF84">
        <v>0</v>
      </c>
      <c r="CG84">
        <v>0</v>
      </c>
      <c r="CM84">
        <v>0</v>
      </c>
      <c r="CN84" t="s">
        <v>6</v>
      </c>
      <c r="CO84">
        <v>0</v>
      </c>
      <c r="CP84">
        <f t="shared" si="45"/>
        <v>485.74</v>
      </c>
      <c r="CQ84">
        <f>AC84</f>
        <v>30.83</v>
      </c>
      <c r="CR84">
        <f t="shared" si="46"/>
        <v>0</v>
      </c>
      <c r="CS84">
        <f t="shared" si="47"/>
        <v>0</v>
      </c>
      <c r="CT84">
        <f t="shared" si="48"/>
        <v>0</v>
      </c>
      <c r="CU84">
        <f t="shared" si="49"/>
        <v>0</v>
      </c>
      <c r="CV84">
        <f t="shared" si="50"/>
        <v>0</v>
      </c>
      <c r="CW84">
        <f t="shared" si="51"/>
        <v>0</v>
      </c>
      <c r="CX84">
        <f t="shared" si="52"/>
        <v>0</v>
      </c>
      <c r="CY84">
        <f t="shared" si="53"/>
        <v>0</v>
      </c>
      <c r="CZ84">
        <f t="shared" si="54"/>
        <v>0</v>
      </c>
      <c r="DC84" t="s">
        <v>6</v>
      </c>
      <c r="DD84" t="s">
        <v>6</v>
      </c>
      <c r="DE84" t="s">
        <v>6</v>
      </c>
      <c r="DF84" t="s">
        <v>6</v>
      </c>
      <c r="DG84" t="s">
        <v>6</v>
      </c>
      <c r="DH84" t="s">
        <v>6</v>
      </c>
      <c r="DI84" t="s">
        <v>6</v>
      </c>
      <c r="DJ84" t="s">
        <v>6</v>
      </c>
      <c r="DK84" t="s">
        <v>6</v>
      </c>
      <c r="DL84" t="s">
        <v>6</v>
      </c>
      <c r="DM84" t="s">
        <v>6</v>
      </c>
      <c r="DN84">
        <v>0</v>
      </c>
      <c r="DO84">
        <v>0</v>
      </c>
      <c r="DP84">
        <v>1</v>
      </c>
      <c r="DQ84">
        <v>1</v>
      </c>
      <c r="DU84">
        <v>1009</v>
      </c>
      <c r="DV84" t="s">
        <v>118</v>
      </c>
      <c r="DW84" t="s">
        <v>118</v>
      </c>
      <c r="DX84">
        <v>1</v>
      </c>
      <c r="DZ84" t="s">
        <v>6</v>
      </c>
      <c r="EA84" t="s">
        <v>6</v>
      </c>
      <c r="EB84" t="s">
        <v>6</v>
      </c>
      <c r="EC84" t="s">
        <v>6</v>
      </c>
      <c r="EE84">
        <v>30853118</v>
      </c>
      <c r="EF84">
        <v>8</v>
      </c>
      <c r="EG84" t="s">
        <v>112</v>
      </c>
      <c r="EH84">
        <v>0</v>
      </c>
      <c r="EI84" t="s">
        <v>6</v>
      </c>
      <c r="EJ84">
        <v>1</v>
      </c>
      <c r="EK84">
        <v>1100</v>
      </c>
      <c r="EL84" t="s">
        <v>119</v>
      </c>
      <c r="EM84" t="s">
        <v>120</v>
      </c>
      <c r="EO84" t="s">
        <v>6</v>
      </c>
      <c r="EQ84">
        <v>0</v>
      </c>
      <c r="ER84">
        <v>30.83</v>
      </c>
      <c r="ES84">
        <v>30.83</v>
      </c>
      <c r="ET84">
        <v>0</v>
      </c>
      <c r="EU84">
        <v>0</v>
      </c>
      <c r="EV84">
        <v>0</v>
      </c>
      <c r="EW84">
        <v>0</v>
      </c>
      <c r="EX84">
        <v>0</v>
      </c>
      <c r="EY84">
        <v>0</v>
      </c>
      <c r="EZ84">
        <v>5</v>
      </c>
      <c r="FC84">
        <v>0</v>
      </c>
      <c r="FD84">
        <v>18</v>
      </c>
      <c r="FF84">
        <v>30.83</v>
      </c>
      <c r="FQ84">
        <v>0</v>
      </c>
      <c r="FR84">
        <f t="shared" si="55"/>
        <v>0</v>
      </c>
      <c r="FS84">
        <v>0</v>
      </c>
      <c r="FX84">
        <v>0</v>
      </c>
      <c r="FY84">
        <v>0</v>
      </c>
      <c r="GA84" t="s">
        <v>6</v>
      </c>
      <c r="GD84">
        <v>1</v>
      </c>
      <c r="GF84">
        <v>1983738727</v>
      </c>
      <c r="GG84">
        <v>2</v>
      </c>
      <c r="GH84">
        <v>3</v>
      </c>
      <c r="GI84">
        <v>4</v>
      </c>
      <c r="GJ84">
        <v>0</v>
      </c>
      <c r="GK84">
        <v>0</v>
      </c>
      <c r="GL84">
        <f t="shared" si="56"/>
        <v>0</v>
      </c>
      <c r="GM84">
        <f t="shared" si="57"/>
        <v>485.74</v>
      </c>
      <c r="GN84">
        <f t="shared" si="58"/>
        <v>485.74</v>
      </c>
      <c r="GO84">
        <f t="shared" si="59"/>
        <v>0</v>
      </c>
      <c r="GP84">
        <f t="shared" si="60"/>
        <v>0</v>
      </c>
      <c r="GR84">
        <v>1</v>
      </c>
      <c r="GS84">
        <v>1</v>
      </c>
      <c r="GT84">
        <v>0</v>
      </c>
      <c r="GU84" t="s">
        <v>6</v>
      </c>
      <c r="GV84">
        <f t="shared" si="61"/>
        <v>0</v>
      </c>
      <c r="GW84">
        <v>1</v>
      </c>
      <c r="GX84">
        <f t="shared" si="62"/>
        <v>0</v>
      </c>
      <c r="HA84">
        <v>0</v>
      </c>
      <c r="HB84">
        <v>0</v>
      </c>
      <c r="HC84">
        <f t="shared" si="63"/>
        <v>0</v>
      </c>
      <c r="HE84" t="s">
        <v>6</v>
      </c>
      <c r="HF84" t="s">
        <v>6</v>
      </c>
      <c r="HG84">
        <f>ROUND(AC84*I84,0)</f>
        <v>2997</v>
      </c>
      <c r="HI84">
        <f t="shared" si="64"/>
        <v>0</v>
      </c>
      <c r="HJ84">
        <f t="shared" si="65"/>
        <v>0</v>
      </c>
      <c r="HK84">
        <f t="shared" si="66"/>
        <v>0</v>
      </c>
      <c r="HL84">
        <f t="shared" si="67"/>
        <v>0</v>
      </c>
      <c r="HM84" t="s">
        <v>6</v>
      </c>
      <c r="HN84" t="s">
        <v>6</v>
      </c>
      <c r="HO84" t="s">
        <v>6</v>
      </c>
      <c r="HP84" t="s">
        <v>6</v>
      </c>
      <c r="HQ84" t="s">
        <v>6</v>
      </c>
      <c r="IK84">
        <v>0</v>
      </c>
    </row>
    <row r="85" spans="1:245">
      <c r="A85">
        <v>17</v>
      </c>
      <c r="B85">
        <v>1</v>
      </c>
      <c r="C85">
        <f>ROW(SmtRes!A46)</f>
        <v>46</v>
      </c>
      <c r="D85">
        <f>ROW(EtalonRes!A54)</f>
        <v>54</v>
      </c>
      <c r="E85" t="s">
        <v>178</v>
      </c>
      <c r="F85" t="s">
        <v>122</v>
      </c>
      <c r="G85" t="s">
        <v>123</v>
      </c>
      <c r="H85" t="s">
        <v>124</v>
      </c>
      <c r="I85">
        <f>ROUND(2.7/100,7)</f>
        <v>2.7E-2</v>
      </c>
      <c r="J85">
        <v>0</v>
      </c>
      <c r="K85">
        <f>ROUND(2.7/100,7)</f>
        <v>2.7E-2</v>
      </c>
      <c r="O85">
        <f t="shared" si="31"/>
        <v>21.22</v>
      </c>
      <c r="P85">
        <f>ROUND(CQ85*I85,2)</f>
        <v>16.510000000000002</v>
      </c>
      <c r="Q85">
        <f t="shared" si="32"/>
        <v>0.28999999999999998</v>
      </c>
      <c r="R85">
        <f t="shared" si="33"/>
        <v>0</v>
      </c>
      <c r="S85">
        <f t="shared" si="34"/>
        <v>4.42</v>
      </c>
      <c r="T85">
        <f t="shared" si="35"/>
        <v>0</v>
      </c>
      <c r="U85">
        <f t="shared" si="36"/>
        <v>0.49276350000000008</v>
      </c>
      <c r="V85">
        <f t="shared" si="37"/>
        <v>0</v>
      </c>
      <c r="W85">
        <f t="shared" si="38"/>
        <v>0</v>
      </c>
      <c r="X85">
        <f t="shared" si="39"/>
        <v>3.98</v>
      </c>
      <c r="Y85">
        <f t="shared" si="40"/>
        <v>1.84</v>
      </c>
      <c r="AA85">
        <v>31028412</v>
      </c>
      <c r="AB85">
        <f t="shared" si="41"/>
        <v>785.994775</v>
      </c>
      <c r="AC85">
        <f t="shared" si="42"/>
        <v>611.53</v>
      </c>
      <c r="AD85">
        <f>ROUND(((((ET85*ROUND((1.25*1.15),7)))-((EU85*ROUND((1.25*1.15),7))))+AE85),6)</f>
        <v>10.7525</v>
      </c>
      <c r="AE85">
        <f>ROUND(((EU85*ROUND((1.25*1.15),7))),6)</f>
        <v>0</v>
      </c>
      <c r="AF85">
        <f>ROUND(((EV85*ROUND((1.15*1.15),7))),6)</f>
        <v>163.71227500000001</v>
      </c>
      <c r="AG85">
        <f t="shared" si="43"/>
        <v>0</v>
      </c>
      <c r="AH85">
        <f>((EW85*ROUND((1.15*1.15),7)))</f>
        <v>18.250500000000002</v>
      </c>
      <c r="AI85">
        <f>((EX85*ROUND((1.25*1.15),7)))</f>
        <v>0</v>
      </c>
      <c r="AJ85">
        <f t="shared" si="44"/>
        <v>0</v>
      </c>
      <c r="AK85">
        <v>742.8</v>
      </c>
      <c r="AL85">
        <v>611.53</v>
      </c>
      <c r="AM85">
        <v>7.48</v>
      </c>
      <c r="AN85">
        <v>0</v>
      </c>
      <c r="AO85">
        <v>123.79</v>
      </c>
      <c r="AP85">
        <v>0</v>
      </c>
      <c r="AQ85">
        <v>13.8</v>
      </c>
      <c r="AR85">
        <v>0</v>
      </c>
      <c r="AS85">
        <v>0</v>
      </c>
      <c r="AT85">
        <v>90</v>
      </c>
      <c r="AU85">
        <v>41.65</v>
      </c>
      <c r="AV85">
        <v>1</v>
      </c>
      <c r="AW85">
        <v>1</v>
      </c>
      <c r="AZ85">
        <v>1</v>
      </c>
      <c r="BA85">
        <v>24.22</v>
      </c>
      <c r="BB85">
        <v>1</v>
      </c>
      <c r="BC85">
        <v>1</v>
      </c>
      <c r="BD85" t="s">
        <v>6</v>
      </c>
      <c r="BE85" t="s">
        <v>6</v>
      </c>
      <c r="BF85" t="s">
        <v>6</v>
      </c>
      <c r="BG85" t="s">
        <v>6</v>
      </c>
      <c r="BH85">
        <v>0</v>
      </c>
      <c r="BI85">
        <v>1</v>
      </c>
      <c r="BJ85" t="s">
        <v>125</v>
      </c>
      <c r="BM85">
        <v>15001</v>
      </c>
      <c r="BN85">
        <v>0</v>
      </c>
      <c r="BO85" t="s">
        <v>1327</v>
      </c>
      <c r="BP85">
        <v>1</v>
      </c>
      <c r="BQ85">
        <v>2</v>
      </c>
      <c r="BR85">
        <v>0</v>
      </c>
      <c r="BS85">
        <v>24.22</v>
      </c>
      <c r="BT85">
        <v>1</v>
      </c>
      <c r="BU85">
        <v>1</v>
      </c>
      <c r="BV85">
        <v>1</v>
      </c>
      <c r="BW85">
        <v>1</v>
      </c>
      <c r="BX85">
        <v>1</v>
      </c>
      <c r="BY85" t="s">
        <v>6</v>
      </c>
      <c r="BZ85">
        <v>100</v>
      </c>
      <c r="CA85">
        <v>49</v>
      </c>
      <c r="CB85" t="s">
        <v>6</v>
      </c>
      <c r="CE85">
        <v>0</v>
      </c>
      <c r="CF85">
        <v>0</v>
      </c>
      <c r="CG85">
        <v>0</v>
      </c>
      <c r="CM85">
        <v>0</v>
      </c>
      <c r="CN85" t="s">
        <v>6</v>
      </c>
      <c r="CO85">
        <v>0</v>
      </c>
      <c r="CP85">
        <f t="shared" si="45"/>
        <v>21.22</v>
      </c>
      <c r="CQ85">
        <f>AC85*BC85</f>
        <v>611.53</v>
      </c>
      <c r="CR85">
        <f t="shared" si="46"/>
        <v>10.7525</v>
      </c>
      <c r="CS85">
        <f t="shared" si="47"/>
        <v>0</v>
      </c>
      <c r="CT85">
        <f t="shared" si="48"/>
        <v>163.71227500000001</v>
      </c>
      <c r="CU85">
        <f t="shared" si="49"/>
        <v>0</v>
      </c>
      <c r="CV85">
        <f t="shared" si="50"/>
        <v>18.250500000000002</v>
      </c>
      <c r="CW85">
        <f t="shared" si="51"/>
        <v>0</v>
      </c>
      <c r="CX85">
        <f t="shared" si="52"/>
        <v>0</v>
      </c>
      <c r="CY85">
        <f t="shared" si="53"/>
        <v>3.9780000000000002</v>
      </c>
      <c r="CZ85">
        <f t="shared" si="54"/>
        <v>1.84093</v>
      </c>
      <c r="DC85" t="s">
        <v>6</v>
      </c>
      <c r="DD85" t="s">
        <v>6</v>
      </c>
      <c r="DE85" t="s">
        <v>126</v>
      </c>
      <c r="DF85" t="s">
        <v>126</v>
      </c>
      <c r="DG85" t="s">
        <v>127</v>
      </c>
      <c r="DH85" t="s">
        <v>6</v>
      </c>
      <c r="DI85" t="s">
        <v>127</v>
      </c>
      <c r="DJ85" t="s">
        <v>126</v>
      </c>
      <c r="DK85" t="s">
        <v>6</v>
      </c>
      <c r="DL85" t="s">
        <v>6</v>
      </c>
      <c r="DM85" t="s">
        <v>6</v>
      </c>
      <c r="DN85">
        <v>0</v>
      </c>
      <c r="DO85">
        <v>0</v>
      </c>
      <c r="DP85">
        <v>1</v>
      </c>
      <c r="DQ85">
        <v>1</v>
      </c>
      <c r="DU85">
        <v>1005</v>
      </c>
      <c r="DV85" t="s">
        <v>124</v>
      </c>
      <c r="DW85" t="s">
        <v>124</v>
      </c>
      <c r="DX85">
        <v>100</v>
      </c>
      <c r="DZ85" t="s">
        <v>6</v>
      </c>
      <c r="EA85" t="s">
        <v>6</v>
      </c>
      <c r="EB85" t="s">
        <v>6</v>
      </c>
      <c r="EC85" t="s">
        <v>6</v>
      </c>
      <c r="EE85">
        <v>30852936</v>
      </c>
      <c r="EF85">
        <v>2</v>
      </c>
      <c r="EG85" t="s">
        <v>26</v>
      </c>
      <c r="EH85">
        <v>0</v>
      </c>
      <c r="EI85" t="s">
        <v>6</v>
      </c>
      <c r="EJ85">
        <v>1</v>
      </c>
      <c r="EK85">
        <v>15001</v>
      </c>
      <c r="EL85" t="s">
        <v>128</v>
      </c>
      <c r="EM85" t="s">
        <v>129</v>
      </c>
      <c r="EO85" t="s">
        <v>6</v>
      </c>
      <c r="EQ85">
        <v>131072</v>
      </c>
      <c r="ER85">
        <v>742.8</v>
      </c>
      <c r="ES85">
        <v>611.53</v>
      </c>
      <c r="ET85">
        <v>7.48</v>
      </c>
      <c r="EU85">
        <v>0</v>
      </c>
      <c r="EV85">
        <v>123.79</v>
      </c>
      <c r="EW85">
        <v>13.8</v>
      </c>
      <c r="EX85">
        <v>0</v>
      </c>
      <c r="EY85">
        <v>0</v>
      </c>
      <c r="FQ85">
        <v>0</v>
      </c>
      <c r="FR85">
        <f t="shared" si="55"/>
        <v>0</v>
      </c>
      <c r="FS85">
        <v>0</v>
      </c>
      <c r="FT85" t="s">
        <v>29</v>
      </c>
      <c r="FU85" t="s">
        <v>30</v>
      </c>
      <c r="FX85">
        <v>90</v>
      </c>
      <c r="FY85">
        <v>41.65</v>
      </c>
      <c r="GA85" t="s">
        <v>6</v>
      </c>
      <c r="GD85">
        <v>1</v>
      </c>
      <c r="GF85">
        <v>-1294516075</v>
      </c>
      <c r="GG85">
        <v>2</v>
      </c>
      <c r="GH85">
        <v>1</v>
      </c>
      <c r="GI85">
        <v>4</v>
      </c>
      <c r="GJ85">
        <v>0</v>
      </c>
      <c r="GK85">
        <v>0</v>
      </c>
      <c r="GL85">
        <f t="shared" si="56"/>
        <v>0</v>
      </c>
      <c r="GM85">
        <f t="shared" si="57"/>
        <v>27.04</v>
      </c>
      <c r="GN85">
        <f t="shared" si="58"/>
        <v>27.04</v>
      </c>
      <c r="GO85">
        <f t="shared" si="59"/>
        <v>0</v>
      </c>
      <c r="GP85">
        <f t="shared" si="60"/>
        <v>0</v>
      </c>
      <c r="GR85">
        <v>0</v>
      </c>
      <c r="GS85">
        <v>0</v>
      </c>
      <c r="GT85">
        <v>0</v>
      </c>
      <c r="GU85" t="s">
        <v>6</v>
      </c>
      <c r="GV85">
        <f t="shared" si="61"/>
        <v>0</v>
      </c>
      <c r="GW85">
        <v>1</v>
      </c>
      <c r="GX85">
        <f t="shared" si="62"/>
        <v>0</v>
      </c>
      <c r="HA85">
        <v>0</v>
      </c>
      <c r="HB85">
        <v>0</v>
      </c>
      <c r="HC85">
        <f t="shared" si="63"/>
        <v>0</v>
      </c>
      <c r="HE85" t="s">
        <v>6</v>
      </c>
      <c r="HF85" t="s">
        <v>6</v>
      </c>
      <c r="HI85">
        <f t="shared" si="64"/>
        <v>0</v>
      </c>
      <c r="HJ85">
        <f t="shared" si="65"/>
        <v>107</v>
      </c>
      <c r="HK85">
        <f t="shared" si="66"/>
        <v>96</v>
      </c>
      <c r="HL85">
        <f t="shared" si="67"/>
        <v>45</v>
      </c>
      <c r="HM85" t="s">
        <v>6</v>
      </c>
      <c r="HN85" t="s">
        <v>6</v>
      </c>
      <c r="HO85" t="s">
        <v>6</v>
      </c>
      <c r="HP85" t="s">
        <v>6</v>
      </c>
      <c r="HQ85" t="s">
        <v>6</v>
      </c>
      <c r="IK85">
        <v>0</v>
      </c>
    </row>
    <row r="86" spans="1:245">
      <c r="A86">
        <v>17</v>
      </c>
      <c r="B86">
        <v>1</v>
      </c>
      <c r="E86" t="s">
        <v>179</v>
      </c>
      <c r="F86" t="s">
        <v>131</v>
      </c>
      <c r="G86" t="s">
        <v>132</v>
      </c>
      <c r="H86" t="s">
        <v>118</v>
      </c>
      <c r="I86">
        <f>ROUND(I85*-13,7)</f>
        <v>-0.35099999999999998</v>
      </c>
      <c r="J86">
        <v>0</v>
      </c>
      <c r="K86">
        <f>ROUND(I85*-13,7)</f>
        <v>-0.35099999999999998</v>
      </c>
      <c r="O86">
        <f t="shared" si="31"/>
        <v>-5.82</v>
      </c>
      <c r="P86">
        <f>ROUND(CQ86*I86,2)</f>
        <v>-5.82</v>
      </c>
      <c r="Q86">
        <f t="shared" si="32"/>
        <v>0</v>
      </c>
      <c r="R86">
        <f t="shared" si="33"/>
        <v>0</v>
      </c>
      <c r="S86">
        <f t="shared" si="34"/>
        <v>0</v>
      </c>
      <c r="T86">
        <f t="shared" si="35"/>
        <v>0</v>
      </c>
      <c r="U86">
        <f t="shared" si="36"/>
        <v>0</v>
      </c>
      <c r="V86">
        <f t="shared" si="37"/>
        <v>0</v>
      </c>
      <c r="W86">
        <f t="shared" si="38"/>
        <v>0</v>
      </c>
      <c r="X86">
        <f t="shared" si="39"/>
        <v>0</v>
      </c>
      <c r="Y86">
        <f t="shared" si="40"/>
        <v>0</v>
      </c>
      <c r="AA86">
        <v>31028412</v>
      </c>
      <c r="AB86">
        <f t="shared" si="41"/>
        <v>16.579999999999998</v>
      </c>
      <c r="AC86">
        <f t="shared" si="42"/>
        <v>16.579999999999998</v>
      </c>
      <c r="AD86">
        <f>ROUND((((ET86)-(EU86))+AE86),6)</f>
        <v>0</v>
      </c>
      <c r="AE86">
        <f t="shared" ref="AE86:AF89" si="74">ROUND((EU86),6)</f>
        <v>0</v>
      </c>
      <c r="AF86">
        <f t="shared" si="74"/>
        <v>0</v>
      </c>
      <c r="AG86">
        <f t="shared" si="43"/>
        <v>0</v>
      </c>
      <c r="AH86">
        <f t="shared" ref="AH86:AI89" si="75">(EW86)</f>
        <v>0</v>
      </c>
      <c r="AI86">
        <f t="shared" si="75"/>
        <v>0</v>
      </c>
      <c r="AJ86">
        <f t="shared" si="44"/>
        <v>0</v>
      </c>
      <c r="AK86">
        <v>16.579999999999998</v>
      </c>
      <c r="AL86">
        <v>16.579999999999998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1</v>
      </c>
      <c r="AW86">
        <v>1</v>
      </c>
      <c r="AZ86">
        <v>1</v>
      </c>
      <c r="BA86">
        <v>1</v>
      </c>
      <c r="BB86">
        <v>1</v>
      </c>
      <c r="BC86">
        <v>1</v>
      </c>
      <c r="BD86" t="s">
        <v>6</v>
      </c>
      <c r="BE86" t="s">
        <v>6</v>
      </c>
      <c r="BF86" t="s">
        <v>6</v>
      </c>
      <c r="BG86" t="s">
        <v>6</v>
      </c>
      <c r="BH86">
        <v>3</v>
      </c>
      <c r="BI86">
        <v>1</v>
      </c>
      <c r="BJ86" t="s">
        <v>133</v>
      </c>
      <c r="BM86">
        <v>500001</v>
      </c>
      <c r="BN86">
        <v>0</v>
      </c>
      <c r="BO86" t="s">
        <v>111</v>
      </c>
      <c r="BP86">
        <v>1</v>
      </c>
      <c r="BQ86">
        <v>8</v>
      </c>
      <c r="BR86">
        <v>1</v>
      </c>
      <c r="BS86">
        <v>1</v>
      </c>
      <c r="BT86">
        <v>1</v>
      </c>
      <c r="BU86">
        <v>1</v>
      </c>
      <c r="BV86">
        <v>1</v>
      </c>
      <c r="BW86">
        <v>1</v>
      </c>
      <c r="BX86">
        <v>1</v>
      </c>
      <c r="BY86" t="s">
        <v>6</v>
      </c>
      <c r="BZ86">
        <v>0</v>
      </c>
      <c r="CA86">
        <v>0</v>
      </c>
      <c r="CB86" t="s">
        <v>6</v>
      </c>
      <c r="CE86">
        <v>0</v>
      </c>
      <c r="CF86">
        <v>0</v>
      </c>
      <c r="CG86">
        <v>0</v>
      </c>
      <c r="CM86">
        <v>0</v>
      </c>
      <c r="CN86" t="s">
        <v>6</v>
      </c>
      <c r="CO86">
        <v>0</v>
      </c>
      <c r="CP86">
        <f t="shared" si="45"/>
        <v>-5.82</v>
      </c>
      <c r="CQ86">
        <f>AC86*BC86</f>
        <v>16.579999999999998</v>
      </c>
      <c r="CR86">
        <f t="shared" si="46"/>
        <v>0</v>
      </c>
      <c r="CS86">
        <f t="shared" si="47"/>
        <v>0</v>
      </c>
      <c r="CT86">
        <f t="shared" si="48"/>
        <v>0</v>
      </c>
      <c r="CU86">
        <f t="shared" si="49"/>
        <v>0</v>
      </c>
      <c r="CV86">
        <f t="shared" si="50"/>
        <v>0</v>
      </c>
      <c r="CW86">
        <f t="shared" si="51"/>
        <v>0</v>
      </c>
      <c r="CX86">
        <f t="shared" si="52"/>
        <v>0</v>
      </c>
      <c r="CY86">
        <f t="shared" si="53"/>
        <v>0</v>
      </c>
      <c r="CZ86">
        <f t="shared" si="54"/>
        <v>0</v>
      </c>
      <c r="DC86" t="s">
        <v>6</v>
      </c>
      <c r="DD86" t="s">
        <v>6</v>
      </c>
      <c r="DE86" t="s">
        <v>6</v>
      </c>
      <c r="DF86" t="s">
        <v>6</v>
      </c>
      <c r="DG86" t="s">
        <v>6</v>
      </c>
      <c r="DH86" t="s">
        <v>6</v>
      </c>
      <c r="DI86" t="s">
        <v>6</v>
      </c>
      <c r="DJ86" t="s">
        <v>6</v>
      </c>
      <c r="DK86" t="s">
        <v>6</v>
      </c>
      <c r="DL86" t="s">
        <v>6</v>
      </c>
      <c r="DM86" t="s">
        <v>6</v>
      </c>
      <c r="DN86">
        <v>0</v>
      </c>
      <c r="DO86">
        <v>0</v>
      </c>
      <c r="DP86">
        <v>1</v>
      </c>
      <c r="DQ86">
        <v>1</v>
      </c>
      <c r="DU86">
        <v>1009</v>
      </c>
      <c r="DV86" t="s">
        <v>118</v>
      </c>
      <c r="DW86" t="s">
        <v>118</v>
      </c>
      <c r="DX86">
        <v>1</v>
      </c>
      <c r="DZ86" t="s">
        <v>6</v>
      </c>
      <c r="EA86" t="s">
        <v>6</v>
      </c>
      <c r="EB86" t="s">
        <v>6</v>
      </c>
      <c r="EC86" t="s">
        <v>6</v>
      </c>
      <c r="EE86">
        <v>30852824</v>
      </c>
      <c r="EF86">
        <v>8</v>
      </c>
      <c r="EG86" t="s">
        <v>112</v>
      </c>
      <c r="EH86">
        <v>0</v>
      </c>
      <c r="EI86" t="s">
        <v>6</v>
      </c>
      <c r="EJ86">
        <v>1</v>
      </c>
      <c r="EK86">
        <v>500001</v>
      </c>
      <c r="EL86" t="s">
        <v>113</v>
      </c>
      <c r="EM86" t="s">
        <v>114</v>
      </c>
      <c r="EO86" t="s">
        <v>6</v>
      </c>
      <c r="EQ86">
        <v>32768</v>
      </c>
      <c r="ER86">
        <v>16.579999999999998</v>
      </c>
      <c r="ES86">
        <v>16.579999999999998</v>
      </c>
      <c r="ET86">
        <v>0</v>
      </c>
      <c r="EU86">
        <v>0</v>
      </c>
      <c r="EV86">
        <v>0</v>
      </c>
      <c r="EW86">
        <v>0</v>
      </c>
      <c r="EX86">
        <v>0</v>
      </c>
      <c r="EY86">
        <v>0</v>
      </c>
      <c r="FQ86">
        <v>0</v>
      </c>
      <c r="FR86">
        <f t="shared" si="55"/>
        <v>0</v>
      </c>
      <c r="FS86">
        <v>0</v>
      </c>
      <c r="FX86">
        <v>0</v>
      </c>
      <c r="FY86">
        <v>0</v>
      </c>
      <c r="GA86" t="s">
        <v>6</v>
      </c>
      <c r="GD86">
        <v>1</v>
      </c>
      <c r="GF86">
        <v>827323639</v>
      </c>
      <c r="GG86">
        <v>2</v>
      </c>
      <c r="GH86">
        <v>1</v>
      </c>
      <c r="GI86">
        <v>4</v>
      </c>
      <c r="GJ86">
        <v>0</v>
      </c>
      <c r="GK86">
        <v>0</v>
      </c>
      <c r="GL86">
        <f t="shared" si="56"/>
        <v>0</v>
      </c>
      <c r="GM86">
        <f t="shared" si="57"/>
        <v>-5.82</v>
      </c>
      <c r="GN86">
        <f t="shared" si="58"/>
        <v>-5.82</v>
      </c>
      <c r="GO86">
        <f t="shared" si="59"/>
        <v>0</v>
      </c>
      <c r="GP86">
        <f t="shared" si="60"/>
        <v>0</v>
      </c>
      <c r="GR86">
        <v>0</v>
      </c>
      <c r="GS86">
        <v>0</v>
      </c>
      <c r="GT86">
        <v>0</v>
      </c>
      <c r="GU86" t="s">
        <v>6</v>
      </c>
      <c r="GV86">
        <f t="shared" si="61"/>
        <v>0</v>
      </c>
      <c r="GW86">
        <v>1</v>
      </c>
      <c r="GX86">
        <f t="shared" si="62"/>
        <v>0</v>
      </c>
      <c r="HA86">
        <v>0</v>
      </c>
      <c r="HB86">
        <v>0</v>
      </c>
      <c r="HC86">
        <f t="shared" si="63"/>
        <v>0</v>
      </c>
      <c r="HE86" t="s">
        <v>6</v>
      </c>
      <c r="HF86" t="s">
        <v>6</v>
      </c>
      <c r="HI86">
        <f t="shared" si="64"/>
        <v>0</v>
      </c>
      <c r="HJ86">
        <f t="shared" si="65"/>
        <v>0</v>
      </c>
      <c r="HK86">
        <f t="shared" si="66"/>
        <v>0</v>
      </c>
      <c r="HL86">
        <f t="shared" si="67"/>
        <v>0</v>
      </c>
      <c r="HM86" t="s">
        <v>6</v>
      </c>
      <c r="HN86" t="s">
        <v>6</v>
      </c>
      <c r="HO86" t="s">
        <v>6</v>
      </c>
      <c r="HP86" t="s">
        <v>6</v>
      </c>
      <c r="HQ86" t="s">
        <v>6</v>
      </c>
      <c r="IK86">
        <v>0</v>
      </c>
    </row>
    <row r="87" spans="1:245">
      <c r="A87">
        <v>17</v>
      </c>
      <c r="B87">
        <v>1</v>
      </c>
      <c r="E87" t="s">
        <v>180</v>
      </c>
      <c r="F87" t="s">
        <v>135</v>
      </c>
      <c r="G87" t="s">
        <v>136</v>
      </c>
      <c r="H87" t="s">
        <v>137</v>
      </c>
      <c r="I87">
        <f>ROUND(I85*-0.038,7)</f>
        <v>-1.026E-3</v>
      </c>
      <c r="J87">
        <v>0</v>
      </c>
      <c r="K87">
        <f>ROUND(I85*-0.038,7)</f>
        <v>-1.026E-3</v>
      </c>
      <c r="O87">
        <f t="shared" si="31"/>
        <v>-7.63</v>
      </c>
      <c r="P87">
        <f>ROUND(CQ87*I87,2)</f>
        <v>-7.63</v>
      </c>
      <c r="Q87">
        <f t="shared" si="32"/>
        <v>0</v>
      </c>
      <c r="R87">
        <f t="shared" si="33"/>
        <v>0</v>
      </c>
      <c r="S87">
        <f t="shared" si="34"/>
        <v>0</v>
      </c>
      <c r="T87">
        <f t="shared" si="35"/>
        <v>0</v>
      </c>
      <c r="U87">
        <f t="shared" si="36"/>
        <v>0</v>
      </c>
      <c r="V87">
        <f t="shared" si="37"/>
        <v>0</v>
      </c>
      <c r="W87">
        <f t="shared" si="38"/>
        <v>0</v>
      </c>
      <c r="X87">
        <f t="shared" si="39"/>
        <v>0</v>
      </c>
      <c r="Y87">
        <f t="shared" si="40"/>
        <v>0</v>
      </c>
      <c r="AA87">
        <v>31028412</v>
      </c>
      <c r="AB87">
        <f t="shared" si="41"/>
        <v>7439.37</v>
      </c>
      <c r="AC87">
        <f t="shared" si="42"/>
        <v>7439.37</v>
      </c>
      <c r="AD87">
        <f>ROUND((((ET87)-(EU87))+AE87),6)</f>
        <v>0</v>
      </c>
      <c r="AE87">
        <f t="shared" si="74"/>
        <v>0</v>
      </c>
      <c r="AF87">
        <f t="shared" si="74"/>
        <v>0</v>
      </c>
      <c r="AG87">
        <f t="shared" si="43"/>
        <v>0</v>
      </c>
      <c r="AH87">
        <f t="shared" si="75"/>
        <v>0</v>
      </c>
      <c r="AI87">
        <f t="shared" si="75"/>
        <v>0</v>
      </c>
      <c r="AJ87">
        <f t="shared" si="44"/>
        <v>0</v>
      </c>
      <c r="AK87">
        <v>7439.37</v>
      </c>
      <c r="AL87">
        <v>7439.37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1</v>
      </c>
      <c r="AW87">
        <v>1</v>
      </c>
      <c r="AZ87">
        <v>1</v>
      </c>
      <c r="BA87">
        <v>1</v>
      </c>
      <c r="BB87">
        <v>1</v>
      </c>
      <c r="BC87">
        <v>1</v>
      </c>
      <c r="BD87" t="s">
        <v>6</v>
      </c>
      <c r="BE87" t="s">
        <v>6</v>
      </c>
      <c r="BF87" t="s">
        <v>6</v>
      </c>
      <c r="BG87" t="s">
        <v>6</v>
      </c>
      <c r="BH87">
        <v>3</v>
      </c>
      <c r="BI87">
        <v>1</v>
      </c>
      <c r="BJ87" t="s">
        <v>138</v>
      </c>
      <c r="BM87">
        <v>500001</v>
      </c>
      <c r="BN87">
        <v>0</v>
      </c>
      <c r="BO87" t="s">
        <v>111</v>
      </c>
      <c r="BP87">
        <v>1</v>
      </c>
      <c r="BQ87">
        <v>8</v>
      </c>
      <c r="BR87">
        <v>1</v>
      </c>
      <c r="BS87">
        <v>1</v>
      </c>
      <c r="BT87">
        <v>1</v>
      </c>
      <c r="BU87">
        <v>1</v>
      </c>
      <c r="BV87">
        <v>1</v>
      </c>
      <c r="BW87">
        <v>1</v>
      </c>
      <c r="BX87">
        <v>1</v>
      </c>
      <c r="BY87" t="s">
        <v>6</v>
      </c>
      <c r="BZ87">
        <v>0</v>
      </c>
      <c r="CA87">
        <v>0</v>
      </c>
      <c r="CB87" t="s">
        <v>6</v>
      </c>
      <c r="CE87">
        <v>0</v>
      </c>
      <c r="CF87">
        <v>0</v>
      </c>
      <c r="CG87">
        <v>0</v>
      </c>
      <c r="CM87">
        <v>0</v>
      </c>
      <c r="CN87" t="s">
        <v>6</v>
      </c>
      <c r="CO87">
        <v>0</v>
      </c>
      <c r="CP87">
        <f t="shared" si="45"/>
        <v>-7.63</v>
      </c>
      <c r="CQ87">
        <f>AC87*BC87</f>
        <v>7439.37</v>
      </c>
      <c r="CR87">
        <f t="shared" si="46"/>
        <v>0</v>
      </c>
      <c r="CS87">
        <f t="shared" si="47"/>
        <v>0</v>
      </c>
      <c r="CT87">
        <f t="shared" si="48"/>
        <v>0</v>
      </c>
      <c r="CU87">
        <f t="shared" si="49"/>
        <v>0</v>
      </c>
      <c r="CV87">
        <f t="shared" si="50"/>
        <v>0</v>
      </c>
      <c r="CW87">
        <f t="shared" si="51"/>
        <v>0</v>
      </c>
      <c r="CX87">
        <f t="shared" si="52"/>
        <v>0</v>
      </c>
      <c r="CY87">
        <f t="shared" si="53"/>
        <v>0</v>
      </c>
      <c r="CZ87">
        <f t="shared" si="54"/>
        <v>0</v>
      </c>
      <c r="DC87" t="s">
        <v>6</v>
      </c>
      <c r="DD87" t="s">
        <v>6</v>
      </c>
      <c r="DE87" t="s">
        <v>6</v>
      </c>
      <c r="DF87" t="s">
        <v>6</v>
      </c>
      <c r="DG87" t="s">
        <v>6</v>
      </c>
      <c r="DH87" t="s">
        <v>6</v>
      </c>
      <c r="DI87" t="s">
        <v>6</v>
      </c>
      <c r="DJ87" t="s">
        <v>6</v>
      </c>
      <c r="DK87" t="s">
        <v>6</v>
      </c>
      <c r="DL87" t="s">
        <v>6</v>
      </c>
      <c r="DM87" t="s">
        <v>6</v>
      </c>
      <c r="DN87">
        <v>0</v>
      </c>
      <c r="DO87">
        <v>0</v>
      </c>
      <c r="DP87">
        <v>1</v>
      </c>
      <c r="DQ87">
        <v>1</v>
      </c>
      <c r="DU87">
        <v>1009</v>
      </c>
      <c r="DV87" t="s">
        <v>137</v>
      </c>
      <c r="DW87" t="s">
        <v>137</v>
      </c>
      <c r="DX87">
        <v>1000</v>
      </c>
      <c r="DZ87" t="s">
        <v>6</v>
      </c>
      <c r="EA87" t="s">
        <v>6</v>
      </c>
      <c r="EB87" t="s">
        <v>6</v>
      </c>
      <c r="EC87" t="s">
        <v>6</v>
      </c>
      <c r="EE87">
        <v>30852824</v>
      </c>
      <c r="EF87">
        <v>8</v>
      </c>
      <c r="EG87" t="s">
        <v>112</v>
      </c>
      <c r="EH87">
        <v>0</v>
      </c>
      <c r="EI87" t="s">
        <v>6</v>
      </c>
      <c r="EJ87">
        <v>1</v>
      </c>
      <c r="EK87">
        <v>500001</v>
      </c>
      <c r="EL87" t="s">
        <v>113</v>
      </c>
      <c r="EM87" t="s">
        <v>114</v>
      </c>
      <c r="EO87" t="s">
        <v>6</v>
      </c>
      <c r="EQ87">
        <v>32768</v>
      </c>
      <c r="ER87">
        <v>7439.37</v>
      </c>
      <c r="ES87">
        <v>7439.37</v>
      </c>
      <c r="ET87">
        <v>0</v>
      </c>
      <c r="EU87">
        <v>0</v>
      </c>
      <c r="EV87">
        <v>0</v>
      </c>
      <c r="EW87">
        <v>0</v>
      </c>
      <c r="EX87">
        <v>0</v>
      </c>
      <c r="EY87">
        <v>0</v>
      </c>
      <c r="FQ87">
        <v>0</v>
      </c>
      <c r="FR87">
        <f t="shared" si="55"/>
        <v>0</v>
      </c>
      <c r="FS87">
        <v>0</v>
      </c>
      <c r="FX87">
        <v>0</v>
      </c>
      <c r="FY87">
        <v>0</v>
      </c>
      <c r="GA87" t="s">
        <v>6</v>
      </c>
      <c r="GD87">
        <v>1</v>
      </c>
      <c r="GF87">
        <v>1384949503</v>
      </c>
      <c r="GG87">
        <v>2</v>
      </c>
      <c r="GH87">
        <v>1</v>
      </c>
      <c r="GI87">
        <v>4</v>
      </c>
      <c r="GJ87">
        <v>0</v>
      </c>
      <c r="GK87">
        <v>0</v>
      </c>
      <c r="GL87">
        <f t="shared" si="56"/>
        <v>0</v>
      </c>
      <c r="GM87">
        <f t="shared" si="57"/>
        <v>-7.63</v>
      </c>
      <c r="GN87">
        <f t="shared" si="58"/>
        <v>-7.63</v>
      </c>
      <c r="GO87">
        <f t="shared" si="59"/>
        <v>0</v>
      </c>
      <c r="GP87">
        <f t="shared" si="60"/>
        <v>0</v>
      </c>
      <c r="GR87">
        <v>0</v>
      </c>
      <c r="GS87">
        <v>0</v>
      </c>
      <c r="GT87">
        <v>0</v>
      </c>
      <c r="GU87" t="s">
        <v>6</v>
      </c>
      <c r="GV87">
        <f t="shared" si="61"/>
        <v>0</v>
      </c>
      <c r="GW87">
        <v>1</v>
      </c>
      <c r="GX87">
        <f t="shared" si="62"/>
        <v>0</v>
      </c>
      <c r="HA87">
        <v>0</v>
      </c>
      <c r="HB87">
        <v>0</v>
      </c>
      <c r="HC87">
        <f t="shared" si="63"/>
        <v>0</v>
      </c>
      <c r="HE87" t="s">
        <v>6</v>
      </c>
      <c r="HF87" t="s">
        <v>6</v>
      </c>
      <c r="HI87">
        <f t="shared" si="64"/>
        <v>0</v>
      </c>
      <c r="HJ87">
        <f t="shared" si="65"/>
        <v>0</v>
      </c>
      <c r="HK87">
        <f t="shared" si="66"/>
        <v>0</v>
      </c>
      <c r="HL87">
        <f t="shared" si="67"/>
        <v>0</v>
      </c>
      <c r="HM87" t="s">
        <v>6</v>
      </c>
      <c r="HN87" t="s">
        <v>6</v>
      </c>
      <c r="HO87" t="s">
        <v>6</v>
      </c>
      <c r="HP87" t="s">
        <v>6</v>
      </c>
      <c r="HQ87" t="s">
        <v>6</v>
      </c>
      <c r="IK87">
        <v>0</v>
      </c>
    </row>
    <row r="88" spans="1:245">
      <c r="A88">
        <v>17</v>
      </c>
      <c r="B88">
        <v>1</v>
      </c>
      <c r="E88" t="s">
        <v>181</v>
      </c>
      <c r="F88" t="s">
        <v>182</v>
      </c>
      <c r="G88" t="s">
        <v>141</v>
      </c>
      <c r="H88" t="s">
        <v>142</v>
      </c>
      <c r="I88">
        <v>1.08</v>
      </c>
      <c r="J88">
        <v>0</v>
      </c>
      <c r="K88">
        <v>1.08</v>
      </c>
      <c r="O88">
        <f t="shared" si="31"/>
        <v>155.11000000000001</v>
      </c>
      <c r="P88">
        <f>ROUND(ROUND(CQ88*I88,0)/BC88,2)</f>
        <v>155.11000000000001</v>
      </c>
      <c r="Q88">
        <f t="shared" si="32"/>
        <v>0</v>
      </c>
      <c r="R88">
        <f t="shared" si="33"/>
        <v>0</v>
      </c>
      <c r="S88">
        <f t="shared" si="34"/>
        <v>0</v>
      </c>
      <c r="T88">
        <f t="shared" si="35"/>
        <v>0</v>
      </c>
      <c r="U88">
        <f t="shared" si="36"/>
        <v>0</v>
      </c>
      <c r="V88">
        <f t="shared" si="37"/>
        <v>0</v>
      </c>
      <c r="W88">
        <f t="shared" si="38"/>
        <v>0</v>
      </c>
      <c r="X88">
        <f t="shared" si="39"/>
        <v>0</v>
      </c>
      <c r="Y88">
        <f t="shared" si="40"/>
        <v>0</v>
      </c>
      <c r="AA88">
        <v>31028412</v>
      </c>
      <c r="AB88">
        <f t="shared" si="41"/>
        <v>886.25</v>
      </c>
      <c r="AC88">
        <f t="shared" si="42"/>
        <v>886.25</v>
      </c>
      <c r="AD88">
        <f>ROUND((((ET88)-(EU88))+AE88),6)</f>
        <v>0</v>
      </c>
      <c r="AE88">
        <f t="shared" si="74"/>
        <v>0</v>
      </c>
      <c r="AF88">
        <f t="shared" si="74"/>
        <v>0</v>
      </c>
      <c r="AG88">
        <f t="shared" si="43"/>
        <v>0</v>
      </c>
      <c r="AH88">
        <f t="shared" si="75"/>
        <v>0</v>
      </c>
      <c r="AI88">
        <f t="shared" si="75"/>
        <v>0</v>
      </c>
      <c r="AJ88">
        <f t="shared" si="44"/>
        <v>0</v>
      </c>
      <c r="AK88">
        <v>886.25</v>
      </c>
      <c r="AL88">
        <v>886.25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1</v>
      </c>
      <c r="AW88">
        <v>1</v>
      </c>
      <c r="AZ88">
        <v>1</v>
      </c>
      <c r="BA88">
        <v>1</v>
      </c>
      <c r="BB88">
        <v>1</v>
      </c>
      <c r="BC88">
        <v>6.17</v>
      </c>
      <c r="BD88" t="s">
        <v>6</v>
      </c>
      <c r="BE88" t="s">
        <v>6</v>
      </c>
      <c r="BF88" t="s">
        <v>6</v>
      </c>
      <c r="BG88" t="s">
        <v>6</v>
      </c>
      <c r="BH88">
        <v>3</v>
      </c>
      <c r="BI88">
        <v>1</v>
      </c>
      <c r="BJ88" t="s">
        <v>6</v>
      </c>
      <c r="BM88">
        <v>1100</v>
      </c>
      <c r="BN88">
        <v>0</v>
      </c>
      <c r="BO88" t="s">
        <v>111</v>
      </c>
      <c r="BP88">
        <v>1</v>
      </c>
      <c r="BQ88">
        <v>8</v>
      </c>
      <c r="BR88">
        <v>0</v>
      </c>
      <c r="BS88">
        <v>1</v>
      </c>
      <c r="BT88">
        <v>1</v>
      </c>
      <c r="BU88">
        <v>1</v>
      </c>
      <c r="BV88">
        <v>1</v>
      </c>
      <c r="BW88">
        <v>1</v>
      </c>
      <c r="BX88">
        <v>1</v>
      </c>
      <c r="BY88" t="s">
        <v>6</v>
      </c>
      <c r="BZ88">
        <v>0</v>
      </c>
      <c r="CA88">
        <v>0</v>
      </c>
      <c r="CB88" t="s">
        <v>6</v>
      </c>
      <c r="CE88">
        <v>0</v>
      </c>
      <c r="CF88">
        <v>0</v>
      </c>
      <c r="CG88">
        <v>0</v>
      </c>
      <c r="CM88">
        <v>0</v>
      </c>
      <c r="CN88" t="s">
        <v>6</v>
      </c>
      <c r="CO88">
        <v>0</v>
      </c>
      <c r="CP88">
        <f t="shared" si="45"/>
        <v>155.11000000000001</v>
      </c>
      <c r="CQ88">
        <f>AC88</f>
        <v>886.25</v>
      </c>
      <c r="CR88">
        <f t="shared" si="46"/>
        <v>0</v>
      </c>
      <c r="CS88">
        <f t="shared" si="47"/>
        <v>0</v>
      </c>
      <c r="CT88">
        <f t="shared" si="48"/>
        <v>0</v>
      </c>
      <c r="CU88">
        <f t="shared" si="49"/>
        <v>0</v>
      </c>
      <c r="CV88">
        <f t="shared" si="50"/>
        <v>0</v>
      </c>
      <c r="CW88">
        <f t="shared" si="51"/>
        <v>0</v>
      </c>
      <c r="CX88">
        <f t="shared" si="52"/>
        <v>0</v>
      </c>
      <c r="CY88">
        <f t="shared" si="53"/>
        <v>0</v>
      </c>
      <c r="CZ88">
        <f t="shared" si="54"/>
        <v>0</v>
      </c>
      <c r="DC88" t="s">
        <v>6</v>
      </c>
      <c r="DD88" t="s">
        <v>6</v>
      </c>
      <c r="DE88" t="s">
        <v>6</v>
      </c>
      <c r="DF88" t="s">
        <v>6</v>
      </c>
      <c r="DG88" t="s">
        <v>6</v>
      </c>
      <c r="DH88" t="s">
        <v>6</v>
      </c>
      <c r="DI88" t="s">
        <v>6</v>
      </c>
      <c r="DJ88" t="s">
        <v>6</v>
      </c>
      <c r="DK88" t="s">
        <v>6</v>
      </c>
      <c r="DL88" t="s">
        <v>6</v>
      </c>
      <c r="DM88" t="s">
        <v>6</v>
      </c>
      <c r="DN88">
        <v>0</v>
      </c>
      <c r="DO88">
        <v>0</v>
      </c>
      <c r="DP88">
        <v>1</v>
      </c>
      <c r="DQ88">
        <v>1</v>
      </c>
      <c r="DU88">
        <v>1002</v>
      </c>
      <c r="DV88" t="s">
        <v>142</v>
      </c>
      <c r="DW88" t="s">
        <v>142</v>
      </c>
      <c r="DX88">
        <v>1</v>
      </c>
      <c r="DZ88" t="s">
        <v>6</v>
      </c>
      <c r="EA88" t="s">
        <v>6</v>
      </c>
      <c r="EB88" t="s">
        <v>6</v>
      </c>
      <c r="EC88" t="s">
        <v>6</v>
      </c>
      <c r="EE88">
        <v>30853118</v>
      </c>
      <c r="EF88">
        <v>8</v>
      </c>
      <c r="EG88" t="s">
        <v>112</v>
      </c>
      <c r="EH88">
        <v>0</v>
      </c>
      <c r="EI88" t="s">
        <v>6</v>
      </c>
      <c r="EJ88">
        <v>1</v>
      </c>
      <c r="EK88">
        <v>1100</v>
      </c>
      <c r="EL88" t="s">
        <v>119</v>
      </c>
      <c r="EM88" t="s">
        <v>120</v>
      </c>
      <c r="EO88" t="s">
        <v>6</v>
      </c>
      <c r="EQ88">
        <v>0</v>
      </c>
      <c r="ER88">
        <v>886.25</v>
      </c>
      <c r="ES88">
        <v>886.25</v>
      </c>
      <c r="ET88">
        <v>0</v>
      </c>
      <c r="EU88">
        <v>0</v>
      </c>
      <c r="EV88">
        <v>0</v>
      </c>
      <c r="EW88">
        <v>0</v>
      </c>
      <c r="EX88">
        <v>0</v>
      </c>
      <c r="EY88">
        <v>0</v>
      </c>
      <c r="EZ88">
        <v>5</v>
      </c>
      <c r="FC88">
        <v>0</v>
      </c>
      <c r="FD88">
        <v>18</v>
      </c>
      <c r="FF88">
        <v>886.25</v>
      </c>
      <c r="FQ88">
        <v>0</v>
      </c>
      <c r="FR88">
        <f t="shared" si="55"/>
        <v>0</v>
      </c>
      <c r="FS88">
        <v>0</v>
      </c>
      <c r="FX88">
        <v>0</v>
      </c>
      <c r="FY88">
        <v>0</v>
      </c>
      <c r="GA88" t="s">
        <v>6</v>
      </c>
      <c r="GD88">
        <v>1</v>
      </c>
      <c r="GF88">
        <v>-1448158421</v>
      </c>
      <c r="GG88">
        <v>2</v>
      </c>
      <c r="GH88">
        <v>3</v>
      </c>
      <c r="GI88">
        <v>4</v>
      </c>
      <c r="GJ88">
        <v>0</v>
      </c>
      <c r="GK88">
        <v>0</v>
      </c>
      <c r="GL88">
        <f t="shared" si="56"/>
        <v>0</v>
      </c>
      <c r="GM88">
        <f t="shared" si="57"/>
        <v>155.11000000000001</v>
      </c>
      <c r="GN88">
        <f t="shared" si="58"/>
        <v>155.11000000000001</v>
      </c>
      <c r="GO88">
        <f t="shared" si="59"/>
        <v>0</v>
      </c>
      <c r="GP88">
        <f t="shared" si="60"/>
        <v>0</v>
      </c>
      <c r="GR88">
        <v>1</v>
      </c>
      <c r="GS88">
        <v>1</v>
      </c>
      <c r="GT88">
        <v>0</v>
      </c>
      <c r="GU88" t="s">
        <v>6</v>
      </c>
      <c r="GV88">
        <f t="shared" si="61"/>
        <v>0</v>
      </c>
      <c r="GW88">
        <v>1</v>
      </c>
      <c r="GX88">
        <f t="shared" si="62"/>
        <v>0</v>
      </c>
      <c r="HA88">
        <v>0</v>
      </c>
      <c r="HB88">
        <v>0</v>
      </c>
      <c r="HC88">
        <f t="shared" si="63"/>
        <v>0</v>
      </c>
      <c r="HE88" t="s">
        <v>6</v>
      </c>
      <c r="HF88" t="s">
        <v>6</v>
      </c>
      <c r="HG88">
        <f>ROUND(AC88*I88,0)</f>
        <v>957</v>
      </c>
      <c r="HI88">
        <f t="shared" si="64"/>
        <v>0</v>
      </c>
      <c r="HJ88">
        <f t="shared" si="65"/>
        <v>0</v>
      </c>
      <c r="HK88">
        <f t="shared" si="66"/>
        <v>0</v>
      </c>
      <c r="HL88">
        <f t="shared" si="67"/>
        <v>0</v>
      </c>
      <c r="HM88" t="s">
        <v>6</v>
      </c>
      <c r="HN88" t="s">
        <v>6</v>
      </c>
      <c r="HO88" t="s">
        <v>6</v>
      </c>
      <c r="HP88" t="s">
        <v>6</v>
      </c>
      <c r="HQ88" t="s">
        <v>6</v>
      </c>
      <c r="IK88">
        <v>0</v>
      </c>
    </row>
    <row r="89" spans="1:245">
      <c r="A89">
        <v>17</v>
      </c>
      <c r="B89">
        <v>1</v>
      </c>
      <c r="E89" t="s">
        <v>183</v>
      </c>
      <c r="F89" t="s">
        <v>184</v>
      </c>
      <c r="G89" t="s">
        <v>144</v>
      </c>
      <c r="H89" t="s">
        <v>142</v>
      </c>
      <c r="I89">
        <v>0.81</v>
      </c>
      <c r="J89">
        <v>0</v>
      </c>
      <c r="K89">
        <v>0.81</v>
      </c>
      <c r="O89">
        <f t="shared" si="31"/>
        <v>95.14</v>
      </c>
      <c r="P89">
        <f>ROUND(ROUND(CQ89*I89,0)/BC89,2)</f>
        <v>95.14</v>
      </c>
      <c r="Q89">
        <f t="shared" si="32"/>
        <v>0</v>
      </c>
      <c r="R89">
        <f t="shared" si="33"/>
        <v>0</v>
      </c>
      <c r="S89">
        <f t="shared" si="34"/>
        <v>0</v>
      </c>
      <c r="T89">
        <f t="shared" si="35"/>
        <v>0</v>
      </c>
      <c r="U89">
        <f t="shared" si="36"/>
        <v>0</v>
      </c>
      <c r="V89">
        <f t="shared" si="37"/>
        <v>0</v>
      </c>
      <c r="W89">
        <f t="shared" si="38"/>
        <v>0</v>
      </c>
      <c r="X89">
        <f t="shared" si="39"/>
        <v>0</v>
      </c>
      <c r="Y89">
        <f t="shared" si="40"/>
        <v>0</v>
      </c>
      <c r="AA89">
        <v>31028412</v>
      </c>
      <c r="AB89">
        <f t="shared" si="41"/>
        <v>724.17</v>
      </c>
      <c r="AC89">
        <f t="shared" si="42"/>
        <v>724.17</v>
      </c>
      <c r="AD89">
        <f>ROUND((((ET89)-(EU89))+AE89),6)</f>
        <v>0</v>
      </c>
      <c r="AE89">
        <f t="shared" si="74"/>
        <v>0</v>
      </c>
      <c r="AF89">
        <f t="shared" si="74"/>
        <v>0</v>
      </c>
      <c r="AG89">
        <f t="shared" si="43"/>
        <v>0</v>
      </c>
      <c r="AH89">
        <f t="shared" si="75"/>
        <v>0</v>
      </c>
      <c r="AI89">
        <f t="shared" si="75"/>
        <v>0</v>
      </c>
      <c r="AJ89">
        <f t="shared" si="44"/>
        <v>0</v>
      </c>
      <c r="AK89">
        <v>724.17</v>
      </c>
      <c r="AL89">
        <v>724.17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1</v>
      </c>
      <c r="AW89">
        <v>1</v>
      </c>
      <c r="AZ89">
        <v>1</v>
      </c>
      <c r="BA89">
        <v>1</v>
      </c>
      <c r="BB89">
        <v>1</v>
      </c>
      <c r="BC89">
        <v>6.17</v>
      </c>
      <c r="BD89" t="s">
        <v>6</v>
      </c>
      <c r="BE89" t="s">
        <v>6</v>
      </c>
      <c r="BF89" t="s">
        <v>6</v>
      </c>
      <c r="BG89" t="s">
        <v>6</v>
      </c>
      <c r="BH89">
        <v>3</v>
      </c>
      <c r="BI89">
        <v>1</v>
      </c>
      <c r="BJ89" t="s">
        <v>6</v>
      </c>
      <c r="BM89">
        <v>1100</v>
      </c>
      <c r="BN89">
        <v>0</v>
      </c>
      <c r="BO89" t="s">
        <v>111</v>
      </c>
      <c r="BP89">
        <v>1</v>
      </c>
      <c r="BQ89">
        <v>8</v>
      </c>
      <c r="BR89">
        <v>0</v>
      </c>
      <c r="BS89">
        <v>1</v>
      </c>
      <c r="BT89">
        <v>1</v>
      </c>
      <c r="BU89">
        <v>1</v>
      </c>
      <c r="BV89">
        <v>1</v>
      </c>
      <c r="BW89">
        <v>1</v>
      </c>
      <c r="BX89">
        <v>1</v>
      </c>
      <c r="BY89" t="s">
        <v>6</v>
      </c>
      <c r="BZ89">
        <v>0</v>
      </c>
      <c r="CA89">
        <v>0</v>
      </c>
      <c r="CB89" t="s">
        <v>6</v>
      </c>
      <c r="CE89">
        <v>0</v>
      </c>
      <c r="CF89">
        <v>0</v>
      </c>
      <c r="CG89">
        <v>0</v>
      </c>
      <c r="CM89">
        <v>0</v>
      </c>
      <c r="CN89" t="s">
        <v>6</v>
      </c>
      <c r="CO89">
        <v>0</v>
      </c>
      <c r="CP89">
        <f t="shared" si="45"/>
        <v>95.14</v>
      </c>
      <c r="CQ89">
        <f>AC89</f>
        <v>724.17</v>
      </c>
      <c r="CR89">
        <f t="shared" si="46"/>
        <v>0</v>
      </c>
      <c r="CS89">
        <f t="shared" si="47"/>
        <v>0</v>
      </c>
      <c r="CT89">
        <f t="shared" si="48"/>
        <v>0</v>
      </c>
      <c r="CU89">
        <f t="shared" si="49"/>
        <v>0</v>
      </c>
      <c r="CV89">
        <f t="shared" si="50"/>
        <v>0</v>
      </c>
      <c r="CW89">
        <f t="shared" si="51"/>
        <v>0</v>
      </c>
      <c r="CX89">
        <f t="shared" si="52"/>
        <v>0</v>
      </c>
      <c r="CY89">
        <f t="shared" si="53"/>
        <v>0</v>
      </c>
      <c r="CZ89">
        <f t="shared" si="54"/>
        <v>0</v>
      </c>
      <c r="DC89" t="s">
        <v>6</v>
      </c>
      <c r="DD89" t="s">
        <v>6</v>
      </c>
      <c r="DE89" t="s">
        <v>6</v>
      </c>
      <c r="DF89" t="s">
        <v>6</v>
      </c>
      <c r="DG89" t="s">
        <v>6</v>
      </c>
      <c r="DH89" t="s">
        <v>6</v>
      </c>
      <c r="DI89" t="s">
        <v>6</v>
      </c>
      <c r="DJ89" t="s">
        <v>6</v>
      </c>
      <c r="DK89" t="s">
        <v>6</v>
      </c>
      <c r="DL89" t="s">
        <v>6</v>
      </c>
      <c r="DM89" t="s">
        <v>6</v>
      </c>
      <c r="DN89">
        <v>0</v>
      </c>
      <c r="DO89">
        <v>0</v>
      </c>
      <c r="DP89">
        <v>1</v>
      </c>
      <c r="DQ89">
        <v>1</v>
      </c>
      <c r="DU89">
        <v>1002</v>
      </c>
      <c r="DV89" t="s">
        <v>142</v>
      </c>
      <c r="DW89" t="s">
        <v>142</v>
      </c>
      <c r="DX89">
        <v>1</v>
      </c>
      <c r="DZ89" t="s">
        <v>6</v>
      </c>
      <c r="EA89" t="s">
        <v>6</v>
      </c>
      <c r="EB89" t="s">
        <v>6</v>
      </c>
      <c r="EC89" t="s">
        <v>6</v>
      </c>
      <c r="EE89">
        <v>30853118</v>
      </c>
      <c r="EF89">
        <v>8</v>
      </c>
      <c r="EG89" t="s">
        <v>112</v>
      </c>
      <c r="EH89">
        <v>0</v>
      </c>
      <c r="EI89" t="s">
        <v>6</v>
      </c>
      <c r="EJ89">
        <v>1</v>
      </c>
      <c r="EK89">
        <v>1100</v>
      </c>
      <c r="EL89" t="s">
        <v>119</v>
      </c>
      <c r="EM89" t="s">
        <v>120</v>
      </c>
      <c r="EO89" t="s">
        <v>6</v>
      </c>
      <c r="EQ89">
        <v>0</v>
      </c>
      <c r="ER89">
        <v>724.17</v>
      </c>
      <c r="ES89">
        <v>724.17</v>
      </c>
      <c r="ET89">
        <v>0</v>
      </c>
      <c r="EU89">
        <v>0</v>
      </c>
      <c r="EV89">
        <v>0</v>
      </c>
      <c r="EW89">
        <v>0</v>
      </c>
      <c r="EX89">
        <v>0</v>
      </c>
      <c r="EY89">
        <v>0</v>
      </c>
      <c r="EZ89">
        <v>5</v>
      </c>
      <c r="FC89">
        <v>0</v>
      </c>
      <c r="FD89">
        <v>18</v>
      </c>
      <c r="FF89">
        <v>724.17</v>
      </c>
      <c r="FQ89">
        <v>0</v>
      </c>
      <c r="FR89">
        <f t="shared" si="55"/>
        <v>0</v>
      </c>
      <c r="FS89">
        <v>0</v>
      </c>
      <c r="FX89">
        <v>0</v>
      </c>
      <c r="FY89">
        <v>0</v>
      </c>
      <c r="GA89" t="s">
        <v>6</v>
      </c>
      <c r="GD89">
        <v>1</v>
      </c>
      <c r="GF89">
        <v>1975989279</v>
      </c>
      <c r="GG89">
        <v>2</v>
      </c>
      <c r="GH89">
        <v>3</v>
      </c>
      <c r="GI89">
        <v>4</v>
      </c>
      <c r="GJ89">
        <v>0</v>
      </c>
      <c r="GK89">
        <v>0</v>
      </c>
      <c r="GL89">
        <f t="shared" si="56"/>
        <v>0</v>
      </c>
      <c r="GM89">
        <f t="shared" si="57"/>
        <v>95.14</v>
      </c>
      <c r="GN89">
        <f t="shared" si="58"/>
        <v>95.14</v>
      </c>
      <c r="GO89">
        <f t="shared" si="59"/>
        <v>0</v>
      </c>
      <c r="GP89">
        <f t="shared" si="60"/>
        <v>0</v>
      </c>
      <c r="GR89">
        <v>1</v>
      </c>
      <c r="GS89">
        <v>1</v>
      </c>
      <c r="GT89">
        <v>0</v>
      </c>
      <c r="GU89" t="s">
        <v>6</v>
      </c>
      <c r="GV89">
        <f t="shared" si="61"/>
        <v>0</v>
      </c>
      <c r="GW89">
        <v>1</v>
      </c>
      <c r="GX89">
        <f t="shared" si="62"/>
        <v>0</v>
      </c>
      <c r="HA89">
        <v>0</v>
      </c>
      <c r="HB89">
        <v>0</v>
      </c>
      <c r="HC89">
        <f t="shared" si="63"/>
        <v>0</v>
      </c>
      <c r="HE89" t="s">
        <v>6</v>
      </c>
      <c r="HF89" t="s">
        <v>6</v>
      </c>
      <c r="HG89">
        <f>ROUND(AC89*I89,0)</f>
        <v>587</v>
      </c>
      <c r="HI89">
        <f t="shared" si="64"/>
        <v>0</v>
      </c>
      <c r="HJ89">
        <f t="shared" si="65"/>
        <v>0</v>
      </c>
      <c r="HK89">
        <f t="shared" si="66"/>
        <v>0</v>
      </c>
      <c r="HL89">
        <f t="shared" si="67"/>
        <v>0</v>
      </c>
      <c r="HM89" t="s">
        <v>6</v>
      </c>
      <c r="HN89" t="s">
        <v>6</v>
      </c>
      <c r="HO89" t="s">
        <v>6</v>
      </c>
      <c r="HP89" t="s">
        <v>6</v>
      </c>
      <c r="HQ89" t="s">
        <v>6</v>
      </c>
      <c r="IK89">
        <v>0</v>
      </c>
    </row>
    <row r="90" spans="1:245">
      <c r="A90">
        <v>17</v>
      </c>
      <c r="B90">
        <v>1</v>
      </c>
      <c r="C90">
        <f>ROW(SmtRes!A53)</f>
        <v>53</v>
      </c>
      <c r="D90">
        <f>ROW(EtalonRes!A61)</f>
        <v>61</v>
      </c>
      <c r="E90" t="s">
        <v>185</v>
      </c>
      <c r="F90" t="s">
        <v>186</v>
      </c>
      <c r="G90" t="s">
        <v>187</v>
      </c>
      <c r="H90" t="s">
        <v>188</v>
      </c>
      <c r="I90">
        <f>ROUND(2.43/100,7)</f>
        <v>2.4299999999999999E-2</v>
      </c>
      <c r="J90">
        <v>0</v>
      </c>
      <c r="K90">
        <f>ROUND(2.43/100,7)</f>
        <v>2.4299999999999999E-2</v>
      </c>
      <c r="O90">
        <f t="shared" si="31"/>
        <v>265.27</v>
      </c>
      <c r="P90">
        <f>ROUND(CQ90*I90,2)</f>
        <v>234.63</v>
      </c>
      <c r="Q90">
        <f t="shared" si="32"/>
        <v>0.82</v>
      </c>
      <c r="R90">
        <f t="shared" si="33"/>
        <v>0.09</v>
      </c>
      <c r="S90">
        <f t="shared" si="34"/>
        <v>29.82</v>
      </c>
      <c r="T90">
        <f t="shared" si="35"/>
        <v>0</v>
      </c>
      <c r="U90">
        <f t="shared" si="36"/>
        <v>3.6234185624999999</v>
      </c>
      <c r="V90">
        <f t="shared" si="37"/>
        <v>6.9862500000000003E-3</v>
      </c>
      <c r="W90">
        <f t="shared" si="38"/>
        <v>0</v>
      </c>
      <c r="X90">
        <f t="shared" si="39"/>
        <v>29.34</v>
      </c>
      <c r="Y90">
        <f t="shared" si="40"/>
        <v>14.49</v>
      </c>
      <c r="AA90">
        <v>31028412</v>
      </c>
      <c r="AB90">
        <f t="shared" si="41"/>
        <v>10916.812425</v>
      </c>
      <c r="AC90">
        <f t="shared" si="42"/>
        <v>9655.7000000000007</v>
      </c>
      <c r="AD90">
        <f>ROUND(((((ET90*ROUND((1.25*1.15),7)))-((EU90*ROUND((1.25*1.15),7))))+AE90),6)</f>
        <v>33.924999999999997</v>
      </c>
      <c r="AE90">
        <f>ROUND(((EU90*ROUND((1.25*1.15),7))),6)</f>
        <v>3.7518750000000001</v>
      </c>
      <c r="AF90">
        <f>ROUND(((EV90*ROUND((1.15*1.15),7))),6)</f>
        <v>1227.1874250000001</v>
      </c>
      <c r="AG90">
        <f t="shared" si="43"/>
        <v>0</v>
      </c>
      <c r="AH90">
        <f>((EW90*ROUND((1.15*1.15),7)))</f>
        <v>149.111875</v>
      </c>
      <c r="AI90">
        <f>((EX90*ROUND((1.25*1.15),7)))</f>
        <v>0.28750000000000003</v>
      </c>
      <c r="AJ90">
        <f t="shared" si="44"/>
        <v>0</v>
      </c>
      <c r="AK90">
        <v>10607.23</v>
      </c>
      <c r="AL90">
        <v>9655.7000000000007</v>
      </c>
      <c r="AM90">
        <v>23.6</v>
      </c>
      <c r="AN90">
        <v>2.61</v>
      </c>
      <c r="AO90">
        <v>927.93</v>
      </c>
      <c r="AP90">
        <v>0</v>
      </c>
      <c r="AQ90">
        <v>112.75</v>
      </c>
      <c r="AR90">
        <v>0.2</v>
      </c>
      <c r="AS90">
        <v>0</v>
      </c>
      <c r="AT90">
        <v>98.1</v>
      </c>
      <c r="AU90">
        <v>48.45</v>
      </c>
      <c r="AV90">
        <v>1</v>
      </c>
      <c r="AW90">
        <v>1</v>
      </c>
      <c r="AZ90">
        <v>1</v>
      </c>
      <c r="BA90">
        <v>24.22</v>
      </c>
      <c r="BB90">
        <v>1</v>
      </c>
      <c r="BC90">
        <v>1</v>
      </c>
      <c r="BD90" t="s">
        <v>6</v>
      </c>
      <c r="BE90" t="s">
        <v>6</v>
      </c>
      <c r="BF90" t="s">
        <v>6</v>
      </c>
      <c r="BG90" t="s">
        <v>6</v>
      </c>
      <c r="BH90">
        <v>0</v>
      </c>
      <c r="BI90">
        <v>1</v>
      </c>
      <c r="BJ90" t="s">
        <v>189</v>
      </c>
      <c r="BM90">
        <v>12001</v>
      </c>
      <c r="BN90">
        <v>0</v>
      </c>
      <c r="BO90" t="s">
        <v>1327</v>
      </c>
      <c r="BP90">
        <v>1</v>
      </c>
      <c r="BQ90">
        <v>2</v>
      </c>
      <c r="BR90">
        <v>0</v>
      </c>
      <c r="BS90">
        <v>24.22</v>
      </c>
      <c r="BT90">
        <v>1</v>
      </c>
      <c r="BU90">
        <v>1</v>
      </c>
      <c r="BV90">
        <v>1</v>
      </c>
      <c r="BW90">
        <v>1</v>
      </c>
      <c r="BX90">
        <v>1</v>
      </c>
      <c r="BY90" t="s">
        <v>6</v>
      </c>
      <c r="BZ90">
        <v>109</v>
      </c>
      <c r="CA90">
        <v>57</v>
      </c>
      <c r="CB90" t="s">
        <v>6</v>
      </c>
      <c r="CE90">
        <v>0</v>
      </c>
      <c r="CF90">
        <v>0</v>
      </c>
      <c r="CG90">
        <v>0</v>
      </c>
      <c r="CM90">
        <v>0</v>
      </c>
      <c r="CN90" t="s">
        <v>6</v>
      </c>
      <c r="CO90">
        <v>0</v>
      </c>
      <c r="CP90">
        <f t="shared" si="45"/>
        <v>265.27</v>
      </c>
      <c r="CQ90">
        <f>AC90*BC90</f>
        <v>9655.7000000000007</v>
      </c>
      <c r="CR90">
        <f t="shared" si="46"/>
        <v>33.924999999999997</v>
      </c>
      <c r="CS90">
        <f t="shared" si="47"/>
        <v>3.7518750000000001</v>
      </c>
      <c r="CT90">
        <f t="shared" si="48"/>
        <v>1227.1874250000001</v>
      </c>
      <c r="CU90">
        <f t="shared" si="49"/>
        <v>0</v>
      </c>
      <c r="CV90">
        <f t="shared" si="50"/>
        <v>149.111875</v>
      </c>
      <c r="CW90">
        <f t="shared" si="51"/>
        <v>0.28750000000000003</v>
      </c>
      <c r="CX90">
        <f t="shared" si="52"/>
        <v>0</v>
      </c>
      <c r="CY90">
        <f t="shared" si="53"/>
        <v>29.341709999999999</v>
      </c>
      <c r="CZ90">
        <f t="shared" si="54"/>
        <v>14.491395000000001</v>
      </c>
      <c r="DC90" t="s">
        <v>6</v>
      </c>
      <c r="DD90" t="s">
        <v>6</v>
      </c>
      <c r="DE90" t="s">
        <v>126</v>
      </c>
      <c r="DF90" t="s">
        <v>126</v>
      </c>
      <c r="DG90" t="s">
        <v>127</v>
      </c>
      <c r="DH90" t="s">
        <v>6</v>
      </c>
      <c r="DI90" t="s">
        <v>127</v>
      </c>
      <c r="DJ90" t="s">
        <v>126</v>
      </c>
      <c r="DK90" t="s">
        <v>6</v>
      </c>
      <c r="DL90" t="s">
        <v>6</v>
      </c>
      <c r="DM90" t="s">
        <v>6</v>
      </c>
      <c r="DN90">
        <v>0</v>
      </c>
      <c r="DO90">
        <v>0</v>
      </c>
      <c r="DP90">
        <v>1</v>
      </c>
      <c r="DQ90">
        <v>1</v>
      </c>
      <c r="DU90">
        <v>1013</v>
      </c>
      <c r="DV90" t="s">
        <v>188</v>
      </c>
      <c r="DW90" t="s">
        <v>188</v>
      </c>
      <c r="DX90">
        <v>1</v>
      </c>
      <c r="DZ90" t="s">
        <v>6</v>
      </c>
      <c r="EA90" t="s">
        <v>6</v>
      </c>
      <c r="EB90" t="s">
        <v>6</v>
      </c>
      <c r="EC90" t="s">
        <v>6</v>
      </c>
      <c r="EE90">
        <v>30852909</v>
      </c>
      <c r="EF90">
        <v>2</v>
      </c>
      <c r="EG90" t="s">
        <v>26</v>
      </c>
      <c r="EH90">
        <v>0</v>
      </c>
      <c r="EI90" t="s">
        <v>6</v>
      </c>
      <c r="EJ90">
        <v>1</v>
      </c>
      <c r="EK90">
        <v>12001</v>
      </c>
      <c r="EL90" t="s">
        <v>190</v>
      </c>
      <c r="EM90" t="s">
        <v>191</v>
      </c>
      <c r="EO90" t="s">
        <v>6</v>
      </c>
      <c r="EQ90">
        <v>131072</v>
      </c>
      <c r="ER90">
        <v>10607.23</v>
      </c>
      <c r="ES90">
        <v>9655.7000000000007</v>
      </c>
      <c r="ET90">
        <v>23.6</v>
      </c>
      <c r="EU90">
        <v>2.61</v>
      </c>
      <c r="EV90">
        <v>927.93</v>
      </c>
      <c r="EW90">
        <v>112.75</v>
      </c>
      <c r="EX90">
        <v>0.2</v>
      </c>
      <c r="EY90">
        <v>0</v>
      </c>
      <c r="FQ90">
        <v>0</v>
      </c>
      <c r="FR90">
        <f t="shared" si="55"/>
        <v>0</v>
      </c>
      <c r="FS90">
        <v>0</v>
      </c>
      <c r="FT90" t="s">
        <v>29</v>
      </c>
      <c r="FU90" t="s">
        <v>30</v>
      </c>
      <c r="FX90">
        <v>98.1</v>
      </c>
      <c r="FY90">
        <v>48.45</v>
      </c>
      <c r="GA90" t="s">
        <v>6</v>
      </c>
      <c r="GD90">
        <v>1</v>
      </c>
      <c r="GF90">
        <v>800854677</v>
      </c>
      <c r="GG90">
        <v>2</v>
      </c>
      <c r="GH90">
        <v>1</v>
      </c>
      <c r="GI90">
        <v>4</v>
      </c>
      <c r="GJ90">
        <v>0</v>
      </c>
      <c r="GK90">
        <v>0</v>
      </c>
      <c r="GL90">
        <f t="shared" si="56"/>
        <v>0</v>
      </c>
      <c r="GM90">
        <f t="shared" si="57"/>
        <v>309.10000000000002</v>
      </c>
      <c r="GN90">
        <f t="shared" si="58"/>
        <v>309.10000000000002</v>
      </c>
      <c r="GO90">
        <f t="shared" si="59"/>
        <v>0</v>
      </c>
      <c r="GP90">
        <f t="shared" si="60"/>
        <v>0</v>
      </c>
      <c r="GR90">
        <v>0</v>
      </c>
      <c r="GS90">
        <v>0</v>
      </c>
      <c r="GT90">
        <v>0</v>
      </c>
      <c r="GU90" t="s">
        <v>6</v>
      </c>
      <c r="GV90">
        <f t="shared" si="61"/>
        <v>0</v>
      </c>
      <c r="GW90">
        <v>1</v>
      </c>
      <c r="GX90">
        <f t="shared" si="62"/>
        <v>0</v>
      </c>
      <c r="HA90">
        <v>0</v>
      </c>
      <c r="HB90">
        <v>0</v>
      </c>
      <c r="HC90">
        <f t="shared" si="63"/>
        <v>0</v>
      </c>
      <c r="HE90" t="s">
        <v>6</v>
      </c>
      <c r="HF90" t="s">
        <v>6</v>
      </c>
      <c r="HI90">
        <f t="shared" si="64"/>
        <v>2</v>
      </c>
      <c r="HJ90">
        <f t="shared" si="65"/>
        <v>722</v>
      </c>
      <c r="HK90">
        <f t="shared" si="66"/>
        <v>710</v>
      </c>
      <c r="HL90">
        <f t="shared" si="67"/>
        <v>351</v>
      </c>
      <c r="HM90" t="s">
        <v>6</v>
      </c>
      <c r="HN90" t="s">
        <v>6</v>
      </c>
      <c r="HO90" t="s">
        <v>6</v>
      </c>
      <c r="HP90" t="s">
        <v>6</v>
      </c>
      <c r="HQ90" t="s">
        <v>6</v>
      </c>
      <c r="IK90">
        <v>0</v>
      </c>
    </row>
    <row r="91" spans="1:245">
      <c r="A91">
        <v>17</v>
      </c>
      <c r="B91">
        <v>1</v>
      </c>
      <c r="C91">
        <f>ROW(SmtRes!A59)</f>
        <v>59</v>
      </c>
      <c r="D91">
        <f>ROW(EtalonRes!A68)</f>
        <v>68</v>
      </c>
      <c r="E91" t="s">
        <v>192</v>
      </c>
      <c r="F91" t="s">
        <v>193</v>
      </c>
      <c r="G91" t="s">
        <v>194</v>
      </c>
      <c r="H91" t="s">
        <v>124</v>
      </c>
      <c r="I91">
        <f>ROUND(26/100,7)</f>
        <v>0.26</v>
      </c>
      <c r="J91">
        <v>0</v>
      </c>
      <c r="K91">
        <f>ROUND(26/100,7)</f>
        <v>0.26</v>
      </c>
      <c r="O91">
        <f t="shared" si="31"/>
        <v>341.24</v>
      </c>
      <c r="P91">
        <f>ROUND(CQ91*I91,2)</f>
        <v>123.18</v>
      </c>
      <c r="Q91">
        <f t="shared" si="32"/>
        <v>169.02</v>
      </c>
      <c r="R91">
        <f t="shared" si="33"/>
        <v>0</v>
      </c>
      <c r="S91">
        <f t="shared" si="34"/>
        <v>49.04</v>
      </c>
      <c r="T91">
        <f t="shared" si="35"/>
        <v>0</v>
      </c>
      <c r="U91">
        <f t="shared" si="36"/>
        <v>5.4672150000000004</v>
      </c>
      <c r="V91">
        <f t="shared" si="37"/>
        <v>0</v>
      </c>
      <c r="W91">
        <f t="shared" si="38"/>
        <v>0</v>
      </c>
      <c r="X91">
        <f t="shared" si="39"/>
        <v>44.14</v>
      </c>
      <c r="Y91">
        <f t="shared" si="40"/>
        <v>20.43</v>
      </c>
      <c r="AA91">
        <v>31028412</v>
      </c>
      <c r="AB91">
        <f t="shared" si="41"/>
        <v>1312.4599499999999</v>
      </c>
      <c r="AC91">
        <f t="shared" si="42"/>
        <v>473.75</v>
      </c>
      <c r="AD91">
        <f>ROUND(((((ET91*ROUND((1.25*1.15),7)))-((EU91*ROUND((1.25*1.15),7))))+AE91),6)</f>
        <v>650.09500000000003</v>
      </c>
      <c r="AE91">
        <f>ROUND(((EU91*ROUND((1.25*1.15),7))),6)</f>
        <v>0</v>
      </c>
      <c r="AF91">
        <f>ROUND(((EV91*ROUND((1.15*1.15),7))),6)</f>
        <v>188.61494999999999</v>
      </c>
      <c r="AG91">
        <f t="shared" si="43"/>
        <v>0</v>
      </c>
      <c r="AH91">
        <f>((EW91*ROUND((1.15*1.15),7)))</f>
        <v>21.027750000000001</v>
      </c>
      <c r="AI91">
        <f>((EX91*ROUND((1.25*1.15),7)))</f>
        <v>0</v>
      </c>
      <c r="AJ91">
        <f t="shared" si="44"/>
        <v>0</v>
      </c>
      <c r="AK91">
        <v>1068.6099999999999</v>
      </c>
      <c r="AL91">
        <v>473.75</v>
      </c>
      <c r="AM91">
        <v>452.24</v>
      </c>
      <c r="AN91">
        <v>0</v>
      </c>
      <c r="AO91">
        <v>142.62</v>
      </c>
      <c r="AP91">
        <v>0</v>
      </c>
      <c r="AQ91">
        <v>15.9</v>
      </c>
      <c r="AR91">
        <v>0</v>
      </c>
      <c r="AS91">
        <v>0</v>
      </c>
      <c r="AT91">
        <v>90</v>
      </c>
      <c r="AU91">
        <v>41.65</v>
      </c>
      <c r="AV91">
        <v>1</v>
      </c>
      <c r="AW91">
        <v>1</v>
      </c>
      <c r="AZ91">
        <v>1</v>
      </c>
      <c r="BA91">
        <v>24.22</v>
      </c>
      <c r="BB91">
        <v>1</v>
      </c>
      <c r="BC91">
        <v>1</v>
      </c>
      <c r="BD91" t="s">
        <v>6</v>
      </c>
      <c r="BE91" t="s">
        <v>6</v>
      </c>
      <c r="BF91" t="s">
        <v>6</v>
      </c>
      <c r="BG91" t="s">
        <v>6</v>
      </c>
      <c r="BH91">
        <v>0</v>
      </c>
      <c r="BI91">
        <v>1</v>
      </c>
      <c r="BJ91" t="s">
        <v>195</v>
      </c>
      <c r="BM91">
        <v>15001</v>
      </c>
      <c r="BN91">
        <v>0</v>
      </c>
      <c r="BO91" t="s">
        <v>1327</v>
      </c>
      <c r="BP91">
        <v>1</v>
      </c>
      <c r="BQ91">
        <v>2</v>
      </c>
      <c r="BR91">
        <v>0</v>
      </c>
      <c r="BS91">
        <v>24.22</v>
      </c>
      <c r="BT91">
        <v>1</v>
      </c>
      <c r="BU91">
        <v>1</v>
      </c>
      <c r="BV91">
        <v>1</v>
      </c>
      <c r="BW91">
        <v>1</v>
      </c>
      <c r="BX91">
        <v>1</v>
      </c>
      <c r="BY91" t="s">
        <v>6</v>
      </c>
      <c r="BZ91">
        <v>100</v>
      </c>
      <c r="CA91">
        <v>49</v>
      </c>
      <c r="CB91" t="s">
        <v>6</v>
      </c>
      <c r="CE91">
        <v>0</v>
      </c>
      <c r="CF91">
        <v>0</v>
      </c>
      <c r="CG91">
        <v>0</v>
      </c>
      <c r="CM91">
        <v>0</v>
      </c>
      <c r="CN91" t="s">
        <v>6</v>
      </c>
      <c r="CO91">
        <v>0</v>
      </c>
      <c r="CP91">
        <f t="shared" si="45"/>
        <v>341.24000000000007</v>
      </c>
      <c r="CQ91">
        <f>AC91*BC91</f>
        <v>473.75</v>
      </c>
      <c r="CR91">
        <f t="shared" si="46"/>
        <v>650.09500000000003</v>
      </c>
      <c r="CS91">
        <f t="shared" si="47"/>
        <v>0</v>
      </c>
      <c r="CT91">
        <f t="shared" si="48"/>
        <v>188.61494999999999</v>
      </c>
      <c r="CU91">
        <f t="shared" si="49"/>
        <v>0</v>
      </c>
      <c r="CV91">
        <f t="shared" si="50"/>
        <v>21.027750000000001</v>
      </c>
      <c r="CW91">
        <f t="shared" si="51"/>
        <v>0</v>
      </c>
      <c r="CX91">
        <f t="shared" si="52"/>
        <v>0</v>
      </c>
      <c r="CY91">
        <f t="shared" si="53"/>
        <v>44.136000000000003</v>
      </c>
      <c r="CZ91">
        <f t="shared" si="54"/>
        <v>20.425159999999998</v>
      </c>
      <c r="DC91" t="s">
        <v>6</v>
      </c>
      <c r="DD91" t="s">
        <v>6</v>
      </c>
      <c r="DE91" t="s">
        <v>126</v>
      </c>
      <c r="DF91" t="s">
        <v>126</v>
      </c>
      <c r="DG91" t="s">
        <v>127</v>
      </c>
      <c r="DH91" t="s">
        <v>6</v>
      </c>
      <c r="DI91" t="s">
        <v>127</v>
      </c>
      <c r="DJ91" t="s">
        <v>126</v>
      </c>
      <c r="DK91" t="s">
        <v>6</v>
      </c>
      <c r="DL91" t="s">
        <v>6</v>
      </c>
      <c r="DM91" t="s">
        <v>6</v>
      </c>
      <c r="DN91">
        <v>0</v>
      </c>
      <c r="DO91">
        <v>0</v>
      </c>
      <c r="DP91">
        <v>1</v>
      </c>
      <c r="DQ91">
        <v>1</v>
      </c>
      <c r="DU91">
        <v>1005</v>
      </c>
      <c r="DV91" t="s">
        <v>124</v>
      </c>
      <c r="DW91" t="s">
        <v>124</v>
      </c>
      <c r="DX91">
        <v>100</v>
      </c>
      <c r="DZ91" t="s">
        <v>6</v>
      </c>
      <c r="EA91" t="s">
        <v>6</v>
      </c>
      <c r="EB91" t="s">
        <v>6</v>
      </c>
      <c r="EC91" t="s">
        <v>6</v>
      </c>
      <c r="EE91">
        <v>30852936</v>
      </c>
      <c r="EF91">
        <v>2</v>
      </c>
      <c r="EG91" t="s">
        <v>26</v>
      </c>
      <c r="EH91">
        <v>0</v>
      </c>
      <c r="EI91" t="s">
        <v>6</v>
      </c>
      <c r="EJ91">
        <v>1</v>
      </c>
      <c r="EK91">
        <v>15001</v>
      </c>
      <c r="EL91" t="s">
        <v>128</v>
      </c>
      <c r="EM91" t="s">
        <v>129</v>
      </c>
      <c r="EO91" t="s">
        <v>6</v>
      </c>
      <c r="EQ91">
        <v>0</v>
      </c>
      <c r="ER91">
        <v>1068.6099999999999</v>
      </c>
      <c r="ES91">
        <v>473.75</v>
      </c>
      <c r="ET91">
        <v>452.24</v>
      </c>
      <c r="EU91">
        <v>0</v>
      </c>
      <c r="EV91">
        <v>142.62</v>
      </c>
      <c r="EW91">
        <v>15.9</v>
      </c>
      <c r="EX91">
        <v>0</v>
      </c>
      <c r="EY91">
        <v>0</v>
      </c>
      <c r="FQ91">
        <v>0</v>
      </c>
      <c r="FR91">
        <f t="shared" si="55"/>
        <v>0</v>
      </c>
      <c r="FS91">
        <v>0</v>
      </c>
      <c r="FT91" t="s">
        <v>29</v>
      </c>
      <c r="FU91" t="s">
        <v>30</v>
      </c>
      <c r="FX91">
        <v>90</v>
      </c>
      <c r="FY91">
        <v>41.65</v>
      </c>
      <c r="GA91" t="s">
        <v>6</v>
      </c>
      <c r="GD91">
        <v>1</v>
      </c>
      <c r="GF91">
        <v>-280860624</v>
      </c>
      <c r="GG91">
        <v>2</v>
      </c>
      <c r="GH91">
        <v>1</v>
      </c>
      <c r="GI91">
        <v>4</v>
      </c>
      <c r="GJ91">
        <v>0</v>
      </c>
      <c r="GK91">
        <v>0</v>
      </c>
      <c r="GL91">
        <f t="shared" si="56"/>
        <v>0</v>
      </c>
      <c r="GM91">
        <f t="shared" si="57"/>
        <v>405.81</v>
      </c>
      <c r="GN91">
        <f t="shared" si="58"/>
        <v>405.81</v>
      </c>
      <c r="GO91">
        <f t="shared" si="59"/>
        <v>0</v>
      </c>
      <c r="GP91">
        <f t="shared" si="60"/>
        <v>0</v>
      </c>
      <c r="GR91">
        <v>0</v>
      </c>
      <c r="GS91">
        <v>3</v>
      </c>
      <c r="GT91">
        <v>0</v>
      </c>
      <c r="GU91" t="s">
        <v>6</v>
      </c>
      <c r="GV91">
        <f t="shared" si="61"/>
        <v>0</v>
      </c>
      <c r="GW91">
        <v>1</v>
      </c>
      <c r="GX91">
        <f t="shared" si="62"/>
        <v>0</v>
      </c>
      <c r="HA91">
        <v>0</v>
      </c>
      <c r="HB91">
        <v>0</v>
      </c>
      <c r="HC91">
        <f t="shared" si="63"/>
        <v>0</v>
      </c>
      <c r="HE91" t="s">
        <v>6</v>
      </c>
      <c r="HF91" t="s">
        <v>6</v>
      </c>
      <c r="HI91">
        <f t="shared" si="64"/>
        <v>0</v>
      </c>
      <c r="HJ91">
        <f t="shared" si="65"/>
        <v>1188</v>
      </c>
      <c r="HK91">
        <f t="shared" si="66"/>
        <v>1069</v>
      </c>
      <c r="HL91">
        <f t="shared" si="67"/>
        <v>495</v>
      </c>
      <c r="HM91" t="s">
        <v>6</v>
      </c>
      <c r="HN91" t="s">
        <v>6</v>
      </c>
      <c r="HO91" t="s">
        <v>6</v>
      </c>
      <c r="HP91" t="s">
        <v>6</v>
      </c>
      <c r="HQ91" t="s">
        <v>6</v>
      </c>
      <c r="IK91">
        <v>0</v>
      </c>
    </row>
    <row r="92" spans="1:245">
      <c r="A92">
        <v>17</v>
      </c>
      <c r="B92">
        <v>1</v>
      </c>
      <c r="E92" t="s">
        <v>196</v>
      </c>
      <c r="F92" t="s">
        <v>107</v>
      </c>
      <c r="G92" t="s">
        <v>108</v>
      </c>
      <c r="H92" t="s">
        <v>109</v>
      </c>
      <c r="I92">
        <f>ROUND(I91*-0.06,7)</f>
        <v>-1.5599999999999999E-2</v>
      </c>
      <c r="J92">
        <v>0</v>
      </c>
      <c r="K92">
        <f>ROUND(I91*-0.06,7)</f>
        <v>-1.5599999999999999E-2</v>
      </c>
      <c r="O92">
        <f t="shared" si="31"/>
        <v>-8.89</v>
      </c>
      <c r="P92">
        <f>ROUND(CQ92*I92,2)</f>
        <v>-8.89</v>
      </c>
      <c r="Q92">
        <f t="shared" si="32"/>
        <v>0</v>
      </c>
      <c r="R92">
        <f t="shared" si="33"/>
        <v>0</v>
      </c>
      <c r="S92">
        <f t="shared" si="34"/>
        <v>0</v>
      </c>
      <c r="T92">
        <f t="shared" si="35"/>
        <v>0</v>
      </c>
      <c r="U92">
        <f t="shared" si="36"/>
        <v>0</v>
      </c>
      <c r="V92">
        <f t="shared" si="37"/>
        <v>0</v>
      </c>
      <c r="W92">
        <f t="shared" si="38"/>
        <v>0</v>
      </c>
      <c r="X92">
        <f t="shared" si="39"/>
        <v>0</v>
      </c>
      <c r="Y92">
        <f t="shared" si="40"/>
        <v>0</v>
      </c>
      <c r="AA92">
        <v>31028412</v>
      </c>
      <c r="AB92">
        <f t="shared" si="41"/>
        <v>570.03</v>
      </c>
      <c r="AC92">
        <f t="shared" si="42"/>
        <v>570.03</v>
      </c>
      <c r="AD92">
        <f>ROUND((((ET92)-(EU92))+AE92),6)</f>
        <v>0</v>
      </c>
      <c r="AE92">
        <f>ROUND((EU92),6)</f>
        <v>0</v>
      </c>
      <c r="AF92">
        <f>ROUND((EV92),6)</f>
        <v>0</v>
      </c>
      <c r="AG92">
        <f t="shared" si="43"/>
        <v>0</v>
      </c>
      <c r="AH92">
        <f>(EW92)</f>
        <v>0</v>
      </c>
      <c r="AI92">
        <f>(EX92)</f>
        <v>0</v>
      </c>
      <c r="AJ92">
        <f t="shared" si="44"/>
        <v>0</v>
      </c>
      <c r="AK92">
        <v>570.03</v>
      </c>
      <c r="AL92">
        <v>570.03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1</v>
      </c>
      <c r="AW92">
        <v>1</v>
      </c>
      <c r="AZ92">
        <v>1</v>
      </c>
      <c r="BA92">
        <v>1</v>
      </c>
      <c r="BB92">
        <v>1</v>
      </c>
      <c r="BC92">
        <v>1</v>
      </c>
      <c r="BD92" t="s">
        <v>6</v>
      </c>
      <c r="BE92" t="s">
        <v>6</v>
      </c>
      <c r="BF92" t="s">
        <v>6</v>
      </c>
      <c r="BG92" t="s">
        <v>6</v>
      </c>
      <c r="BH92">
        <v>3</v>
      </c>
      <c r="BI92">
        <v>1</v>
      </c>
      <c r="BJ92" t="s">
        <v>110</v>
      </c>
      <c r="BM92">
        <v>500001</v>
      </c>
      <c r="BN92">
        <v>0</v>
      </c>
      <c r="BO92" t="s">
        <v>111</v>
      </c>
      <c r="BP92">
        <v>1</v>
      </c>
      <c r="BQ92">
        <v>8</v>
      </c>
      <c r="BR92">
        <v>1</v>
      </c>
      <c r="BS92">
        <v>1</v>
      </c>
      <c r="BT92">
        <v>1</v>
      </c>
      <c r="BU92">
        <v>1</v>
      </c>
      <c r="BV92">
        <v>1</v>
      </c>
      <c r="BW92">
        <v>1</v>
      </c>
      <c r="BX92">
        <v>1</v>
      </c>
      <c r="BY92" t="s">
        <v>6</v>
      </c>
      <c r="BZ92">
        <v>0</v>
      </c>
      <c r="CA92">
        <v>0</v>
      </c>
      <c r="CB92" t="s">
        <v>6</v>
      </c>
      <c r="CE92">
        <v>0</v>
      </c>
      <c r="CF92">
        <v>0</v>
      </c>
      <c r="CG92">
        <v>0</v>
      </c>
      <c r="CM92">
        <v>0</v>
      </c>
      <c r="CN92" t="s">
        <v>6</v>
      </c>
      <c r="CO92">
        <v>0</v>
      </c>
      <c r="CP92">
        <f t="shared" si="45"/>
        <v>-8.89</v>
      </c>
      <c r="CQ92">
        <f>AC92*BC92</f>
        <v>570.03</v>
      </c>
      <c r="CR92">
        <f t="shared" si="46"/>
        <v>0</v>
      </c>
      <c r="CS92">
        <f t="shared" si="47"/>
        <v>0</v>
      </c>
      <c r="CT92">
        <f t="shared" si="48"/>
        <v>0</v>
      </c>
      <c r="CU92">
        <f t="shared" si="49"/>
        <v>0</v>
      </c>
      <c r="CV92">
        <f t="shared" si="50"/>
        <v>0</v>
      </c>
      <c r="CW92">
        <f t="shared" si="51"/>
        <v>0</v>
      </c>
      <c r="CX92">
        <f t="shared" si="52"/>
        <v>0</v>
      </c>
      <c r="CY92">
        <f t="shared" si="53"/>
        <v>0</v>
      </c>
      <c r="CZ92">
        <f t="shared" si="54"/>
        <v>0</v>
      </c>
      <c r="DC92" t="s">
        <v>6</v>
      </c>
      <c r="DD92" t="s">
        <v>6</v>
      </c>
      <c r="DE92" t="s">
        <v>6</v>
      </c>
      <c r="DF92" t="s">
        <v>6</v>
      </c>
      <c r="DG92" t="s">
        <v>6</v>
      </c>
      <c r="DH92" t="s">
        <v>6</v>
      </c>
      <c r="DI92" t="s">
        <v>6</v>
      </c>
      <c r="DJ92" t="s">
        <v>6</v>
      </c>
      <c r="DK92" t="s">
        <v>6</v>
      </c>
      <c r="DL92" t="s">
        <v>6</v>
      </c>
      <c r="DM92" t="s">
        <v>6</v>
      </c>
      <c r="DN92">
        <v>0</v>
      </c>
      <c r="DO92">
        <v>0</v>
      </c>
      <c r="DP92">
        <v>1</v>
      </c>
      <c r="DQ92">
        <v>1</v>
      </c>
      <c r="DU92">
        <v>1007</v>
      </c>
      <c r="DV92" t="s">
        <v>109</v>
      </c>
      <c r="DW92" t="s">
        <v>109</v>
      </c>
      <c r="DX92">
        <v>1</v>
      </c>
      <c r="DZ92" t="s">
        <v>6</v>
      </c>
      <c r="EA92" t="s">
        <v>6</v>
      </c>
      <c r="EB92" t="s">
        <v>6</v>
      </c>
      <c r="EC92" t="s">
        <v>6</v>
      </c>
      <c r="EE92">
        <v>30852824</v>
      </c>
      <c r="EF92">
        <v>8</v>
      </c>
      <c r="EG92" t="s">
        <v>112</v>
      </c>
      <c r="EH92">
        <v>0</v>
      </c>
      <c r="EI92" t="s">
        <v>6</v>
      </c>
      <c r="EJ92">
        <v>1</v>
      </c>
      <c r="EK92">
        <v>500001</v>
      </c>
      <c r="EL92" t="s">
        <v>113</v>
      </c>
      <c r="EM92" t="s">
        <v>114</v>
      </c>
      <c r="EO92" t="s">
        <v>6</v>
      </c>
      <c r="EQ92">
        <v>32768</v>
      </c>
      <c r="ER92">
        <v>570.03</v>
      </c>
      <c r="ES92">
        <v>570.03</v>
      </c>
      <c r="ET92">
        <v>0</v>
      </c>
      <c r="EU92">
        <v>0</v>
      </c>
      <c r="EV92">
        <v>0</v>
      </c>
      <c r="EW92">
        <v>0</v>
      </c>
      <c r="EX92">
        <v>0</v>
      </c>
      <c r="EY92">
        <v>0</v>
      </c>
      <c r="FQ92">
        <v>0</v>
      </c>
      <c r="FR92">
        <f t="shared" si="55"/>
        <v>0</v>
      </c>
      <c r="FS92">
        <v>0</v>
      </c>
      <c r="FX92">
        <v>0</v>
      </c>
      <c r="FY92">
        <v>0</v>
      </c>
      <c r="GA92" t="s">
        <v>6</v>
      </c>
      <c r="GD92">
        <v>1</v>
      </c>
      <c r="GF92">
        <v>-1738869177</v>
      </c>
      <c r="GG92">
        <v>2</v>
      </c>
      <c r="GH92">
        <v>1</v>
      </c>
      <c r="GI92">
        <v>4</v>
      </c>
      <c r="GJ92">
        <v>0</v>
      </c>
      <c r="GK92">
        <v>0</v>
      </c>
      <c r="GL92">
        <f t="shared" si="56"/>
        <v>0</v>
      </c>
      <c r="GM92">
        <f t="shared" si="57"/>
        <v>-8.89</v>
      </c>
      <c r="GN92">
        <f t="shared" si="58"/>
        <v>-8.89</v>
      </c>
      <c r="GO92">
        <f t="shared" si="59"/>
        <v>0</v>
      </c>
      <c r="GP92">
        <f t="shared" si="60"/>
        <v>0</v>
      </c>
      <c r="GR92">
        <v>0</v>
      </c>
      <c r="GS92">
        <v>3</v>
      </c>
      <c r="GT92">
        <v>0</v>
      </c>
      <c r="GU92" t="s">
        <v>6</v>
      </c>
      <c r="GV92">
        <f t="shared" si="61"/>
        <v>0</v>
      </c>
      <c r="GW92">
        <v>1</v>
      </c>
      <c r="GX92">
        <f t="shared" si="62"/>
        <v>0</v>
      </c>
      <c r="HA92">
        <v>0</v>
      </c>
      <c r="HB92">
        <v>0</v>
      </c>
      <c r="HC92">
        <f t="shared" si="63"/>
        <v>0</v>
      </c>
      <c r="HE92" t="s">
        <v>6</v>
      </c>
      <c r="HF92" t="s">
        <v>6</v>
      </c>
      <c r="HI92">
        <f t="shared" si="64"/>
        <v>0</v>
      </c>
      <c r="HJ92">
        <f t="shared" si="65"/>
        <v>0</v>
      </c>
      <c r="HK92">
        <f t="shared" si="66"/>
        <v>0</v>
      </c>
      <c r="HL92">
        <f t="shared" si="67"/>
        <v>0</v>
      </c>
      <c r="HM92" t="s">
        <v>6</v>
      </c>
      <c r="HN92" t="s">
        <v>6</v>
      </c>
      <c r="HO92" t="s">
        <v>6</v>
      </c>
      <c r="HP92" t="s">
        <v>6</v>
      </c>
      <c r="HQ92" t="s">
        <v>6</v>
      </c>
      <c r="IK92">
        <v>0</v>
      </c>
    </row>
    <row r="93" spans="1:245">
      <c r="A93">
        <v>17</v>
      </c>
      <c r="B93">
        <v>1</v>
      </c>
      <c r="E93" t="s">
        <v>197</v>
      </c>
      <c r="F93" t="s">
        <v>6</v>
      </c>
      <c r="G93" t="s">
        <v>198</v>
      </c>
      <c r="H93" t="s">
        <v>142</v>
      </c>
      <c r="I93">
        <v>52</v>
      </c>
      <c r="J93">
        <v>0</v>
      </c>
      <c r="K93">
        <v>52</v>
      </c>
      <c r="O93">
        <f t="shared" si="31"/>
        <v>15977.8</v>
      </c>
      <c r="P93">
        <f>ROUND(ROUND(CQ93*I93,0)/BC93,2)</f>
        <v>15977.8</v>
      </c>
      <c r="Q93">
        <f t="shared" si="32"/>
        <v>0</v>
      </c>
      <c r="R93">
        <f t="shared" si="33"/>
        <v>0</v>
      </c>
      <c r="S93">
        <f t="shared" si="34"/>
        <v>0</v>
      </c>
      <c r="T93">
        <f t="shared" si="35"/>
        <v>0</v>
      </c>
      <c r="U93">
        <f t="shared" si="36"/>
        <v>0</v>
      </c>
      <c r="V93">
        <f t="shared" si="37"/>
        <v>0</v>
      </c>
      <c r="W93">
        <f t="shared" si="38"/>
        <v>0</v>
      </c>
      <c r="X93">
        <f t="shared" si="39"/>
        <v>0</v>
      </c>
      <c r="Y93">
        <f t="shared" si="40"/>
        <v>0</v>
      </c>
      <c r="AA93">
        <v>31028412</v>
      </c>
      <c r="AB93">
        <f t="shared" si="41"/>
        <v>1895.83</v>
      </c>
      <c r="AC93">
        <f t="shared" si="42"/>
        <v>1895.83</v>
      </c>
      <c r="AD93">
        <f>ROUND((((ET93)-(EU93))+AE93),6)</f>
        <v>0</v>
      </c>
      <c r="AE93">
        <f>ROUND((EU93),6)</f>
        <v>0</v>
      </c>
      <c r="AF93">
        <f>ROUND((EV93),6)</f>
        <v>0</v>
      </c>
      <c r="AG93">
        <f t="shared" si="43"/>
        <v>0</v>
      </c>
      <c r="AH93">
        <f>(EW93)</f>
        <v>0</v>
      </c>
      <c r="AI93">
        <f>(EX93)</f>
        <v>0</v>
      </c>
      <c r="AJ93">
        <f t="shared" si="44"/>
        <v>0</v>
      </c>
      <c r="AK93">
        <v>1895.83</v>
      </c>
      <c r="AL93">
        <v>1895.83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1</v>
      </c>
      <c r="AW93">
        <v>1</v>
      </c>
      <c r="AZ93">
        <v>1</v>
      </c>
      <c r="BA93">
        <v>1</v>
      </c>
      <c r="BB93">
        <v>1</v>
      </c>
      <c r="BC93">
        <v>6.17</v>
      </c>
      <c r="BD93" t="s">
        <v>6</v>
      </c>
      <c r="BE93" t="s">
        <v>6</v>
      </c>
      <c r="BF93" t="s">
        <v>6</v>
      </c>
      <c r="BG93" t="s">
        <v>6</v>
      </c>
      <c r="BH93">
        <v>3</v>
      </c>
      <c r="BI93">
        <v>1</v>
      </c>
      <c r="BJ93" t="s">
        <v>6</v>
      </c>
      <c r="BM93">
        <v>1100</v>
      </c>
      <c r="BN93">
        <v>0</v>
      </c>
      <c r="BO93" t="s">
        <v>111</v>
      </c>
      <c r="BP93">
        <v>1</v>
      </c>
      <c r="BQ93">
        <v>8</v>
      </c>
      <c r="BR93">
        <v>0</v>
      </c>
      <c r="BS93">
        <v>1</v>
      </c>
      <c r="BT93">
        <v>1</v>
      </c>
      <c r="BU93">
        <v>1</v>
      </c>
      <c r="BV93">
        <v>1</v>
      </c>
      <c r="BW93">
        <v>1</v>
      </c>
      <c r="BX93">
        <v>1</v>
      </c>
      <c r="BY93" t="s">
        <v>6</v>
      </c>
      <c r="BZ93">
        <v>0</v>
      </c>
      <c r="CA93">
        <v>0</v>
      </c>
      <c r="CB93" t="s">
        <v>6</v>
      </c>
      <c r="CE93">
        <v>0</v>
      </c>
      <c r="CF93">
        <v>0</v>
      </c>
      <c r="CG93">
        <v>0</v>
      </c>
      <c r="CM93">
        <v>0</v>
      </c>
      <c r="CN93" t="s">
        <v>6</v>
      </c>
      <c r="CO93">
        <v>0</v>
      </c>
      <c r="CP93">
        <f t="shared" si="45"/>
        <v>15977.8</v>
      </c>
      <c r="CQ93">
        <f>AC93</f>
        <v>1895.83</v>
      </c>
      <c r="CR93">
        <f t="shared" si="46"/>
        <v>0</v>
      </c>
      <c r="CS93">
        <f t="shared" si="47"/>
        <v>0</v>
      </c>
      <c r="CT93">
        <f t="shared" si="48"/>
        <v>0</v>
      </c>
      <c r="CU93">
        <f t="shared" si="49"/>
        <v>0</v>
      </c>
      <c r="CV93">
        <f t="shared" si="50"/>
        <v>0</v>
      </c>
      <c r="CW93">
        <f t="shared" si="51"/>
        <v>0</v>
      </c>
      <c r="CX93">
        <f t="shared" si="52"/>
        <v>0</v>
      </c>
      <c r="CY93">
        <f t="shared" si="53"/>
        <v>0</v>
      </c>
      <c r="CZ93">
        <f t="shared" si="54"/>
        <v>0</v>
      </c>
      <c r="DC93" t="s">
        <v>6</v>
      </c>
      <c r="DD93" t="s">
        <v>6</v>
      </c>
      <c r="DE93" t="s">
        <v>6</v>
      </c>
      <c r="DF93" t="s">
        <v>6</v>
      </c>
      <c r="DG93" t="s">
        <v>6</v>
      </c>
      <c r="DH93" t="s">
        <v>6</v>
      </c>
      <c r="DI93" t="s">
        <v>6</v>
      </c>
      <c r="DJ93" t="s">
        <v>6</v>
      </c>
      <c r="DK93" t="s">
        <v>6</v>
      </c>
      <c r="DL93" t="s">
        <v>6</v>
      </c>
      <c r="DM93" t="s">
        <v>6</v>
      </c>
      <c r="DN93">
        <v>0</v>
      </c>
      <c r="DO93">
        <v>0</v>
      </c>
      <c r="DP93">
        <v>1</v>
      </c>
      <c r="DQ93">
        <v>1</v>
      </c>
      <c r="DU93">
        <v>1002</v>
      </c>
      <c r="DV93" t="s">
        <v>142</v>
      </c>
      <c r="DW93" t="s">
        <v>142</v>
      </c>
      <c r="DX93">
        <v>1</v>
      </c>
      <c r="DZ93" t="s">
        <v>6</v>
      </c>
      <c r="EA93" t="s">
        <v>6</v>
      </c>
      <c r="EB93" t="s">
        <v>6</v>
      </c>
      <c r="EC93" t="s">
        <v>6</v>
      </c>
      <c r="EE93">
        <v>30853118</v>
      </c>
      <c r="EF93">
        <v>8</v>
      </c>
      <c r="EG93" t="s">
        <v>112</v>
      </c>
      <c r="EH93">
        <v>0</v>
      </c>
      <c r="EI93" t="s">
        <v>6</v>
      </c>
      <c r="EJ93">
        <v>1</v>
      </c>
      <c r="EK93">
        <v>1100</v>
      </c>
      <c r="EL93" t="s">
        <v>119</v>
      </c>
      <c r="EM93" t="s">
        <v>120</v>
      </c>
      <c r="EO93" t="s">
        <v>6</v>
      </c>
      <c r="EQ93">
        <v>0</v>
      </c>
      <c r="ER93">
        <v>1895.83</v>
      </c>
      <c r="ES93">
        <v>1895.83</v>
      </c>
      <c r="ET93">
        <v>0</v>
      </c>
      <c r="EU93">
        <v>0</v>
      </c>
      <c r="EV93">
        <v>0</v>
      </c>
      <c r="EW93">
        <v>0</v>
      </c>
      <c r="EX93">
        <v>0</v>
      </c>
      <c r="EY93">
        <v>0</v>
      </c>
      <c r="EZ93">
        <v>5</v>
      </c>
      <c r="FC93">
        <v>0</v>
      </c>
      <c r="FD93">
        <v>18</v>
      </c>
      <c r="FF93">
        <v>1895.83</v>
      </c>
      <c r="FQ93">
        <v>0</v>
      </c>
      <c r="FR93">
        <f t="shared" si="55"/>
        <v>0</v>
      </c>
      <c r="FS93">
        <v>0</v>
      </c>
      <c r="FX93">
        <v>0</v>
      </c>
      <c r="FY93">
        <v>0</v>
      </c>
      <c r="GA93" t="s">
        <v>6</v>
      </c>
      <c r="GD93">
        <v>1</v>
      </c>
      <c r="GF93">
        <v>-1283185256</v>
      </c>
      <c r="GG93">
        <v>2</v>
      </c>
      <c r="GH93">
        <v>3</v>
      </c>
      <c r="GI93">
        <v>4</v>
      </c>
      <c r="GJ93">
        <v>0</v>
      </c>
      <c r="GK93">
        <v>0</v>
      </c>
      <c r="GL93">
        <f t="shared" si="56"/>
        <v>0</v>
      </c>
      <c r="GM93">
        <f t="shared" si="57"/>
        <v>15977.8</v>
      </c>
      <c r="GN93">
        <f t="shared" si="58"/>
        <v>15977.8</v>
      </c>
      <c r="GO93">
        <f t="shared" si="59"/>
        <v>0</v>
      </c>
      <c r="GP93">
        <f t="shared" si="60"/>
        <v>0</v>
      </c>
      <c r="GR93">
        <v>1</v>
      </c>
      <c r="GS93">
        <v>1</v>
      </c>
      <c r="GT93">
        <v>0</v>
      </c>
      <c r="GU93" t="s">
        <v>6</v>
      </c>
      <c r="GV93">
        <f t="shared" si="61"/>
        <v>0</v>
      </c>
      <c r="GW93">
        <v>1</v>
      </c>
      <c r="GX93">
        <f t="shared" si="62"/>
        <v>0</v>
      </c>
      <c r="HA93">
        <v>0</v>
      </c>
      <c r="HB93">
        <v>0</v>
      </c>
      <c r="HC93">
        <f t="shared" si="63"/>
        <v>0</v>
      </c>
      <c r="HE93" t="s">
        <v>6</v>
      </c>
      <c r="HF93" t="s">
        <v>6</v>
      </c>
      <c r="HG93">
        <f>ROUND(AC93*I93,0)</f>
        <v>98583</v>
      </c>
      <c r="HI93">
        <f t="shared" si="64"/>
        <v>0</v>
      </c>
      <c r="HJ93">
        <f t="shared" si="65"/>
        <v>0</v>
      </c>
      <c r="HK93">
        <f t="shared" si="66"/>
        <v>0</v>
      </c>
      <c r="HL93">
        <f t="shared" si="67"/>
        <v>0</v>
      </c>
      <c r="HM93" t="s">
        <v>6</v>
      </c>
      <c r="HN93" t="s">
        <v>6</v>
      </c>
      <c r="HO93" t="s">
        <v>6</v>
      </c>
      <c r="HP93" t="s">
        <v>6</v>
      </c>
      <c r="HQ93" t="s">
        <v>6</v>
      </c>
      <c r="IK93">
        <v>0</v>
      </c>
    </row>
    <row r="94" spans="1:245">
      <c r="A94">
        <v>19</v>
      </c>
      <c r="B94">
        <v>1</v>
      </c>
      <c r="F94" t="s">
        <v>6</v>
      </c>
      <c r="G94" t="s">
        <v>199</v>
      </c>
      <c r="H94" t="s">
        <v>6</v>
      </c>
      <c r="AA94">
        <v>1</v>
      </c>
      <c r="IK94">
        <v>0</v>
      </c>
    </row>
    <row r="95" spans="1:245">
      <c r="A95">
        <v>17</v>
      </c>
      <c r="B95">
        <v>1</v>
      </c>
      <c r="C95">
        <f>ROW(SmtRes!A63)</f>
        <v>63</v>
      </c>
      <c r="D95">
        <f>ROW(EtalonRes!A72)</f>
        <v>72</v>
      </c>
      <c r="E95" t="s">
        <v>200</v>
      </c>
      <c r="F95" t="s">
        <v>201</v>
      </c>
      <c r="G95" t="s">
        <v>202</v>
      </c>
      <c r="H95" t="s">
        <v>203</v>
      </c>
      <c r="I95">
        <v>36.44</v>
      </c>
      <c r="J95">
        <v>0</v>
      </c>
      <c r="K95">
        <v>36.44</v>
      </c>
      <c r="O95">
        <f t="shared" ref="O95:O116" si="76">ROUND(CP95,2)</f>
        <v>7297.93</v>
      </c>
      <c r="P95">
        <f t="shared" ref="P95:P116" si="77">ROUND(CQ95*I95,2)</f>
        <v>0</v>
      </c>
      <c r="Q95">
        <f t="shared" ref="Q95:Q116" si="78">ROUND(CR95*I95,2)</f>
        <v>4345.6499999999996</v>
      </c>
      <c r="R95">
        <f t="shared" ref="R95:R116" si="79">ROUND(CS95*I95,2)</f>
        <v>468.09</v>
      </c>
      <c r="S95">
        <f t="shared" ref="S95:S116" si="80">ROUND(CT95*I95,2)</f>
        <v>2952.28</v>
      </c>
      <c r="T95">
        <f t="shared" ref="T95:T116" si="81">ROUND(CU95*I95,2)</f>
        <v>0</v>
      </c>
      <c r="U95">
        <f t="shared" ref="U95:U116" si="82">CV95*I95</f>
        <v>345.30543999999992</v>
      </c>
      <c r="V95">
        <f t="shared" ref="V95:V116" si="83">CW95*I95</f>
        <v>48.19189999999999</v>
      </c>
      <c r="W95">
        <f t="shared" ref="W95:W116" si="84">ROUND(CX95*I95,2)</f>
        <v>0</v>
      </c>
      <c r="X95">
        <f t="shared" ref="X95:X116" si="85">ROUND(CY95,2)</f>
        <v>3112.54</v>
      </c>
      <c r="Y95">
        <f t="shared" ref="Y95:Y116" si="86">ROUND(CZ95,2)</f>
        <v>3112.54</v>
      </c>
      <c r="AA95">
        <v>31028412</v>
      </c>
      <c r="AB95">
        <f t="shared" ref="AB95:AB116" si="87">ROUND((AC95+AD95+AF95),6)</f>
        <v>200.27250000000001</v>
      </c>
      <c r="AC95">
        <f t="shared" ref="AC95:AC116" si="88">ROUND((ES95),6)</f>
        <v>0</v>
      </c>
      <c r="AD95">
        <f>ROUND(((((ET95*ROUND(1.15,7)))-((EU95*ROUND(1.15,7))))+AE95),6)</f>
        <v>119.255</v>
      </c>
      <c r="AE95">
        <f>ROUND(((EU95*ROUND(1.15,7))),6)</f>
        <v>12.845499999999999</v>
      </c>
      <c r="AF95">
        <f>ROUND(((EV95*ROUND(1.15,7))),6)</f>
        <v>81.017499999999998</v>
      </c>
      <c r="AG95">
        <f t="shared" ref="AG95:AG116" si="89">ROUND((AP95),6)</f>
        <v>0</v>
      </c>
      <c r="AH95">
        <f>((EW95*ROUND(1.15,7)))</f>
        <v>9.4759999999999991</v>
      </c>
      <c r="AI95">
        <f>((EX95*ROUND(1.15,7)))</f>
        <v>1.3224999999999998</v>
      </c>
      <c r="AJ95">
        <f t="shared" ref="AJ95:AJ116" si="90">(AS95)</f>
        <v>0</v>
      </c>
      <c r="AK95">
        <v>174.15</v>
      </c>
      <c r="AL95">
        <v>0</v>
      </c>
      <c r="AM95">
        <v>103.7</v>
      </c>
      <c r="AN95">
        <v>11.17</v>
      </c>
      <c r="AO95">
        <v>70.45</v>
      </c>
      <c r="AP95">
        <v>0</v>
      </c>
      <c r="AQ95">
        <v>8.24</v>
      </c>
      <c r="AR95">
        <v>1.1499999999999999</v>
      </c>
      <c r="AS95">
        <v>0</v>
      </c>
      <c r="AT95">
        <v>91</v>
      </c>
      <c r="AU95">
        <v>91</v>
      </c>
      <c r="AV95">
        <v>1</v>
      </c>
      <c r="AW95">
        <v>1</v>
      </c>
      <c r="AZ95">
        <v>1</v>
      </c>
      <c r="BA95">
        <v>24.22</v>
      </c>
      <c r="BB95">
        <v>1</v>
      </c>
      <c r="BC95">
        <v>1</v>
      </c>
      <c r="BD95" t="s">
        <v>6</v>
      </c>
      <c r="BE95" t="s">
        <v>6</v>
      </c>
      <c r="BF95" t="s">
        <v>6</v>
      </c>
      <c r="BG95" t="s">
        <v>6</v>
      </c>
      <c r="BH95">
        <v>0</v>
      </c>
      <c r="BI95">
        <v>1</v>
      </c>
      <c r="BJ95" t="s">
        <v>204</v>
      </c>
      <c r="BM95">
        <v>46003</v>
      </c>
      <c r="BN95">
        <v>0</v>
      </c>
      <c r="BO95" t="s">
        <v>1327</v>
      </c>
      <c r="BP95">
        <v>1</v>
      </c>
      <c r="BQ95">
        <v>2</v>
      </c>
      <c r="BR95">
        <v>0</v>
      </c>
      <c r="BS95">
        <v>24.22</v>
      </c>
      <c r="BT95">
        <v>1</v>
      </c>
      <c r="BU95">
        <v>1</v>
      </c>
      <c r="BV95">
        <v>1</v>
      </c>
      <c r="BW95">
        <v>1</v>
      </c>
      <c r="BX95">
        <v>1</v>
      </c>
      <c r="BY95" t="s">
        <v>6</v>
      </c>
      <c r="BZ95">
        <v>91</v>
      </c>
      <c r="CA95">
        <v>52</v>
      </c>
      <c r="CB95" t="s">
        <v>6</v>
      </c>
      <c r="CE95">
        <v>0</v>
      </c>
      <c r="CF95">
        <v>0</v>
      </c>
      <c r="CG95">
        <v>0</v>
      </c>
      <c r="CM95">
        <v>0</v>
      </c>
      <c r="CN95" t="s">
        <v>6</v>
      </c>
      <c r="CO95">
        <v>0</v>
      </c>
      <c r="CP95">
        <f t="shared" ref="CP95:CP116" si="91">(P95+Q95+S95)</f>
        <v>7297.93</v>
      </c>
      <c r="CQ95">
        <f t="shared" ref="CQ95:CQ116" si="92">AC95*BC95</f>
        <v>0</v>
      </c>
      <c r="CR95">
        <f t="shared" ref="CR95:CR116" si="93">AD95*BB95</f>
        <v>119.255</v>
      </c>
      <c r="CS95">
        <f t="shared" ref="CS95:CS116" si="94">AE95</f>
        <v>12.845499999999999</v>
      </c>
      <c r="CT95">
        <f t="shared" ref="CT95:CT116" si="95">AF95</f>
        <v>81.017499999999998</v>
      </c>
      <c r="CU95">
        <f t="shared" ref="CU95:CU116" si="96">AG95</f>
        <v>0</v>
      </c>
      <c r="CV95">
        <f t="shared" ref="CV95:CV116" si="97">AH95</f>
        <v>9.4759999999999991</v>
      </c>
      <c r="CW95">
        <f t="shared" ref="CW95:CW116" si="98">AI95</f>
        <v>1.3224999999999998</v>
      </c>
      <c r="CX95">
        <f t="shared" ref="CX95:CX116" si="99">AJ95</f>
        <v>0</v>
      </c>
      <c r="CY95">
        <f t="shared" ref="CY95:CY116" si="100">(((S95+R95)*AT95)/100)</f>
        <v>3112.5367000000006</v>
      </c>
      <c r="CZ95">
        <f t="shared" ref="CZ95:CZ116" si="101">(((S95+R95)*AU95)/100)</f>
        <v>3112.5367000000006</v>
      </c>
      <c r="DC95" t="s">
        <v>6</v>
      </c>
      <c r="DD95" t="s">
        <v>6</v>
      </c>
      <c r="DE95" t="s">
        <v>36</v>
      </c>
      <c r="DF95" t="s">
        <v>36</v>
      </c>
      <c r="DG95" t="s">
        <v>36</v>
      </c>
      <c r="DH95" t="s">
        <v>6</v>
      </c>
      <c r="DI95" t="s">
        <v>36</v>
      </c>
      <c r="DJ95" t="s">
        <v>36</v>
      </c>
      <c r="DK95" t="s">
        <v>6</v>
      </c>
      <c r="DL95" t="s">
        <v>6</v>
      </c>
      <c r="DM95" t="s">
        <v>6</v>
      </c>
      <c r="DN95">
        <v>0</v>
      </c>
      <c r="DO95">
        <v>0</v>
      </c>
      <c r="DP95">
        <v>1</v>
      </c>
      <c r="DQ95">
        <v>1</v>
      </c>
      <c r="DU95">
        <v>1013</v>
      </c>
      <c r="DV95" t="s">
        <v>203</v>
      </c>
      <c r="DW95" t="s">
        <v>203</v>
      </c>
      <c r="DX95">
        <v>1</v>
      </c>
      <c r="DZ95" t="s">
        <v>6</v>
      </c>
      <c r="EA95" t="s">
        <v>6</v>
      </c>
      <c r="EB95" t="s">
        <v>6</v>
      </c>
      <c r="EC95" t="s">
        <v>6</v>
      </c>
      <c r="EE95">
        <v>30853204</v>
      </c>
      <c r="EF95">
        <v>2</v>
      </c>
      <c r="EG95" t="s">
        <v>26</v>
      </c>
      <c r="EH95">
        <v>0</v>
      </c>
      <c r="EI95" t="s">
        <v>6</v>
      </c>
      <c r="EJ95">
        <v>1</v>
      </c>
      <c r="EK95">
        <v>46003</v>
      </c>
      <c r="EL95" t="s">
        <v>205</v>
      </c>
      <c r="EM95" t="s">
        <v>206</v>
      </c>
      <c r="EO95" t="s">
        <v>6</v>
      </c>
      <c r="EQ95">
        <v>131072</v>
      </c>
      <c r="ER95">
        <v>174.15</v>
      </c>
      <c r="ES95">
        <v>0</v>
      </c>
      <c r="ET95">
        <v>103.7</v>
      </c>
      <c r="EU95">
        <v>11.17</v>
      </c>
      <c r="EV95">
        <v>70.45</v>
      </c>
      <c r="EW95">
        <v>8.24</v>
      </c>
      <c r="EX95">
        <v>1.1499999999999999</v>
      </c>
      <c r="EY95">
        <v>0</v>
      </c>
      <c r="FQ95">
        <v>0</v>
      </c>
      <c r="FR95">
        <f t="shared" ref="FR95:FR116" si="102">ROUND(IF(AND(BH95=3,BI95=3),P95,0),2)</f>
        <v>0</v>
      </c>
      <c r="FS95">
        <v>0</v>
      </c>
      <c r="FX95">
        <v>91</v>
      </c>
      <c r="FY95">
        <v>91</v>
      </c>
      <c r="GA95" t="s">
        <v>6</v>
      </c>
      <c r="GD95">
        <v>1</v>
      </c>
      <c r="GF95">
        <v>1198658066</v>
      </c>
      <c r="GG95">
        <v>2</v>
      </c>
      <c r="GH95">
        <v>1</v>
      </c>
      <c r="GI95">
        <v>4</v>
      </c>
      <c r="GJ95">
        <v>0</v>
      </c>
      <c r="GK95">
        <v>0</v>
      </c>
      <c r="GL95">
        <f t="shared" ref="GL95:GL116" si="103">ROUND(IF(AND(BH95=3,BI95=3,FS95&lt;&gt;0),P95,0),2)</f>
        <v>0</v>
      </c>
      <c r="GM95">
        <f t="shared" ref="GM95:GM116" si="104">ROUND(O95+X95+Y95,2)+GX95</f>
        <v>13523.01</v>
      </c>
      <c r="GN95">
        <f t="shared" ref="GN95:GN116" si="105">IF(OR(BI95=0,BI95=1),ROUND(O95+X95+Y95,2),0)</f>
        <v>13523.01</v>
      </c>
      <c r="GO95">
        <f t="shared" ref="GO95:GO116" si="106">IF(BI95=2,ROUND(O95+X95+Y95,2),0)</f>
        <v>0</v>
      </c>
      <c r="GP95">
        <f t="shared" ref="GP95:GP116" si="107">IF(BI95=4,ROUND(O95+X95+Y95,2)+GX95,0)</f>
        <v>0</v>
      </c>
      <c r="GR95">
        <v>0</v>
      </c>
      <c r="GS95">
        <v>0</v>
      </c>
      <c r="GT95">
        <v>0</v>
      </c>
      <c r="GU95" t="s">
        <v>6</v>
      </c>
      <c r="GV95">
        <f t="shared" ref="GV95:GV116" si="108">ROUND((GT95),6)</f>
        <v>0</v>
      </c>
      <c r="GW95">
        <v>1</v>
      </c>
      <c r="GX95">
        <f t="shared" ref="GX95:GX116" si="109">ROUND(HC95*I95,2)</f>
        <v>0</v>
      </c>
      <c r="HA95">
        <v>0</v>
      </c>
      <c r="HB95">
        <v>0</v>
      </c>
      <c r="HC95">
        <f t="shared" ref="HC95:HC116" si="110">GV95*GW95</f>
        <v>0</v>
      </c>
      <c r="HE95" t="s">
        <v>6</v>
      </c>
      <c r="HF95" t="s">
        <v>6</v>
      </c>
      <c r="HI95">
        <f t="shared" ref="HI95:HI116" si="111">ROUND(R95*BS95,0)</f>
        <v>11337</v>
      </c>
      <c r="HJ95">
        <f t="shared" ref="HJ95:HJ116" si="112">ROUND(S95*BA95,0)</f>
        <v>71504</v>
      </c>
      <c r="HK95">
        <f t="shared" ref="HK95:HK116" si="113">ROUND((((HJ95+HI95)*AT95)/100),0)</f>
        <v>75385</v>
      </c>
      <c r="HL95">
        <f t="shared" ref="HL95:HL116" si="114">ROUND((((HJ95+HI95)*AU95)/100),0)</f>
        <v>75385</v>
      </c>
      <c r="HM95" t="s">
        <v>6</v>
      </c>
      <c r="HN95" t="s">
        <v>6</v>
      </c>
      <c r="HO95" t="s">
        <v>6</v>
      </c>
      <c r="HP95" t="s">
        <v>6</v>
      </c>
      <c r="HQ95" t="s">
        <v>6</v>
      </c>
      <c r="IK95">
        <v>0</v>
      </c>
    </row>
    <row r="96" spans="1:245">
      <c r="A96">
        <v>17</v>
      </c>
      <c r="B96">
        <v>1</v>
      </c>
      <c r="C96">
        <f>ROW(SmtRes!A68)</f>
        <v>68</v>
      </c>
      <c r="D96">
        <f>ROW(EtalonRes!A79)</f>
        <v>79</v>
      </c>
      <c r="E96" t="s">
        <v>207</v>
      </c>
      <c r="F96" t="s">
        <v>208</v>
      </c>
      <c r="G96" t="s">
        <v>209</v>
      </c>
      <c r="H96" t="s">
        <v>148</v>
      </c>
      <c r="I96">
        <v>36.44</v>
      </c>
      <c r="J96">
        <v>0</v>
      </c>
      <c r="K96">
        <v>36.44</v>
      </c>
      <c r="O96">
        <f t="shared" si="76"/>
        <v>31311.23</v>
      </c>
      <c r="P96">
        <f t="shared" si="77"/>
        <v>27423.65</v>
      </c>
      <c r="Q96">
        <f t="shared" si="78"/>
        <v>1800.39</v>
      </c>
      <c r="R96">
        <f t="shared" si="79"/>
        <v>272.91000000000003</v>
      </c>
      <c r="S96">
        <f t="shared" si="80"/>
        <v>2087.19</v>
      </c>
      <c r="T96">
        <f t="shared" si="81"/>
        <v>0</v>
      </c>
      <c r="U96">
        <f t="shared" si="82"/>
        <v>260.23626000000002</v>
      </c>
      <c r="V96">
        <f t="shared" si="83"/>
        <v>20.952999999999999</v>
      </c>
      <c r="W96">
        <f t="shared" si="84"/>
        <v>0</v>
      </c>
      <c r="X96">
        <f t="shared" si="85"/>
        <v>2336.5</v>
      </c>
      <c r="Y96">
        <f t="shared" si="86"/>
        <v>1384.2</v>
      </c>
      <c r="AA96">
        <v>31028412</v>
      </c>
      <c r="AB96">
        <f t="shared" si="87"/>
        <v>859.25435000000004</v>
      </c>
      <c r="AC96">
        <f t="shared" si="88"/>
        <v>752.57</v>
      </c>
      <c r="AD96">
        <f>ROUND(((((ET96*ROUND((1.25*1.15),7)))-((EU96*ROUND((1.25*1.15),7))))+AE96),6)</f>
        <v>49.406874999999999</v>
      </c>
      <c r="AE96">
        <f>ROUND(((EU96*ROUND((1.25*1.15),7))),6)</f>
        <v>7.4893749999999999</v>
      </c>
      <c r="AF96">
        <f>ROUND(((EV96*ROUND((1.15*1.15),7))),6)</f>
        <v>57.277475000000003</v>
      </c>
      <c r="AG96">
        <f t="shared" si="89"/>
        <v>0</v>
      </c>
      <c r="AH96">
        <f>((EW96*ROUND((1.15*1.15),7)))</f>
        <v>7.1415000000000006</v>
      </c>
      <c r="AI96">
        <f>((EX96*ROUND((1.25*1.15),7)))</f>
        <v>0.57500000000000007</v>
      </c>
      <c r="AJ96">
        <f t="shared" si="90"/>
        <v>0</v>
      </c>
      <c r="AK96">
        <v>830.25</v>
      </c>
      <c r="AL96">
        <v>752.57</v>
      </c>
      <c r="AM96">
        <v>34.369999999999997</v>
      </c>
      <c r="AN96">
        <v>5.21</v>
      </c>
      <c r="AO96">
        <v>43.31</v>
      </c>
      <c r="AP96">
        <v>0</v>
      </c>
      <c r="AQ96">
        <v>5.4</v>
      </c>
      <c r="AR96">
        <v>0.4</v>
      </c>
      <c r="AS96">
        <v>0</v>
      </c>
      <c r="AT96">
        <v>99</v>
      </c>
      <c r="AU96">
        <v>58.65</v>
      </c>
      <c r="AV96">
        <v>1</v>
      </c>
      <c r="AW96">
        <v>1</v>
      </c>
      <c r="AZ96">
        <v>1</v>
      </c>
      <c r="BA96">
        <v>24.22</v>
      </c>
      <c r="BB96">
        <v>1</v>
      </c>
      <c r="BC96">
        <v>1</v>
      </c>
      <c r="BD96" t="s">
        <v>6</v>
      </c>
      <c r="BE96" t="s">
        <v>6</v>
      </c>
      <c r="BF96" t="s">
        <v>6</v>
      </c>
      <c r="BG96" t="s">
        <v>6</v>
      </c>
      <c r="BH96">
        <v>0</v>
      </c>
      <c r="BI96">
        <v>1</v>
      </c>
      <c r="BJ96" t="s">
        <v>210</v>
      </c>
      <c r="BM96">
        <v>8001</v>
      </c>
      <c r="BN96">
        <v>0</v>
      </c>
      <c r="BO96" t="s">
        <v>1327</v>
      </c>
      <c r="BP96">
        <v>1</v>
      </c>
      <c r="BQ96">
        <v>2</v>
      </c>
      <c r="BR96">
        <v>0</v>
      </c>
      <c r="BS96">
        <v>24.22</v>
      </c>
      <c r="BT96">
        <v>1</v>
      </c>
      <c r="BU96">
        <v>1</v>
      </c>
      <c r="BV96">
        <v>1</v>
      </c>
      <c r="BW96">
        <v>1</v>
      </c>
      <c r="BX96">
        <v>1</v>
      </c>
      <c r="BY96" t="s">
        <v>6</v>
      </c>
      <c r="BZ96">
        <v>110</v>
      </c>
      <c r="CA96">
        <v>69</v>
      </c>
      <c r="CB96" t="s">
        <v>6</v>
      </c>
      <c r="CE96">
        <v>0</v>
      </c>
      <c r="CF96">
        <v>0</v>
      </c>
      <c r="CG96">
        <v>0</v>
      </c>
      <c r="CM96">
        <v>0</v>
      </c>
      <c r="CN96" t="s">
        <v>6</v>
      </c>
      <c r="CO96">
        <v>0</v>
      </c>
      <c r="CP96">
        <f t="shared" si="91"/>
        <v>31311.23</v>
      </c>
      <c r="CQ96">
        <f t="shared" si="92"/>
        <v>752.57</v>
      </c>
      <c r="CR96">
        <f t="shared" si="93"/>
        <v>49.406874999999999</v>
      </c>
      <c r="CS96">
        <f t="shared" si="94"/>
        <v>7.4893749999999999</v>
      </c>
      <c r="CT96">
        <f t="shared" si="95"/>
        <v>57.277475000000003</v>
      </c>
      <c r="CU96">
        <f t="shared" si="96"/>
        <v>0</v>
      </c>
      <c r="CV96">
        <f t="shared" si="97"/>
        <v>7.1415000000000006</v>
      </c>
      <c r="CW96">
        <f t="shared" si="98"/>
        <v>0.57500000000000007</v>
      </c>
      <c r="CX96">
        <f t="shared" si="99"/>
        <v>0</v>
      </c>
      <c r="CY96">
        <f t="shared" si="100"/>
        <v>2336.4989999999998</v>
      </c>
      <c r="CZ96">
        <f t="shared" si="101"/>
        <v>1384.1986499999998</v>
      </c>
      <c r="DC96" t="s">
        <v>6</v>
      </c>
      <c r="DD96" t="s">
        <v>6</v>
      </c>
      <c r="DE96" t="s">
        <v>126</v>
      </c>
      <c r="DF96" t="s">
        <v>126</v>
      </c>
      <c r="DG96" t="s">
        <v>127</v>
      </c>
      <c r="DH96" t="s">
        <v>6</v>
      </c>
      <c r="DI96" t="s">
        <v>127</v>
      </c>
      <c r="DJ96" t="s">
        <v>126</v>
      </c>
      <c r="DK96" t="s">
        <v>6</v>
      </c>
      <c r="DL96" t="s">
        <v>6</v>
      </c>
      <c r="DM96" t="s">
        <v>6</v>
      </c>
      <c r="DN96">
        <v>0</v>
      </c>
      <c r="DO96">
        <v>0</v>
      </c>
      <c r="DP96">
        <v>1</v>
      </c>
      <c r="DQ96">
        <v>1</v>
      </c>
      <c r="DU96">
        <v>1013</v>
      </c>
      <c r="DV96" t="s">
        <v>148</v>
      </c>
      <c r="DW96" t="s">
        <v>148</v>
      </c>
      <c r="DX96">
        <v>1</v>
      </c>
      <c r="DZ96" t="s">
        <v>6</v>
      </c>
      <c r="EA96" t="s">
        <v>6</v>
      </c>
      <c r="EB96" t="s">
        <v>6</v>
      </c>
      <c r="EC96" t="s">
        <v>6</v>
      </c>
      <c r="EE96">
        <v>30852902</v>
      </c>
      <c r="EF96">
        <v>2</v>
      </c>
      <c r="EG96" t="s">
        <v>26</v>
      </c>
      <c r="EH96">
        <v>0</v>
      </c>
      <c r="EI96" t="s">
        <v>6</v>
      </c>
      <c r="EJ96">
        <v>1</v>
      </c>
      <c r="EK96">
        <v>8001</v>
      </c>
      <c r="EL96" t="s">
        <v>211</v>
      </c>
      <c r="EM96" t="s">
        <v>212</v>
      </c>
      <c r="EO96" t="s">
        <v>6</v>
      </c>
      <c r="EQ96">
        <v>131072</v>
      </c>
      <c r="ER96">
        <v>830.25</v>
      </c>
      <c r="ES96">
        <v>752.57</v>
      </c>
      <c r="ET96">
        <v>34.369999999999997</v>
      </c>
      <c r="EU96">
        <v>5.21</v>
      </c>
      <c r="EV96">
        <v>43.31</v>
      </c>
      <c r="EW96">
        <v>5.4</v>
      </c>
      <c r="EX96">
        <v>0.4</v>
      </c>
      <c r="EY96">
        <v>0</v>
      </c>
      <c r="FQ96">
        <v>0</v>
      </c>
      <c r="FR96">
        <f t="shared" si="102"/>
        <v>0</v>
      </c>
      <c r="FS96">
        <v>0</v>
      </c>
      <c r="FT96" t="s">
        <v>29</v>
      </c>
      <c r="FU96" t="s">
        <v>30</v>
      </c>
      <c r="FX96">
        <v>99</v>
      </c>
      <c r="FY96">
        <v>58.65</v>
      </c>
      <c r="GA96" t="s">
        <v>6</v>
      </c>
      <c r="GD96">
        <v>1</v>
      </c>
      <c r="GF96">
        <v>-2766106</v>
      </c>
      <c r="GG96">
        <v>2</v>
      </c>
      <c r="GH96">
        <v>1</v>
      </c>
      <c r="GI96">
        <v>4</v>
      </c>
      <c r="GJ96">
        <v>0</v>
      </c>
      <c r="GK96">
        <v>0</v>
      </c>
      <c r="GL96">
        <f t="shared" si="103"/>
        <v>0</v>
      </c>
      <c r="GM96">
        <f t="shared" si="104"/>
        <v>35031.93</v>
      </c>
      <c r="GN96">
        <f t="shared" si="105"/>
        <v>35031.93</v>
      </c>
      <c r="GO96">
        <f t="shared" si="106"/>
        <v>0</v>
      </c>
      <c r="GP96">
        <f t="shared" si="107"/>
        <v>0</v>
      </c>
      <c r="GR96">
        <v>0</v>
      </c>
      <c r="GS96">
        <v>0</v>
      </c>
      <c r="GT96">
        <v>0</v>
      </c>
      <c r="GU96" t="s">
        <v>6</v>
      </c>
      <c r="GV96">
        <f t="shared" si="108"/>
        <v>0</v>
      </c>
      <c r="GW96">
        <v>1</v>
      </c>
      <c r="GX96">
        <f t="shared" si="109"/>
        <v>0</v>
      </c>
      <c r="HA96">
        <v>0</v>
      </c>
      <c r="HB96">
        <v>0</v>
      </c>
      <c r="HC96">
        <f t="shared" si="110"/>
        <v>0</v>
      </c>
      <c r="HE96" t="s">
        <v>6</v>
      </c>
      <c r="HF96" t="s">
        <v>6</v>
      </c>
      <c r="HI96">
        <f t="shared" si="111"/>
        <v>6610</v>
      </c>
      <c r="HJ96">
        <f t="shared" si="112"/>
        <v>50552</v>
      </c>
      <c r="HK96">
        <f t="shared" si="113"/>
        <v>56590</v>
      </c>
      <c r="HL96">
        <f t="shared" si="114"/>
        <v>33526</v>
      </c>
      <c r="HM96" t="s">
        <v>6</v>
      </c>
      <c r="HN96" t="s">
        <v>6</v>
      </c>
      <c r="HO96" t="s">
        <v>6</v>
      </c>
      <c r="HP96" t="s">
        <v>6</v>
      </c>
      <c r="HQ96" t="s">
        <v>6</v>
      </c>
      <c r="IK96">
        <v>0</v>
      </c>
    </row>
    <row r="97" spans="1:245">
      <c r="A97">
        <v>17</v>
      </c>
      <c r="B97">
        <v>1</v>
      </c>
      <c r="E97" t="s">
        <v>213</v>
      </c>
      <c r="F97" t="s">
        <v>153</v>
      </c>
      <c r="G97" t="s">
        <v>154</v>
      </c>
      <c r="H97" t="s">
        <v>155</v>
      </c>
      <c r="I97">
        <f>ROUND(I96*-0.394,7)</f>
        <v>-14.35736</v>
      </c>
      <c r="J97">
        <v>0</v>
      </c>
      <c r="K97">
        <f>ROUND(I96*-0.394,7)</f>
        <v>-14.35736</v>
      </c>
      <c r="O97">
        <f t="shared" si="76"/>
        <v>-23871.98</v>
      </c>
      <c r="P97">
        <f t="shared" si="77"/>
        <v>-23871.98</v>
      </c>
      <c r="Q97">
        <f t="shared" si="78"/>
        <v>0</v>
      </c>
      <c r="R97">
        <f t="shared" si="79"/>
        <v>0</v>
      </c>
      <c r="S97">
        <f t="shared" si="80"/>
        <v>0</v>
      </c>
      <c r="T97">
        <f t="shared" si="81"/>
        <v>0</v>
      </c>
      <c r="U97">
        <f t="shared" si="82"/>
        <v>0</v>
      </c>
      <c r="V97">
        <f t="shared" si="83"/>
        <v>0</v>
      </c>
      <c r="W97">
        <f t="shared" si="84"/>
        <v>0</v>
      </c>
      <c r="X97">
        <f t="shared" si="85"/>
        <v>0</v>
      </c>
      <c r="Y97">
        <f t="shared" si="86"/>
        <v>0</v>
      </c>
      <c r="AA97">
        <v>31028412</v>
      </c>
      <c r="AB97">
        <f t="shared" si="87"/>
        <v>1662.7</v>
      </c>
      <c r="AC97">
        <f t="shared" si="88"/>
        <v>1662.7</v>
      </c>
      <c r="AD97">
        <f>ROUND((((ET97)-(EU97))+AE97),6)</f>
        <v>0</v>
      </c>
      <c r="AE97">
        <f t="shared" ref="AE97:AF100" si="115">ROUND((EU97),6)</f>
        <v>0</v>
      </c>
      <c r="AF97">
        <f t="shared" si="115"/>
        <v>0</v>
      </c>
      <c r="AG97">
        <f t="shared" si="89"/>
        <v>0</v>
      </c>
      <c r="AH97">
        <f t="shared" ref="AH97:AI100" si="116">(EW97)</f>
        <v>0</v>
      </c>
      <c r="AI97">
        <f t="shared" si="116"/>
        <v>0</v>
      </c>
      <c r="AJ97">
        <f t="shared" si="90"/>
        <v>0</v>
      </c>
      <c r="AK97">
        <v>1662.7</v>
      </c>
      <c r="AL97">
        <v>1662.7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1</v>
      </c>
      <c r="AW97">
        <v>1</v>
      </c>
      <c r="AZ97">
        <v>1</v>
      </c>
      <c r="BA97">
        <v>1</v>
      </c>
      <c r="BB97">
        <v>1</v>
      </c>
      <c r="BC97">
        <v>1</v>
      </c>
      <c r="BD97" t="s">
        <v>6</v>
      </c>
      <c r="BE97" t="s">
        <v>6</v>
      </c>
      <c r="BF97" t="s">
        <v>6</v>
      </c>
      <c r="BG97" t="s">
        <v>6</v>
      </c>
      <c r="BH97">
        <v>3</v>
      </c>
      <c r="BI97">
        <v>1</v>
      </c>
      <c r="BJ97" t="s">
        <v>156</v>
      </c>
      <c r="BM97">
        <v>500001</v>
      </c>
      <c r="BN97">
        <v>0</v>
      </c>
      <c r="BO97" t="s">
        <v>111</v>
      </c>
      <c r="BP97">
        <v>1</v>
      </c>
      <c r="BQ97">
        <v>8</v>
      </c>
      <c r="BR97">
        <v>1</v>
      </c>
      <c r="BS97">
        <v>1</v>
      </c>
      <c r="BT97">
        <v>1</v>
      </c>
      <c r="BU97">
        <v>1</v>
      </c>
      <c r="BV97">
        <v>1</v>
      </c>
      <c r="BW97">
        <v>1</v>
      </c>
      <c r="BX97">
        <v>1</v>
      </c>
      <c r="BY97" t="s">
        <v>6</v>
      </c>
      <c r="BZ97">
        <v>0</v>
      </c>
      <c r="CA97">
        <v>0</v>
      </c>
      <c r="CB97" t="s">
        <v>6</v>
      </c>
      <c r="CE97">
        <v>0</v>
      </c>
      <c r="CF97">
        <v>0</v>
      </c>
      <c r="CG97">
        <v>0</v>
      </c>
      <c r="CM97">
        <v>0</v>
      </c>
      <c r="CN97" t="s">
        <v>6</v>
      </c>
      <c r="CO97">
        <v>0</v>
      </c>
      <c r="CP97">
        <f t="shared" si="91"/>
        <v>-23871.98</v>
      </c>
      <c r="CQ97">
        <f t="shared" si="92"/>
        <v>1662.7</v>
      </c>
      <c r="CR97">
        <f t="shared" si="93"/>
        <v>0</v>
      </c>
      <c r="CS97">
        <f t="shared" si="94"/>
        <v>0</v>
      </c>
      <c r="CT97">
        <f t="shared" si="95"/>
        <v>0</v>
      </c>
      <c r="CU97">
        <f t="shared" si="96"/>
        <v>0</v>
      </c>
      <c r="CV97">
        <f t="shared" si="97"/>
        <v>0</v>
      </c>
      <c r="CW97">
        <f t="shared" si="98"/>
        <v>0</v>
      </c>
      <c r="CX97">
        <f t="shared" si="99"/>
        <v>0</v>
      </c>
      <c r="CY97">
        <f t="shared" si="100"/>
        <v>0</v>
      </c>
      <c r="CZ97">
        <f t="shared" si="101"/>
        <v>0</v>
      </c>
      <c r="DC97" t="s">
        <v>6</v>
      </c>
      <c r="DD97" t="s">
        <v>6</v>
      </c>
      <c r="DE97" t="s">
        <v>6</v>
      </c>
      <c r="DF97" t="s">
        <v>6</v>
      </c>
      <c r="DG97" t="s">
        <v>6</v>
      </c>
      <c r="DH97" t="s">
        <v>6</v>
      </c>
      <c r="DI97" t="s">
        <v>6</v>
      </c>
      <c r="DJ97" t="s">
        <v>6</v>
      </c>
      <c r="DK97" t="s">
        <v>6</v>
      </c>
      <c r="DL97" t="s">
        <v>6</v>
      </c>
      <c r="DM97" t="s">
        <v>6</v>
      </c>
      <c r="DN97">
        <v>0</v>
      </c>
      <c r="DO97">
        <v>0</v>
      </c>
      <c r="DP97">
        <v>1</v>
      </c>
      <c r="DQ97">
        <v>1</v>
      </c>
      <c r="DU97">
        <v>1010</v>
      </c>
      <c r="DV97" t="s">
        <v>155</v>
      </c>
      <c r="DW97" t="s">
        <v>155</v>
      </c>
      <c r="DX97">
        <v>1000</v>
      </c>
      <c r="DZ97" t="s">
        <v>6</v>
      </c>
      <c r="EA97" t="s">
        <v>6</v>
      </c>
      <c r="EB97" t="s">
        <v>6</v>
      </c>
      <c r="EC97" t="s">
        <v>6</v>
      </c>
      <c r="EE97">
        <v>30852824</v>
      </c>
      <c r="EF97">
        <v>8</v>
      </c>
      <c r="EG97" t="s">
        <v>112</v>
      </c>
      <c r="EH97">
        <v>0</v>
      </c>
      <c r="EI97" t="s">
        <v>6</v>
      </c>
      <c r="EJ97">
        <v>1</v>
      </c>
      <c r="EK97">
        <v>500001</v>
      </c>
      <c r="EL97" t="s">
        <v>113</v>
      </c>
      <c r="EM97" t="s">
        <v>114</v>
      </c>
      <c r="EO97" t="s">
        <v>6</v>
      </c>
      <c r="EQ97">
        <v>32768</v>
      </c>
      <c r="ER97">
        <v>1662.7</v>
      </c>
      <c r="ES97">
        <v>1662.7</v>
      </c>
      <c r="ET97">
        <v>0</v>
      </c>
      <c r="EU97">
        <v>0</v>
      </c>
      <c r="EV97">
        <v>0</v>
      </c>
      <c r="EW97">
        <v>0</v>
      </c>
      <c r="EX97">
        <v>0</v>
      </c>
      <c r="EY97">
        <v>0</v>
      </c>
      <c r="FQ97">
        <v>0</v>
      </c>
      <c r="FR97">
        <f t="shared" si="102"/>
        <v>0</v>
      </c>
      <c r="FS97">
        <v>0</v>
      </c>
      <c r="FX97">
        <v>0</v>
      </c>
      <c r="FY97">
        <v>0</v>
      </c>
      <c r="GA97" t="s">
        <v>6</v>
      </c>
      <c r="GD97">
        <v>1</v>
      </c>
      <c r="GF97">
        <v>-1891761004</v>
      </c>
      <c r="GG97">
        <v>2</v>
      </c>
      <c r="GH97">
        <v>1</v>
      </c>
      <c r="GI97">
        <v>4</v>
      </c>
      <c r="GJ97">
        <v>0</v>
      </c>
      <c r="GK97">
        <v>0</v>
      </c>
      <c r="GL97">
        <f t="shared" si="103"/>
        <v>0</v>
      </c>
      <c r="GM97">
        <f t="shared" si="104"/>
        <v>-23871.98</v>
      </c>
      <c r="GN97">
        <f t="shared" si="105"/>
        <v>-23871.98</v>
      </c>
      <c r="GO97">
        <f t="shared" si="106"/>
        <v>0</v>
      </c>
      <c r="GP97">
        <f t="shared" si="107"/>
        <v>0</v>
      </c>
      <c r="GR97">
        <v>0</v>
      </c>
      <c r="GS97">
        <v>0</v>
      </c>
      <c r="GT97">
        <v>0</v>
      </c>
      <c r="GU97" t="s">
        <v>6</v>
      </c>
      <c r="GV97">
        <f t="shared" si="108"/>
        <v>0</v>
      </c>
      <c r="GW97">
        <v>1</v>
      </c>
      <c r="GX97">
        <f t="shared" si="109"/>
        <v>0</v>
      </c>
      <c r="HA97">
        <v>0</v>
      </c>
      <c r="HB97">
        <v>0</v>
      </c>
      <c r="HC97">
        <f t="shared" si="110"/>
        <v>0</v>
      </c>
      <c r="HE97" t="s">
        <v>6</v>
      </c>
      <c r="HF97" t="s">
        <v>6</v>
      </c>
      <c r="HI97">
        <f t="shared" si="111"/>
        <v>0</v>
      </c>
      <c r="HJ97">
        <f t="shared" si="112"/>
        <v>0</v>
      </c>
      <c r="HK97">
        <f t="shared" si="113"/>
        <v>0</v>
      </c>
      <c r="HL97">
        <f t="shared" si="114"/>
        <v>0</v>
      </c>
      <c r="HM97" t="s">
        <v>6</v>
      </c>
      <c r="HN97" t="s">
        <v>6</v>
      </c>
      <c r="HO97" t="s">
        <v>6</v>
      </c>
      <c r="HP97" t="s">
        <v>6</v>
      </c>
      <c r="HQ97" t="s">
        <v>6</v>
      </c>
      <c r="IK97">
        <v>0</v>
      </c>
    </row>
    <row r="98" spans="1:245">
      <c r="A98">
        <v>17</v>
      </c>
      <c r="B98">
        <v>1</v>
      </c>
      <c r="E98" t="s">
        <v>214</v>
      </c>
      <c r="F98" t="s">
        <v>215</v>
      </c>
      <c r="G98" t="s">
        <v>216</v>
      </c>
      <c r="H98" t="s">
        <v>109</v>
      </c>
      <c r="I98">
        <f>ROUND(I96*-0.24,7)</f>
        <v>-8.7455999999999996</v>
      </c>
      <c r="J98">
        <v>0</v>
      </c>
      <c r="K98">
        <f>ROUND(I96*-0.24,7)</f>
        <v>-8.7455999999999996</v>
      </c>
      <c r="O98">
        <f t="shared" si="76"/>
        <v>-3497.72</v>
      </c>
      <c r="P98">
        <f t="shared" si="77"/>
        <v>-3497.72</v>
      </c>
      <c r="Q98">
        <f t="shared" si="78"/>
        <v>0</v>
      </c>
      <c r="R98">
        <f t="shared" si="79"/>
        <v>0</v>
      </c>
      <c r="S98">
        <f t="shared" si="80"/>
        <v>0</v>
      </c>
      <c r="T98">
        <f t="shared" si="81"/>
        <v>0</v>
      </c>
      <c r="U98">
        <f t="shared" si="82"/>
        <v>0</v>
      </c>
      <c r="V98">
        <f t="shared" si="83"/>
        <v>0</v>
      </c>
      <c r="W98">
        <f t="shared" si="84"/>
        <v>0</v>
      </c>
      <c r="X98">
        <f t="shared" si="85"/>
        <v>0</v>
      </c>
      <c r="Y98">
        <f t="shared" si="86"/>
        <v>0</v>
      </c>
      <c r="AA98">
        <v>31028412</v>
      </c>
      <c r="AB98">
        <f t="shared" si="87"/>
        <v>399.94</v>
      </c>
      <c r="AC98">
        <f t="shared" si="88"/>
        <v>399.94</v>
      </c>
      <c r="AD98">
        <f>ROUND((((ET98)-(EU98))+AE98),6)</f>
        <v>0</v>
      </c>
      <c r="AE98">
        <f t="shared" si="115"/>
        <v>0</v>
      </c>
      <c r="AF98">
        <f t="shared" si="115"/>
        <v>0</v>
      </c>
      <c r="AG98">
        <f t="shared" si="89"/>
        <v>0</v>
      </c>
      <c r="AH98">
        <f t="shared" si="116"/>
        <v>0</v>
      </c>
      <c r="AI98">
        <f t="shared" si="116"/>
        <v>0</v>
      </c>
      <c r="AJ98">
        <f t="shared" si="90"/>
        <v>0</v>
      </c>
      <c r="AK98">
        <v>399.94</v>
      </c>
      <c r="AL98">
        <v>399.94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1</v>
      </c>
      <c r="AW98">
        <v>1</v>
      </c>
      <c r="AZ98">
        <v>1</v>
      </c>
      <c r="BA98">
        <v>1</v>
      </c>
      <c r="BB98">
        <v>1</v>
      </c>
      <c r="BC98">
        <v>1</v>
      </c>
      <c r="BD98" t="s">
        <v>6</v>
      </c>
      <c r="BE98" t="s">
        <v>6</v>
      </c>
      <c r="BF98" t="s">
        <v>6</v>
      </c>
      <c r="BG98" t="s">
        <v>6</v>
      </c>
      <c r="BH98">
        <v>3</v>
      </c>
      <c r="BI98">
        <v>1</v>
      </c>
      <c r="BJ98" t="s">
        <v>217</v>
      </c>
      <c r="BM98">
        <v>500001</v>
      </c>
      <c r="BN98">
        <v>0</v>
      </c>
      <c r="BO98" t="s">
        <v>111</v>
      </c>
      <c r="BP98">
        <v>1</v>
      </c>
      <c r="BQ98">
        <v>8</v>
      </c>
      <c r="BR98">
        <v>1</v>
      </c>
      <c r="BS98">
        <v>1</v>
      </c>
      <c r="BT98">
        <v>1</v>
      </c>
      <c r="BU98">
        <v>1</v>
      </c>
      <c r="BV98">
        <v>1</v>
      </c>
      <c r="BW98">
        <v>1</v>
      </c>
      <c r="BX98">
        <v>1</v>
      </c>
      <c r="BY98" t="s">
        <v>6</v>
      </c>
      <c r="BZ98">
        <v>0</v>
      </c>
      <c r="CA98">
        <v>0</v>
      </c>
      <c r="CB98" t="s">
        <v>6</v>
      </c>
      <c r="CE98">
        <v>0</v>
      </c>
      <c r="CF98">
        <v>0</v>
      </c>
      <c r="CG98">
        <v>0</v>
      </c>
      <c r="CM98">
        <v>0</v>
      </c>
      <c r="CN98" t="s">
        <v>6</v>
      </c>
      <c r="CO98">
        <v>0</v>
      </c>
      <c r="CP98">
        <f t="shared" si="91"/>
        <v>-3497.72</v>
      </c>
      <c r="CQ98">
        <f t="shared" si="92"/>
        <v>399.94</v>
      </c>
      <c r="CR98">
        <f t="shared" si="93"/>
        <v>0</v>
      </c>
      <c r="CS98">
        <f t="shared" si="94"/>
        <v>0</v>
      </c>
      <c r="CT98">
        <f t="shared" si="95"/>
        <v>0</v>
      </c>
      <c r="CU98">
        <f t="shared" si="96"/>
        <v>0</v>
      </c>
      <c r="CV98">
        <f t="shared" si="97"/>
        <v>0</v>
      </c>
      <c r="CW98">
        <f t="shared" si="98"/>
        <v>0</v>
      </c>
      <c r="CX98">
        <f t="shared" si="99"/>
        <v>0</v>
      </c>
      <c r="CY98">
        <f t="shared" si="100"/>
        <v>0</v>
      </c>
      <c r="CZ98">
        <f t="shared" si="101"/>
        <v>0</v>
      </c>
      <c r="DC98" t="s">
        <v>6</v>
      </c>
      <c r="DD98" t="s">
        <v>6</v>
      </c>
      <c r="DE98" t="s">
        <v>6</v>
      </c>
      <c r="DF98" t="s">
        <v>6</v>
      </c>
      <c r="DG98" t="s">
        <v>6</v>
      </c>
      <c r="DH98" t="s">
        <v>6</v>
      </c>
      <c r="DI98" t="s">
        <v>6</v>
      </c>
      <c r="DJ98" t="s">
        <v>6</v>
      </c>
      <c r="DK98" t="s">
        <v>6</v>
      </c>
      <c r="DL98" t="s">
        <v>6</v>
      </c>
      <c r="DM98" t="s">
        <v>6</v>
      </c>
      <c r="DN98">
        <v>0</v>
      </c>
      <c r="DO98">
        <v>0</v>
      </c>
      <c r="DP98">
        <v>1</v>
      </c>
      <c r="DQ98">
        <v>1</v>
      </c>
      <c r="DU98">
        <v>1007</v>
      </c>
      <c r="DV98" t="s">
        <v>109</v>
      </c>
      <c r="DW98" t="s">
        <v>109</v>
      </c>
      <c r="DX98">
        <v>1</v>
      </c>
      <c r="DZ98" t="s">
        <v>6</v>
      </c>
      <c r="EA98" t="s">
        <v>6</v>
      </c>
      <c r="EB98" t="s">
        <v>6</v>
      </c>
      <c r="EC98" t="s">
        <v>6</v>
      </c>
      <c r="EE98">
        <v>30852824</v>
      </c>
      <c r="EF98">
        <v>8</v>
      </c>
      <c r="EG98" t="s">
        <v>112</v>
      </c>
      <c r="EH98">
        <v>0</v>
      </c>
      <c r="EI98" t="s">
        <v>6</v>
      </c>
      <c r="EJ98">
        <v>1</v>
      </c>
      <c r="EK98">
        <v>500001</v>
      </c>
      <c r="EL98" t="s">
        <v>113</v>
      </c>
      <c r="EM98" t="s">
        <v>114</v>
      </c>
      <c r="EO98" t="s">
        <v>6</v>
      </c>
      <c r="EQ98">
        <v>32768</v>
      </c>
      <c r="ER98">
        <v>399.94</v>
      </c>
      <c r="ES98">
        <v>399.94</v>
      </c>
      <c r="ET98">
        <v>0</v>
      </c>
      <c r="EU98">
        <v>0</v>
      </c>
      <c r="EV98">
        <v>0</v>
      </c>
      <c r="EW98">
        <v>0</v>
      </c>
      <c r="EX98">
        <v>0</v>
      </c>
      <c r="EY98">
        <v>0</v>
      </c>
      <c r="FQ98">
        <v>0</v>
      </c>
      <c r="FR98">
        <f t="shared" si="102"/>
        <v>0</v>
      </c>
      <c r="FS98">
        <v>0</v>
      </c>
      <c r="FX98">
        <v>0</v>
      </c>
      <c r="FY98">
        <v>0</v>
      </c>
      <c r="GA98" t="s">
        <v>6</v>
      </c>
      <c r="GD98">
        <v>1</v>
      </c>
      <c r="GF98">
        <v>1123371170</v>
      </c>
      <c r="GG98">
        <v>2</v>
      </c>
      <c r="GH98">
        <v>1</v>
      </c>
      <c r="GI98">
        <v>4</v>
      </c>
      <c r="GJ98">
        <v>0</v>
      </c>
      <c r="GK98">
        <v>0</v>
      </c>
      <c r="GL98">
        <f t="shared" si="103"/>
        <v>0</v>
      </c>
      <c r="GM98">
        <f t="shared" si="104"/>
        <v>-3497.72</v>
      </c>
      <c r="GN98">
        <f t="shared" si="105"/>
        <v>-3497.72</v>
      </c>
      <c r="GO98">
        <f t="shared" si="106"/>
        <v>0</v>
      </c>
      <c r="GP98">
        <f t="shared" si="107"/>
        <v>0</v>
      </c>
      <c r="GR98">
        <v>0</v>
      </c>
      <c r="GS98">
        <v>0</v>
      </c>
      <c r="GT98">
        <v>0</v>
      </c>
      <c r="GU98" t="s">
        <v>6</v>
      </c>
      <c r="GV98">
        <f t="shared" si="108"/>
        <v>0</v>
      </c>
      <c r="GW98">
        <v>1</v>
      </c>
      <c r="GX98">
        <f t="shared" si="109"/>
        <v>0</v>
      </c>
      <c r="HA98">
        <v>0</v>
      </c>
      <c r="HB98">
        <v>0</v>
      </c>
      <c r="HC98">
        <f t="shared" si="110"/>
        <v>0</v>
      </c>
      <c r="HE98" t="s">
        <v>6</v>
      </c>
      <c r="HF98" t="s">
        <v>6</v>
      </c>
      <c r="HI98">
        <f t="shared" si="111"/>
        <v>0</v>
      </c>
      <c r="HJ98">
        <f t="shared" si="112"/>
        <v>0</v>
      </c>
      <c r="HK98">
        <f t="shared" si="113"/>
        <v>0</v>
      </c>
      <c r="HL98">
        <f t="shared" si="114"/>
        <v>0</v>
      </c>
      <c r="HM98" t="s">
        <v>6</v>
      </c>
      <c r="HN98" t="s">
        <v>6</v>
      </c>
      <c r="HO98" t="s">
        <v>6</v>
      </c>
      <c r="HP98" t="s">
        <v>6</v>
      </c>
      <c r="HQ98" t="s">
        <v>6</v>
      </c>
      <c r="IK98">
        <v>0</v>
      </c>
    </row>
    <row r="99" spans="1:245">
      <c r="A99">
        <v>17</v>
      </c>
      <c r="B99">
        <v>1</v>
      </c>
      <c r="E99" t="s">
        <v>218</v>
      </c>
      <c r="F99" t="s">
        <v>166</v>
      </c>
      <c r="G99" t="s">
        <v>167</v>
      </c>
      <c r="H99" t="s">
        <v>109</v>
      </c>
      <c r="I99">
        <v>8.7455999999999996</v>
      </c>
      <c r="J99">
        <v>0</v>
      </c>
      <c r="K99">
        <v>8.7455999999999996</v>
      </c>
      <c r="O99">
        <f t="shared" si="76"/>
        <v>4230.7700000000004</v>
      </c>
      <c r="P99">
        <f t="shared" si="77"/>
        <v>4230.7700000000004</v>
      </c>
      <c r="Q99">
        <f t="shared" si="78"/>
        <v>0</v>
      </c>
      <c r="R99">
        <f t="shared" si="79"/>
        <v>0</v>
      </c>
      <c r="S99">
        <f t="shared" si="80"/>
        <v>0</v>
      </c>
      <c r="T99">
        <f t="shared" si="81"/>
        <v>0</v>
      </c>
      <c r="U99">
        <f t="shared" si="82"/>
        <v>0</v>
      </c>
      <c r="V99">
        <f t="shared" si="83"/>
        <v>0</v>
      </c>
      <c r="W99">
        <f t="shared" si="84"/>
        <v>0</v>
      </c>
      <c r="X99">
        <f t="shared" si="85"/>
        <v>0</v>
      </c>
      <c r="Y99">
        <f t="shared" si="86"/>
        <v>0</v>
      </c>
      <c r="AA99">
        <v>31028412</v>
      </c>
      <c r="AB99">
        <f t="shared" si="87"/>
        <v>483.76</v>
      </c>
      <c r="AC99">
        <f t="shared" si="88"/>
        <v>483.76</v>
      </c>
      <c r="AD99">
        <f>ROUND((((ET99)-(EU99))+AE99),6)</f>
        <v>0</v>
      </c>
      <c r="AE99">
        <f t="shared" si="115"/>
        <v>0</v>
      </c>
      <c r="AF99">
        <f t="shared" si="115"/>
        <v>0</v>
      </c>
      <c r="AG99">
        <f t="shared" si="89"/>
        <v>0</v>
      </c>
      <c r="AH99">
        <f t="shared" si="116"/>
        <v>0</v>
      </c>
      <c r="AI99">
        <f t="shared" si="116"/>
        <v>0</v>
      </c>
      <c r="AJ99">
        <f t="shared" si="90"/>
        <v>0</v>
      </c>
      <c r="AK99">
        <v>483.76</v>
      </c>
      <c r="AL99">
        <v>483.76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1</v>
      </c>
      <c r="AW99">
        <v>1</v>
      </c>
      <c r="AZ99">
        <v>1</v>
      </c>
      <c r="BA99">
        <v>1</v>
      </c>
      <c r="BB99">
        <v>1</v>
      </c>
      <c r="BC99">
        <v>1</v>
      </c>
      <c r="BD99" t="s">
        <v>6</v>
      </c>
      <c r="BE99" t="s">
        <v>6</v>
      </c>
      <c r="BF99" t="s">
        <v>6</v>
      </c>
      <c r="BG99" t="s">
        <v>6</v>
      </c>
      <c r="BH99">
        <v>3</v>
      </c>
      <c r="BI99">
        <v>1</v>
      </c>
      <c r="BJ99" t="s">
        <v>168</v>
      </c>
      <c r="BM99">
        <v>500001</v>
      </c>
      <c r="BN99">
        <v>0</v>
      </c>
      <c r="BO99" t="s">
        <v>111</v>
      </c>
      <c r="BP99">
        <v>1</v>
      </c>
      <c r="BQ99">
        <v>8</v>
      </c>
      <c r="BR99">
        <v>0</v>
      </c>
      <c r="BS99">
        <v>1</v>
      </c>
      <c r="BT99">
        <v>1</v>
      </c>
      <c r="BU99">
        <v>1</v>
      </c>
      <c r="BV99">
        <v>1</v>
      </c>
      <c r="BW99">
        <v>1</v>
      </c>
      <c r="BX99">
        <v>1</v>
      </c>
      <c r="BY99" t="s">
        <v>6</v>
      </c>
      <c r="BZ99">
        <v>0</v>
      </c>
      <c r="CA99">
        <v>0</v>
      </c>
      <c r="CB99" t="s">
        <v>6</v>
      </c>
      <c r="CE99">
        <v>0</v>
      </c>
      <c r="CF99">
        <v>0</v>
      </c>
      <c r="CG99">
        <v>0</v>
      </c>
      <c r="CM99">
        <v>0</v>
      </c>
      <c r="CN99" t="s">
        <v>6</v>
      </c>
      <c r="CO99">
        <v>0</v>
      </c>
      <c r="CP99">
        <f t="shared" si="91"/>
        <v>4230.7700000000004</v>
      </c>
      <c r="CQ99">
        <f t="shared" si="92"/>
        <v>483.76</v>
      </c>
      <c r="CR99">
        <f t="shared" si="93"/>
        <v>0</v>
      </c>
      <c r="CS99">
        <f t="shared" si="94"/>
        <v>0</v>
      </c>
      <c r="CT99">
        <f t="shared" si="95"/>
        <v>0</v>
      </c>
      <c r="CU99">
        <f t="shared" si="96"/>
        <v>0</v>
      </c>
      <c r="CV99">
        <f t="shared" si="97"/>
        <v>0</v>
      </c>
      <c r="CW99">
        <f t="shared" si="98"/>
        <v>0</v>
      </c>
      <c r="CX99">
        <f t="shared" si="99"/>
        <v>0</v>
      </c>
      <c r="CY99">
        <f t="shared" si="100"/>
        <v>0</v>
      </c>
      <c r="CZ99">
        <f t="shared" si="101"/>
        <v>0</v>
      </c>
      <c r="DC99" t="s">
        <v>6</v>
      </c>
      <c r="DD99" t="s">
        <v>6</v>
      </c>
      <c r="DE99" t="s">
        <v>6</v>
      </c>
      <c r="DF99" t="s">
        <v>6</v>
      </c>
      <c r="DG99" t="s">
        <v>6</v>
      </c>
      <c r="DH99" t="s">
        <v>6</v>
      </c>
      <c r="DI99" t="s">
        <v>6</v>
      </c>
      <c r="DJ99" t="s">
        <v>6</v>
      </c>
      <c r="DK99" t="s">
        <v>6</v>
      </c>
      <c r="DL99" t="s">
        <v>6</v>
      </c>
      <c r="DM99" t="s">
        <v>6</v>
      </c>
      <c r="DN99">
        <v>0</v>
      </c>
      <c r="DO99">
        <v>0</v>
      </c>
      <c r="DP99">
        <v>1</v>
      </c>
      <c r="DQ99">
        <v>1</v>
      </c>
      <c r="DU99">
        <v>1007</v>
      </c>
      <c r="DV99" t="s">
        <v>109</v>
      </c>
      <c r="DW99" t="s">
        <v>109</v>
      </c>
      <c r="DX99">
        <v>1</v>
      </c>
      <c r="DZ99" t="s">
        <v>6</v>
      </c>
      <c r="EA99" t="s">
        <v>6</v>
      </c>
      <c r="EB99" t="s">
        <v>6</v>
      </c>
      <c r="EC99" t="s">
        <v>6</v>
      </c>
      <c r="EE99">
        <v>30852824</v>
      </c>
      <c r="EF99">
        <v>8</v>
      </c>
      <c r="EG99" t="s">
        <v>112</v>
      </c>
      <c r="EH99">
        <v>0</v>
      </c>
      <c r="EI99" t="s">
        <v>6</v>
      </c>
      <c r="EJ99">
        <v>1</v>
      </c>
      <c r="EK99">
        <v>500001</v>
      </c>
      <c r="EL99" t="s">
        <v>113</v>
      </c>
      <c r="EM99" t="s">
        <v>114</v>
      </c>
      <c r="EO99" t="s">
        <v>6</v>
      </c>
      <c r="EQ99">
        <v>131072</v>
      </c>
      <c r="ER99">
        <v>483.76</v>
      </c>
      <c r="ES99">
        <v>483.76</v>
      </c>
      <c r="ET99">
        <v>0</v>
      </c>
      <c r="EU99">
        <v>0</v>
      </c>
      <c r="EV99">
        <v>0</v>
      </c>
      <c r="EW99">
        <v>0</v>
      </c>
      <c r="EX99">
        <v>0</v>
      </c>
      <c r="EY99">
        <v>0</v>
      </c>
      <c r="FQ99">
        <v>0</v>
      </c>
      <c r="FR99">
        <f t="shared" si="102"/>
        <v>0</v>
      </c>
      <c r="FS99">
        <v>0</v>
      </c>
      <c r="FX99">
        <v>0</v>
      </c>
      <c r="FY99">
        <v>0</v>
      </c>
      <c r="GA99" t="s">
        <v>6</v>
      </c>
      <c r="GD99">
        <v>1</v>
      </c>
      <c r="GF99">
        <v>-216866240</v>
      </c>
      <c r="GG99">
        <v>2</v>
      </c>
      <c r="GH99">
        <v>1</v>
      </c>
      <c r="GI99">
        <v>4</v>
      </c>
      <c r="GJ99">
        <v>0</v>
      </c>
      <c r="GK99">
        <v>0</v>
      </c>
      <c r="GL99">
        <f t="shared" si="103"/>
        <v>0</v>
      </c>
      <c r="GM99">
        <f t="shared" si="104"/>
        <v>4230.7700000000004</v>
      </c>
      <c r="GN99">
        <f t="shared" si="105"/>
        <v>4230.7700000000004</v>
      </c>
      <c r="GO99">
        <f t="shared" si="106"/>
        <v>0</v>
      </c>
      <c r="GP99">
        <f t="shared" si="107"/>
        <v>0</v>
      </c>
      <c r="GR99">
        <v>0</v>
      </c>
      <c r="GS99">
        <v>0</v>
      </c>
      <c r="GT99">
        <v>0</v>
      </c>
      <c r="GU99" t="s">
        <v>6</v>
      </c>
      <c r="GV99">
        <f t="shared" si="108"/>
        <v>0</v>
      </c>
      <c r="GW99">
        <v>1</v>
      </c>
      <c r="GX99">
        <f t="shared" si="109"/>
        <v>0</v>
      </c>
      <c r="HA99">
        <v>0</v>
      </c>
      <c r="HB99">
        <v>0</v>
      </c>
      <c r="HC99">
        <f t="shared" si="110"/>
        <v>0</v>
      </c>
      <c r="HE99" t="s">
        <v>6</v>
      </c>
      <c r="HF99" t="s">
        <v>6</v>
      </c>
      <c r="HI99">
        <f t="shared" si="111"/>
        <v>0</v>
      </c>
      <c r="HJ99">
        <f t="shared" si="112"/>
        <v>0</v>
      </c>
      <c r="HK99">
        <f t="shared" si="113"/>
        <v>0</v>
      </c>
      <c r="HL99">
        <f t="shared" si="114"/>
        <v>0</v>
      </c>
      <c r="HM99" t="s">
        <v>6</v>
      </c>
      <c r="HN99" t="s">
        <v>6</v>
      </c>
      <c r="HO99" t="s">
        <v>6</v>
      </c>
      <c r="HP99" t="s">
        <v>6</v>
      </c>
      <c r="HQ99" t="s">
        <v>6</v>
      </c>
      <c r="IK99">
        <v>0</v>
      </c>
    </row>
    <row r="100" spans="1:245">
      <c r="A100">
        <v>17</v>
      </c>
      <c r="B100">
        <v>1</v>
      </c>
      <c r="E100" t="s">
        <v>219</v>
      </c>
      <c r="F100" t="s">
        <v>162</v>
      </c>
      <c r="G100" t="s">
        <v>163</v>
      </c>
      <c r="H100" t="s">
        <v>155</v>
      </c>
      <c r="I100">
        <f>ROUND((14357.36)/1000,7)</f>
        <v>14.35736</v>
      </c>
      <c r="J100">
        <v>0</v>
      </c>
      <c r="K100">
        <f>ROUND((14357.36)/1000,7)</f>
        <v>14.35736</v>
      </c>
      <c r="O100">
        <f t="shared" si="76"/>
        <v>27458.880000000001</v>
      </c>
      <c r="P100">
        <f t="shared" si="77"/>
        <v>27458.880000000001</v>
      </c>
      <c r="Q100">
        <f t="shared" si="78"/>
        <v>0</v>
      </c>
      <c r="R100">
        <f t="shared" si="79"/>
        <v>0</v>
      </c>
      <c r="S100">
        <f t="shared" si="80"/>
        <v>0</v>
      </c>
      <c r="T100">
        <f t="shared" si="81"/>
        <v>0</v>
      </c>
      <c r="U100">
        <f t="shared" si="82"/>
        <v>0</v>
      </c>
      <c r="V100">
        <f t="shared" si="83"/>
        <v>0</v>
      </c>
      <c r="W100">
        <f t="shared" si="84"/>
        <v>0</v>
      </c>
      <c r="X100">
        <f t="shared" si="85"/>
        <v>0</v>
      </c>
      <c r="Y100">
        <f t="shared" si="86"/>
        <v>0</v>
      </c>
      <c r="AA100">
        <v>31028412</v>
      </c>
      <c r="AB100">
        <f t="shared" si="87"/>
        <v>1912.53</v>
      </c>
      <c r="AC100">
        <f t="shared" si="88"/>
        <v>1912.53</v>
      </c>
      <c r="AD100">
        <f>ROUND((((ET100)-(EU100))+AE100),6)</f>
        <v>0</v>
      </c>
      <c r="AE100">
        <f t="shared" si="115"/>
        <v>0</v>
      </c>
      <c r="AF100">
        <f t="shared" si="115"/>
        <v>0</v>
      </c>
      <c r="AG100">
        <f t="shared" si="89"/>
        <v>0</v>
      </c>
      <c r="AH100">
        <f t="shared" si="116"/>
        <v>0</v>
      </c>
      <c r="AI100">
        <f t="shared" si="116"/>
        <v>0</v>
      </c>
      <c r="AJ100">
        <f t="shared" si="90"/>
        <v>0</v>
      </c>
      <c r="AK100">
        <v>1912.53</v>
      </c>
      <c r="AL100">
        <v>1912.53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1</v>
      </c>
      <c r="AW100">
        <v>1</v>
      </c>
      <c r="AZ100">
        <v>1</v>
      </c>
      <c r="BA100">
        <v>1</v>
      </c>
      <c r="BB100">
        <v>1</v>
      </c>
      <c r="BC100">
        <v>1</v>
      </c>
      <c r="BD100" t="s">
        <v>6</v>
      </c>
      <c r="BE100" t="s">
        <v>6</v>
      </c>
      <c r="BF100" t="s">
        <v>6</v>
      </c>
      <c r="BG100" t="s">
        <v>6</v>
      </c>
      <c r="BH100">
        <v>3</v>
      </c>
      <c r="BI100">
        <v>1</v>
      </c>
      <c r="BJ100" t="s">
        <v>164</v>
      </c>
      <c r="BM100">
        <v>500001</v>
      </c>
      <c r="BN100">
        <v>0</v>
      </c>
      <c r="BO100" t="s">
        <v>111</v>
      </c>
      <c r="BP100">
        <v>1</v>
      </c>
      <c r="BQ100">
        <v>8</v>
      </c>
      <c r="BR100">
        <v>0</v>
      </c>
      <c r="BS100">
        <v>1</v>
      </c>
      <c r="BT100">
        <v>1</v>
      </c>
      <c r="BU100">
        <v>1</v>
      </c>
      <c r="BV100">
        <v>1</v>
      </c>
      <c r="BW100">
        <v>1</v>
      </c>
      <c r="BX100">
        <v>1</v>
      </c>
      <c r="BY100" t="s">
        <v>6</v>
      </c>
      <c r="BZ100">
        <v>0</v>
      </c>
      <c r="CA100">
        <v>0</v>
      </c>
      <c r="CB100" t="s">
        <v>6</v>
      </c>
      <c r="CE100">
        <v>0</v>
      </c>
      <c r="CF100">
        <v>0</v>
      </c>
      <c r="CG100">
        <v>0</v>
      </c>
      <c r="CM100">
        <v>0</v>
      </c>
      <c r="CN100" t="s">
        <v>6</v>
      </c>
      <c r="CO100">
        <v>0</v>
      </c>
      <c r="CP100">
        <f t="shared" si="91"/>
        <v>27458.880000000001</v>
      </c>
      <c r="CQ100">
        <f t="shared" si="92"/>
        <v>1912.53</v>
      </c>
      <c r="CR100">
        <f t="shared" si="93"/>
        <v>0</v>
      </c>
      <c r="CS100">
        <f t="shared" si="94"/>
        <v>0</v>
      </c>
      <c r="CT100">
        <f t="shared" si="95"/>
        <v>0</v>
      </c>
      <c r="CU100">
        <f t="shared" si="96"/>
        <v>0</v>
      </c>
      <c r="CV100">
        <f t="shared" si="97"/>
        <v>0</v>
      </c>
      <c r="CW100">
        <f t="shared" si="98"/>
        <v>0</v>
      </c>
      <c r="CX100">
        <f t="shared" si="99"/>
        <v>0</v>
      </c>
      <c r="CY100">
        <f t="shared" si="100"/>
        <v>0</v>
      </c>
      <c r="CZ100">
        <f t="shared" si="101"/>
        <v>0</v>
      </c>
      <c r="DC100" t="s">
        <v>6</v>
      </c>
      <c r="DD100" t="s">
        <v>6</v>
      </c>
      <c r="DE100" t="s">
        <v>6</v>
      </c>
      <c r="DF100" t="s">
        <v>6</v>
      </c>
      <c r="DG100" t="s">
        <v>6</v>
      </c>
      <c r="DH100" t="s">
        <v>6</v>
      </c>
      <c r="DI100" t="s">
        <v>6</v>
      </c>
      <c r="DJ100" t="s">
        <v>6</v>
      </c>
      <c r="DK100" t="s">
        <v>6</v>
      </c>
      <c r="DL100" t="s">
        <v>6</v>
      </c>
      <c r="DM100" t="s">
        <v>6</v>
      </c>
      <c r="DN100">
        <v>0</v>
      </c>
      <c r="DO100">
        <v>0</v>
      </c>
      <c r="DP100">
        <v>1</v>
      </c>
      <c r="DQ100">
        <v>1</v>
      </c>
      <c r="DU100">
        <v>1010</v>
      </c>
      <c r="DV100" t="s">
        <v>155</v>
      </c>
      <c r="DW100" t="s">
        <v>155</v>
      </c>
      <c r="DX100">
        <v>1000</v>
      </c>
      <c r="DZ100" t="s">
        <v>6</v>
      </c>
      <c r="EA100" t="s">
        <v>6</v>
      </c>
      <c r="EB100" t="s">
        <v>6</v>
      </c>
      <c r="EC100" t="s">
        <v>6</v>
      </c>
      <c r="EE100">
        <v>30852824</v>
      </c>
      <c r="EF100">
        <v>8</v>
      </c>
      <c r="EG100" t="s">
        <v>112</v>
      </c>
      <c r="EH100">
        <v>0</v>
      </c>
      <c r="EI100" t="s">
        <v>6</v>
      </c>
      <c r="EJ100">
        <v>1</v>
      </c>
      <c r="EK100">
        <v>500001</v>
      </c>
      <c r="EL100" t="s">
        <v>113</v>
      </c>
      <c r="EM100" t="s">
        <v>114</v>
      </c>
      <c r="EO100" t="s">
        <v>6</v>
      </c>
      <c r="EQ100">
        <v>0</v>
      </c>
      <c r="ER100">
        <v>1912.53</v>
      </c>
      <c r="ES100">
        <v>1912.53</v>
      </c>
      <c r="ET100">
        <v>0</v>
      </c>
      <c r="EU100">
        <v>0</v>
      </c>
      <c r="EV100">
        <v>0</v>
      </c>
      <c r="EW100">
        <v>0</v>
      </c>
      <c r="EX100">
        <v>0</v>
      </c>
      <c r="EY100">
        <v>0</v>
      </c>
      <c r="FQ100">
        <v>0</v>
      </c>
      <c r="FR100">
        <f t="shared" si="102"/>
        <v>0</v>
      </c>
      <c r="FS100">
        <v>0</v>
      </c>
      <c r="FX100">
        <v>0</v>
      </c>
      <c r="FY100">
        <v>0</v>
      </c>
      <c r="GA100" t="s">
        <v>6</v>
      </c>
      <c r="GD100">
        <v>1</v>
      </c>
      <c r="GF100">
        <v>-1674372488</v>
      </c>
      <c r="GG100">
        <v>2</v>
      </c>
      <c r="GH100">
        <v>1</v>
      </c>
      <c r="GI100">
        <v>4</v>
      </c>
      <c r="GJ100">
        <v>0</v>
      </c>
      <c r="GK100">
        <v>0</v>
      </c>
      <c r="GL100">
        <f t="shared" si="103"/>
        <v>0</v>
      </c>
      <c r="GM100">
        <f t="shared" si="104"/>
        <v>27458.880000000001</v>
      </c>
      <c r="GN100">
        <f t="shared" si="105"/>
        <v>27458.880000000001</v>
      </c>
      <c r="GO100">
        <f t="shared" si="106"/>
        <v>0</v>
      </c>
      <c r="GP100">
        <f t="shared" si="107"/>
        <v>0</v>
      </c>
      <c r="GR100">
        <v>0</v>
      </c>
      <c r="GS100">
        <v>3</v>
      </c>
      <c r="GT100">
        <v>0</v>
      </c>
      <c r="GU100" t="s">
        <v>6</v>
      </c>
      <c r="GV100">
        <f t="shared" si="108"/>
        <v>0</v>
      </c>
      <c r="GW100">
        <v>1</v>
      </c>
      <c r="GX100">
        <f t="shared" si="109"/>
        <v>0</v>
      </c>
      <c r="HA100">
        <v>0</v>
      </c>
      <c r="HB100">
        <v>0</v>
      </c>
      <c r="HC100">
        <f t="shared" si="110"/>
        <v>0</v>
      </c>
      <c r="HE100" t="s">
        <v>6</v>
      </c>
      <c r="HF100" t="s">
        <v>6</v>
      </c>
      <c r="HI100">
        <f t="shared" si="111"/>
        <v>0</v>
      </c>
      <c r="HJ100">
        <f t="shared" si="112"/>
        <v>0</v>
      </c>
      <c r="HK100">
        <f t="shared" si="113"/>
        <v>0</v>
      </c>
      <c r="HL100">
        <f t="shared" si="114"/>
        <v>0</v>
      </c>
      <c r="HM100" t="s">
        <v>6</v>
      </c>
      <c r="HN100" t="s">
        <v>6</v>
      </c>
      <c r="HO100" t="s">
        <v>6</v>
      </c>
      <c r="HP100" t="s">
        <v>6</v>
      </c>
      <c r="HQ100" t="s">
        <v>6</v>
      </c>
      <c r="IK100">
        <v>0</v>
      </c>
    </row>
    <row r="101" spans="1:245">
      <c r="A101">
        <v>17</v>
      </c>
      <c r="B101">
        <v>1</v>
      </c>
      <c r="C101">
        <f>ROW(SmtRes!A77)</f>
        <v>77</v>
      </c>
      <c r="D101">
        <f>ROW(EtalonRes!A90)</f>
        <v>90</v>
      </c>
      <c r="E101" t="s">
        <v>220</v>
      </c>
      <c r="F101" t="s">
        <v>221</v>
      </c>
      <c r="G101" t="s">
        <v>222</v>
      </c>
      <c r="H101" t="s">
        <v>223</v>
      </c>
      <c r="I101">
        <v>9.9</v>
      </c>
      <c r="J101">
        <v>0</v>
      </c>
      <c r="K101">
        <v>9.9</v>
      </c>
      <c r="O101">
        <f t="shared" si="76"/>
        <v>16535.71</v>
      </c>
      <c r="P101">
        <f t="shared" si="77"/>
        <v>8903.66</v>
      </c>
      <c r="Q101">
        <f t="shared" si="78"/>
        <v>3479.6</v>
      </c>
      <c r="R101">
        <f t="shared" si="79"/>
        <v>465.87</v>
      </c>
      <c r="S101">
        <f t="shared" si="80"/>
        <v>4152.45</v>
      </c>
      <c r="T101">
        <f t="shared" si="81"/>
        <v>0</v>
      </c>
      <c r="U101">
        <f t="shared" si="82"/>
        <v>446.97509999999994</v>
      </c>
      <c r="V101">
        <f t="shared" si="83"/>
        <v>44.970749999999995</v>
      </c>
      <c r="W101">
        <f t="shared" si="84"/>
        <v>0</v>
      </c>
      <c r="X101">
        <f t="shared" si="85"/>
        <v>4248.8500000000004</v>
      </c>
      <c r="Y101">
        <f t="shared" si="86"/>
        <v>2401.5300000000002</v>
      </c>
      <c r="AA101">
        <v>31028412</v>
      </c>
      <c r="AB101">
        <f t="shared" si="87"/>
        <v>1670.2739999999999</v>
      </c>
      <c r="AC101">
        <f t="shared" si="88"/>
        <v>899.36</v>
      </c>
      <c r="AD101">
        <f>ROUND(((((ET101*ROUND(1.15,7)))-((EU101*ROUND(1.15,7))))+AE101),6)</f>
        <v>351.47449999999998</v>
      </c>
      <c r="AE101">
        <f>ROUND(((EU101*ROUND(1.15,7))),6)</f>
        <v>47.058</v>
      </c>
      <c r="AF101">
        <f>ROUND(((EV101*ROUND(1.15,7))),6)</f>
        <v>419.43950000000001</v>
      </c>
      <c r="AG101">
        <f t="shared" si="89"/>
        <v>0</v>
      </c>
      <c r="AH101">
        <f>((EW101*ROUND(1.15,7)))</f>
        <v>45.148999999999994</v>
      </c>
      <c r="AI101">
        <f>((EX101*ROUND(1.15,7)))</f>
        <v>4.5424999999999995</v>
      </c>
      <c r="AJ101">
        <f t="shared" si="90"/>
        <v>0</v>
      </c>
      <c r="AK101">
        <v>1569.72</v>
      </c>
      <c r="AL101">
        <v>899.36</v>
      </c>
      <c r="AM101">
        <v>305.63</v>
      </c>
      <c r="AN101">
        <v>40.92</v>
      </c>
      <c r="AO101">
        <v>364.73</v>
      </c>
      <c r="AP101">
        <v>0</v>
      </c>
      <c r="AQ101">
        <v>39.26</v>
      </c>
      <c r="AR101">
        <v>3.95</v>
      </c>
      <c r="AS101">
        <v>0</v>
      </c>
      <c r="AT101">
        <v>92</v>
      </c>
      <c r="AU101">
        <v>52</v>
      </c>
      <c r="AV101">
        <v>1</v>
      </c>
      <c r="AW101">
        <v>1</v>
      </c>
      <c r="AZ101">
        <v>1</v>
      </c>
      <c r="BA101">
        <v>24.22</v>
      </c>
      <c r="BB101">
        <v>1</v>
      </c>
      <c r="BC101">
        <v>1</v>
      </c>
      <c r="BD101" t="s">
        <v>6</v>
      </c>
      <c r="BE101" t="s">
        <v>6</v>
      </c>
      <c r="BF101" t="s">
        <v>6</v>
      </c>
      <c r="BG101" t="s">
        <v>6</v>
      </c>
      <c r="BH101">
        <v>0</v>
      </c>
      <c r="BI101">
        <v>1</v>
      </c>
      <c r="BJ101" t="s">
        <v>224</v>
      </c>
      <c r="BM101">
        <v>53001</v>
      </c>
      <c r="BN101">
        <v>0</v>
      </c>
      <c r="BO101" t="s">
        <v>1327</v>
      </c>
      <c r="BP101">
        <v>1</v>
      </c>
      <c r="BQ101">
        <v>6</v>
      </c>
      <c r="BR101">
        <v>0</v>
      </c>
      <c r="BS101">
        <v>24.22</v>
      </c>
      <c r="BT101">
        <v>1</v>
      </c>
      <c r="BU101">
        <v>1</v>
      </c>
      <c r="BV101">
        <v>1</v>
      </c>
      <c r="BW101">
        <v>1</v>
      </c>
      <c r="BX101">
        <v>1</v>
      </c>
      <c r="BY101" t="s">
        <v>6</v>
      </c>
      <c r="BZ101">
        <v>92</v>
      </c>
      <c r="CA101">
        <v>52</v>
      </c>
      <c r="CB101" t="s">
        <v>6</v>
      </c>
      <c r="CE101">
        <v>0</v>
      </c>
      <c r="CF101">
        <v>0</v>
      </c>
      <c r="CG101">
        <v>0</v>
      </c>
      <c r="CM101">
        <v>0</v>
      </c>
      <c r="CN101" t="s">
        <v>6</v>
      </c>
      <c r="CO101">
        <v>0</v>
      </c>
      <c r="CP101">
        <f t="shared" si="91"/>
        <v>16535.71</v>
      </c>
      <c r="CQ101">
        <f t="shared" si="92"/>
        <v>899.36</v>
      </c>
      <c r="CR101">
        <f t="shared" si="93"/>
        <v>351.47449999999998</v>
      </c>
      <c r="CS101">
        <f t="shared" si="94"/>
        <v>47.058</v>
      </c>
      <c r="CT101">
        <f t="shared" si="95"/>
        <v>419.43950000000001</v>
      </c>
      <c r="CU101">
        <f t="shared" si="96"/>
        <v>0</v>
      </c>
      <c r="CV101">
        <f t="shared" si="97"/>
        <v>45.148999999999994</v>
      </c>
      <c r="CW101">
        <f t="shared" si="98"/>
        <v>4.5424999999999995</v>
      </c>
      <c r="CX101">
        <f t="shared" si="99"/>
        <v>0</v>
      </c>
      <c r="CY101">
        <f t="shared" si="100"/>
        <v>4248.8543999999993</v>
      </c>
      <c r="CZ101">
        <f t="shared" si="101"/>
        <v>2401.5263999999997</v>
      </c>
      <c r="DC101" t="s">
        <v>6</v>
      </c>
      <c r="DD101" t="s">
        <v>6</v>
      </c>
      <c r="DE101" t="s">
        <v>36</v>
      </c>
      <c r="DF101" t="s">
        <v>36</v>
      </c>
      <c r="DG101" t="s">
        <v>36</v>
      </c>
      <c r="DH101" t="s">
        <v>6</v>
      </c>
      <c r="DI101" t="s">
        <v>36</v>
      </c>
      <c r="DJ101" t="s">
        <v>36</v>
      </c>
      <c r="DK101" t="s">
        <v>6</v>
      </c>
      <c r="DL101" t="s">
        <v>6</v>
      </c>
      <c r="DM101" t="s">
        <v>6</v>
      </c>
      <c r="DN101">
        <v>0</v>
      </c>
      <c r="DO101">
        <v>0</v>
      </c>
      <c r="DP101">
        <v>1</v>
      </c>
      <c r="DQ101">
        <v>1</v>
      </c>
      <c r="DU101">
        <v>1013</v>
      </c>
      <c r="DV101" t="s">
        <v>223</v>
      </c>
      <c r="DW101" t="s">
        <v>223</v>
      </c>
      <c r="DX101">
        <v>1</v>
      </c>
      <c r="DZ101" t="s">
        <v>6</v>
      </c>
      <c r="EA101" t="s">
        <v>6</v>
      </c>
      <c r="EB101" t="s">
        <v>6</v>
      </c>
      <c r="EC101" t="s">
        <v>6</v>
      </c>
      <c r="EE101">
        <v>30853005</v>
      </c>
      <c r="EF101">
        <v>6</v>
      </c>
      <c r="EG101" t="s">
        <v>37</v>
      </c>
      <c r="EH101">
        <v>0</v>
      </c>
      <c r="EI101" t="s">
        <v>6</v>
      </c>
      <c r="EJ101">
        <v>1</v>
      </c>
      <c r="EK101">
        <v>53001</v>
      </c>
      <c r="EL101" t="s">
        <v>150</v>
      </c>
      <c r="EM101" t="s">
        <v>151</v>
      </c>
      <c r="EO101" t="s">
        <v>6</v>
      </c>
      <c r="EQ101">
        <v>131072</v>
      </c>
      <c r="ER101">
        <v>1569.72</v>
      </c>
      <c r="ES101">
        <v>899.36</v>
      </c>
      <c r="ET101">
        <v>305.63</v>
      </c>
      <c r="EU101">
        <v>40.92</v>
      </c>
      <c r="EV101">
        <v>364.73</v>
      </c>
      <c r="EW101">
        <v>39.26</v>
      </c>
      <c r="EX101">
        <v>3.95</v>
      </c>
      <c r="EY101">
        <v>0</v>
      </c>
      <c r="FQ101">
        <v>0</v>
      </c>
      <c r="FR101">
        <f t="shared" si="102"/>
        <v>0</v>
      </c>
      <c r="FS101">
        <v>0</v>
      </c>
      <c r="FX101">
        <v>92</v>
      </c>
      <c r="FY101">
        <v>52</v>
      </c>
      <c r="GA101" t="s">
        <v>6</v>
      </c>
      <c r="GD101">
        <v>1</v>
      </c>
      <c r="GF101">
        <v>95548696</v>
      </c>
      <c r="GG101">
        <v>2</v>
      </c>
      <c r="GH101">
        <v>1</v>
      </c>
      <c r="GI101">
        <v>4</v>
      </c>
      <c r="GJ101">
        <v>0</v>
      </c>
      <c r="GK101">
        <v>0</v>
      </c>
      <c r="GL101">
        <f t="shared" si="103"/>
        <v>0</v>
      </c>
      <c r="GM101">
        <f t="shared" si="104"/>
        <v>23186.09</v>
      </c>
      <c r="GN101">
        <f t="shared" si="105"/>
        <v>23186.09</v>
      </c>
      <c r="GO101">
        <f t="shared" si="106"/>
        <v>0</v>
      </c>
      <c r="GP101">
        <f t="shared" si="107"/>
        <v>0</v>
      </c>
      <c r="GR101">
        <v>0</v>
      </c>
      <c r="GS101">
        <v>0</v>
      </c>
      <c r="GT101">
        <v>0</v>
      </c>
      <c r="GU101" t="s">
        <v>6</v>
      </c>
      <c r="GV101">
        <f t="shared" si="108"/>
        <v>0</v>
      </c>
      <c r="GW101">
        <v>1</v>
      </c>
      <c r="GX101">
        <f t="shared" si="109"/>
        <v>0</v>
      </c>
      <c r="HA101">
        <v>0</v>
      </c>
      <c r="HB101">
        <v>0</v>
      </c>
      <c r="HC101">
        <f t="shared" si="110"/>
        <v>0</v>
      </c>
      <c r="HE101" t="s">
        <v>6</v>
      </c>
      <c r="HF101" t="s">
        <v>6</v>
      </c>
      <c r="HI101">
        <f t="shared" si="111"/>
        <v>11283</v>
      </c>
      <c r="HJ101">
        <f t="shared" si="112"/>
        <v>100572</v>
      </c>
      <c r="HK101">
        <f t="shared" si="113"/>
        <v>102907</v>
      </c>
      <c r="HL101">
        <f t="shared" si="114"/>
        <v>58165</v>
      </c>
      <c r="HM101" t="s">
        <v>6</v>
      </c>
      <c r="HN101" t="s">
        <v>6</v>
      </c>
      <c r="HO101" t="s">
        <v>6</v>
      </c>
      <c r="HP101" t="s">
        <v>6</v>
      </c>
      <c r="HQ101" t="s">
        <v>6</v>
      </c>
      <c r="IK101">
        <v>0</v>
      </c>
    </row>
    <row r="102" spans="1:245">
      <c r="A102">
        <v>17</v>
      </c>
      <c r="B102">
        <v>1</v>
      </c>
      <c r="E102" t="s">
        <v>225</v>
      </c>
      <c r="F102" t="s">
        <v>153</v>
      </c>
      <c r="G102" t="s">
        <v>154</v>
      </c>
      <c r="H102" t="s">
        <v>155</v>
      </c>
      <c r="I102">
        <f>ROUND(I101*-0.422,7)</f>
        <v>-4.1778000000000004</v>
      </c>
      <c r="J102">
        <v>0</v>
      </c>
      <c r="K102">
        <f>ROUND(I101*-0.422,7)</f>
        <v>-4.1778000000000004</v>
      </c>
      <c r="O102">
        <f t="shared" si="76"/>
        <v>-6946.43</v>
      </c>
      <c r="P102">
        <f t="shared" si="77"/>
        <v>-6946.43</v>
      </c>
      <c r="Q102">
        <f t="shared" si="78"/>
        <v>0</v>
      </c>
      <c r="R102">
        <f t="shared" si="79"/>
        <v>0</v>
      </c>
      <c r="S102">
        <f t="shared" si="80"/>
        <v>0</v>
      </c>
      <c r="T102">
        <f t="shared" si="81"/>
        <v>0</v>
      </c>
      <c r="U102">
        <f t="shared" si="82"/>
        <v>0</v>
      </c>
      <c r="V102">
        <f t="shared" si="83"/>
        <v>0</v>
      </c>
      <c r="W102">
        <f t="shared" si="84"/>
        <v>0</v>
      </c>
      <c r="X102">
        <f t="shared" si="85"/>
        <v>0</v>
      </c>
      <c r="Y102">
        <f t="shared" si="86"/>
        <v>0</v>
      </c>
      <c r="AA102">
        <v>31028412</v>
      </c>
      <c r="AB102">
        <f t="shared" si="87"/>
        <v>1662.7</v>
      </c>
      <c r="AC102">
        <f t="shared" si="88"/>
        <v>1662.7</v>
      </c>
      <c r="AD102">
        <f>ROUND((((ET102)-(EU102))+AE102),6)</f>
        <v>0</v>
      </c>
      <c r="AE102">
        <f t="shared" ref="AE102:AF105" si="117">ROUND((EU102),6)</f>
        <v>0</v>
      </c>
      <c r="AF102">
        <f t="shared" si="117"/>
        <v>0</v>
      </c>
      <c r="AG102">
        <f t="shared" si="89"/>
        <v>0</v>
      </c>
      <c r="AH102">
        <f t="shared" ref="AH102:AI105" si="118">(EW102)</f>
        <v>0</v>
      </c>
      <c r="AI102">
        <f t="shared" si="118"/>
        <v>0</v>
      </c>
      <c r="AJ102">
        <f t="shared" si="90"/>
        <v>0</v>
      </c>
      <c r="AK102">
        <v>1662.7</v>
      </c>
      <c r="AL102">
        <v>1662.7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1</v>
      </c>
      <c r="AW102">
        <v>1</v>
      </c>
      <c r="AZ102">
        <v>1</v>
      </c>
      <c r="BA102">
        <v>1</v>
      </c>
      <c r="BB102">
        <v>1</v>
      </c>
      <c r="BC102">
        <v>1</v>
      </c>
      <c r="BD102" t="s">
        <v>6</v>
      </c>
      <c r="BE102" t="s">
        <v>6</v>
      </c>
      <c r="BF102" t="s">
        <v>6</v>
      </c>
      <c r="BG102" t="s">
        <v>6</v>
      </c>
      <c r="BH102">
        <v>3</v>
      </c>
      <c r="BI102">
        <v>1</v>
      </c>
      <c r="BJ102" t="s">
        <v>156</v>
      </c>
      <c r="BM102">
        <v>500001</v>
      </c>
      <c r="BN102">
        <v>0</v>
      </c>
      <c r="BO102" t="s">
        <v>111</v>
      </c>
      <c r="BP102">
        <v>1</v>
      </c>
      <c r="BQ102">
        <v>8</v>
      </c>
      <c r="BR102">
        <v>1</v>
      </c>
      <c r="BS102">
        <v>1</v>
      </c>
      <c r="BT102">
        <v>1</v>
      </c>
      <c r="BU102">
        <v>1</v>
      </c>
      <c r="BV102">
        <v>1</v>
      </c>
      <c r="BW102">
        <v>1</v>
      </c>
      <c r="BX102">
        <v>1</v>
      </c>
      <c r="BY102" t="s">
        <v>6</v>
      </c>
      <c r="BZ102">
        <v>0</v>
      </c>
      <c r="CA102">
        <v>0</v>
      </c>
      <c r="CB102" t="s">
        <v>6</v>
      </c>
      <c r="CE102">
        <v>0</v>
      </c>
      <c r="CF102">
        <v>0</v>
      </c>
      <c r="CG102">
        <v>0</v>
      </c>
      <c r="CM102">
        <v>0</v>
      </c>
      <c r="CN102" t="s">
        <v>6</v>
      </c>
      <c r="CO102">
        <v>0</v>
      </c>
      <c r="CP102">
        <f t="shared" si="91"/>
        <v>-6946.43</v>
      </c>
      <c r="CQ102">
        <f t="shared" si="92"/>
        <v>1662.7</v>
      </c>
      <c r="CR102">
        <f t="shared" si="93"/>
        <v>0</v>
      </c>
      <c r="CS102">
        <f t="shared" si="94"/>
        <v>0</v>
      </c>
      <c r="CT102">
        <f t="shared" si="95"/>
        <v>0</v>
      </c>
      <c r="CU102">
        <f t="shared" si="96"/>
        <v>0</v>
      </c>
      <c r="CV102">
        <f t="shared" si="97"/>
        <v>0</v>
      </c>
      <c r="CW102">
        <f t="shared" si="98"/>
        <v>0</v>
      </c>
      <c r="CX102">
        <f t="shared" si="99"/>
        <v>0</v>
      </c>
      <c r="CY102">
        <f t="shared" si="100"/>
        <v>0</v>
      </c>
      <c r="CZ102">
        <f t="shared" si="101"/>
        <v>0</v>
      </c>
      <c r="DC102" t="s">
        <v>6</v>
      </c>
      <c r="DD102" t="s">
        <v>6</v>
      </c>
      <c r="DE102" t="s">
        <v>6</v>
      </c>
      <c r="DF102" t="s">
        <v>6</v>
      </c>
      <c r="DG102" t="s">
        <v>6</v>
      </c>
      <c r="DH102" t="s">
        <v>6</v>
      </c>
      <c r="DI102" t="s">
        <v>6</v>
      </c>
      <c r="DJ102" t="s">
        <v>6</v>
      </c>
      <c r="DK102" t="s">
        <v>6</v>
      </c>
      <c r="DL102" t="s">
        <v>6</v>
      </c>
      <c r="DM102" t="s">
        <v>6</v>
      </c>
      <c r="DN102">
        <v>0</v>
      </c>
      <c r="DO102">
        <v>0</v>
      </c>
      <c r="DP102">
        <v>1</v>
      </c>
      <c r="DQ102">
        <v>1</v>
      </c>
      <c r="DU102">
        <v>1010</v>
      </c>
      <c r="DV102" t="s">
        <v>155</v>
      </c>
      <c r="DW102" t="s">
        <v>155</v>
      </c>
      <c r="DX102">
        <v>1000</v>
      </c>
      <c r="DZ102" t="s">
        <v>6</v>
      </c>
      <c r="EA102" t="s">
        <v>6</v>
      </c>
      <c r="EB102" t="s">
        <v>6</v>
      </c>
      <c r="EC102" t="s">
        <v>6</v>
      </c>
      <c r="EE102">
        <v>30852824</v>
      </c>
      <c r="EF102">
        <v>8</v>
      </c>
      <c r="EG102" t="s">
        <v>112</v>
      </c>
      <c r="EH102">
        <v>0</v>
      </c>
      <c r="EI102" t="s">
        <v>6</v>
      </c>
      <c r="EJ102">
        <v>1</v>
      </c>
      <c r="EK102">
        <v>500001</v>
      </c>
      <c r="EL102" t="s">
        <v>113</v>
      </c>
      <c r="EM102" t="s">
        <v>114</v>
      </c>
      <c r="EO102" t="s">
        <v>6</v>
      </c>
      <c r="EQ102">
        <v>32768</v>
      </c>
      <c r="ER102">
        <v>1662.7</v>
      </c>
      <c r="ES102">
        <v>1662.7</v>
      </c>
      <c r="ET102">
        <v>0</v>
      </c>
      <c r="EU102">
        <v>0</v>
      </c>
      <c r="EV102">
        <v>0</v>
      </c>
      <c r="EW102">
        <v>0</v>
      </c>
      <c r="EX102">
        <v>0</v>
      </c>
      <c r="EY102">
        <v>0</v>
      </c>
      <c r="FQ102">
        <v>0</v>
      </c>
      <c r="FR102">
        <f t="shared" si="102"/>
        <v>0</v>
      </c>
      <c r="FS102">
        <v>0</v>
      </c>
      <c r="FX102">
        <v>0</v>
      </c>
      <c r="FY102">
        <v>0</v>
      </c>
      <c r="GA102" t="s">
        <v>6</v>
      </c>
      <c r="GD102">
        <v>1</v>
      </c>
      <c r="GF102">
        <v>-1891761004</v>
      </c>
      <c r="GG102">
        <v>2</v>
      </c>
      <c r="GH102">
        <v>1</v>
      </c>
      <c r="GI102">
        <v>4</v>
      </c>
      <c r="GJ102">
        <v>0</v>
      </c>
      <c r="GK102">
        <v>0</v>
      </c>
      <c r="GL102">
        <f t="shared" si="103"/>
        <v>0</v>
      </c>
      <c r="GM102">
        <f t="shared" si="104"/>
        <v>-6946.43</v>
      </c>
      <c r="GN102">
        <f t="shared" si="105"/>
        <v>-6946.43</v>
      </c>
      <c r="GO102">
        <f t="shared" si="106"/>
        <v>0</v>
      </c>
      <c r="GP102">
        <f t="shared" si="107"/>
        <v>0</v>
      </c>
      <c r="GR102">
        <v>0</v>
      </c>
      <c r="GS102">
        <v>0</v>
      </c>
      <c r="GT102">
        <v>0</v>
      </c>
      <c r="GU102" t="s">
        <v>6</v>
      </c>
      <c r="GV102">
        <f t="shared" si="108"/>
        <v>0</v>
      </c>
      <c r="GW102">
        <v>1</v>
      </c>
      <c r="GX102">
        <f t="shared" si="109"/>
        <v>0</v>
      </c>
      <c r="HA102">
        <v>0</v>
      </c>
      <c r="HB102">
        <v>0</v>
      </c>
      <c r="HC102">
        <f t="shared" si="110"/>
        <v>0</v>
      </c>
      <c r="HE102" t="s">
        <v>6</v>
      </c>
      <c r="HF102" t="s">
        <v>6</v>
      </c>
      <c r="HI102">
        <f t="shared" si="111"/>
        <v>0</v>
      </c>
      <c r="HJ102">
        <f t="shared" si="112"/>
        <v>0</v>
      </c>
      <c r="HK102">
        <f t="shared" si="113"/>
        <v>0</v>
      </c>
      <c r="HL102">
        <f t="shared" si="114"/>
        <v>0</v>
      </c>
      <c r="HM102" t="s">
        <v>6</v>
      </c>
      <c r="HN102" t="s">
        <v>6</v>
      </c>
      <c r="HO102" t="s">
        <v>6</v>
      </c>
      <c r="HP102" t="s">
        <v>6</v>
      </c>
      <c r="HQ102" t="s">
        <v>6</v>
      </c>
      <c r="IK102">
        <v>0</v>
      </c>
    </row>
    <row r="103" spans="1:245">
      <c r="A103">
        <v>17</v>
      </c>
      <c r="B103">
        <v>1</v>
      </c>
      <c r="E103" t="s">
        <v>226</v>
      </c>
      <c r="F103" t="s">
        <v>158</v>
      </c>
      <c r="G103" t="s">
        <v>159</v>
      </c>
      <c r="H103" t="s">
        <v>109</v>
      </c>
      <c r="I103">
        <f>ROUND(I101*-0.242,7)</f>
        <v>-2.3957999999999999</v>
      </c>
      <c r="J103">
        <v>0</v>
      </c>
      <c r="K103">
        <f>ROUND(I101*-0.242,7)</f>
        <v>-2.3957999999999999</v>
      </c>
      <c r="O103">
        <f t="shared" si="76"/>
        <v>-1025.81</v>
      </c>
      <c r="P103">
        <f t="shared" si="77"/>
        <v>-1025.81</v>
      </c>
      <c r="Q103">
        <f t="shared" si="78"/>
        <v>0</v>
      </c>
      <c r="R103">
        <f t="shared" si="79"/>
        <v>0</v>
      </c>
      <c r="S103">
        <f t="shared" si="80"/>
        <v>0</v>
      </c>
      <c r="T103">
        <f t="shared" si="81"/>
        <v>0</v>
      </c>
      <c r="U103">
        <f t="shared" si="82"/>
        <v>0</v>
      </c>
      <c r="V103">
        <f t="shared" si="83"/>
        <v>0</v>
      </c>
      <c r="W103">
        <f t="shared" si="84"/>
        <v>0</v>
      </c>
      <c r="X103">
        <f t="shared" si="85"/>
        <v>0</v>
      </c>
      <c r="Y103">
        <f t="shared" si="86"/>
        <v>0</v>
      </c>
      <c r="AA103">
        <v>31028412</v>
      </c>
      <c r="AB103">
        <f t="shared" si="87"/>
        <v>428.17</v>
      </c>
      <c r="AC103">
        <f t="shared" si="88"/>
        <v>428.17</v>
      </c>
      <c r="AD103">
        <f>ROUND((((ET103)-(EU103))+AE103),6)</f>
        <v>0</v>
      </c>
      <c r="AE103">
        <f t="shared" si="117"/>
        <v>0</v>
      </c>
      <c r="AF103">
        <f t="shared" si="117"/>
        <v>0</v>
      </c>
      <c r="AG103">
        <f t="shared" si="89"/>
        <v>0</v>
      </c>
      <c r="AH103">
        <f t="shared" si="118"/>
        <v>0</v>
      </c>
      <c r="AI103">
        <f t="shared" si="118"/>
        <v>0</v>
      </c>
      <c r="AJ103">
        <f t="shared" si="90"/>
        <v>0</v>
      </c>
      <c r="AK103">
        <v>428.17</v>
      </c>
      <c r="AL103">
        <v>428.17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1</v>
      </c>
      <c r="AW103">
        <v>1</v>
      </c>
      <c r="AZ103">
        <v>1</v>
      </c>
      <c r="BA103">
        <v>1</v>
      </c>
      <c r="BB103">
        <v>1</v>
      </c>
      <c r="BC103">
        <v>1</v>
      </c>
      <c r="BD103" t="s">
        <v>6</v>
      </c>
      <c r="BE103" t="s">
        <v>6</v>
      </c>
      <c r="BF103" t="s">
        <v>6</v>
      </c>
      <c r="BG103" t="s">
        <v>6</v>
      </c>
      <c r="BH103">
        <v>3</v>
      </c>
      <c r="BI103">
        <v>1</v>
      </c>
      <c r="BJ103" t="s">
        <v>160</v>
      </c>
      <c r="BM103">
        <v>500001</v>
      </c>
      <c r="BN103">
        <v>0</v>
      </c>
      <c r="BO103" t="s">
        <v>111</v>
      </c>
      <c r="BP103">
        <v>1</v>
      </c>
      <c r="BQ103">
        <v>8</v>
      </c>
      <c r="BR103">
        <v>1</v>
      </c>
      <c r="BS103">
        <v>1</v>
      </c>
      <c r="BT103">
        <v>1</v>
      </c>
      <c r="BU103">
        <v>1</v>
      </c>
      <c r="BV103">
        <v>1</v>
      </c>
      <c r="BW103">
        <v>1</v>
      </c>
      <c r="BX103">
        <v>1</v>
      </c>
      <c r="BY103" t="s">
        <v>6</v>
      </c>
      <c r="BZ103">
        <v>0</v>
      </c>
      <c r="CA103">
        <v>0</v>
      </c>
      <c r="CB103" t="s">
        <v>6</v>
      </c>
      <c r="CE103">
        <v>0</v>
      </c>
      <c r="CF103">
        <v>0</v>
      </c>
      <c r="CG103">
        <v>0</v>
      </c>
      <c r="CM103">
        <v>0</v>
      </c>
      <c r="CN103" t="s">
        <v>6</v>
      </c>
      <c r="CO103">
        <v>0</v>
      </c>
      <c r="CP103">
        <f t="shared" si="91"/>
        <v>-1025.81</v>
      </c>
      <c r="CQ103">
        <f t="shared" si="92"/>
        <v>428.17</v>
      </c>
      <c r="CR103">
        <f t="shared" si="93"/>
        <v>0</v>
      </c>
      <c r="CS103">
        <f t="shared" si="94"/>
        <v>0</v>
      </c>
      <c r="CT103">
        <f t="shared" si="95"/>
        <v>0</v>
      </c>
      <c r="CU103">
        <f t="shared" si="96"/>
        <v>0</v>
      </c>
      <c r="CV103">
        <f t="shared" si="97"/>
        <v>0</v>
      </c>
      <c r="CW103">
        <f t="shared" si="98"/>
        <v>0</v>
      </c>
      <c r="CX103">
        <f t="shared" si="99"/>
        <v>0</v>
      </c>
      <c r="CY103">
        <f t="shared" si="100"/>
        <v>0</v>
      </c>
      <c r="CZ103">
        <f t="shared" si="101"/>
        <v>0</v>
      </c>
      <c r="DC103" t="s">
        <v>6</v>
      </c>
      <c r="DD103" t="s">
        <v>6</v>
      </c>
      <c r="DE103" t="s">
        <v>6</v>
      </c>
      <c r="DF103" t="s">
        <v>6</v>
      </c>
      <c r="DG103" t="s">
        <v>6</v>
      </c>
      <c r="DH103" t="s">
        <v>6</v>
      </c>
      <c r="DI103" t="s">
        <v>6</v>
      </c>
      <c r="DJ103" t="s">
        <v>6</v>
      </c>
      <c r="DK103" t="s">
        <v>6</v>
      </c>
      <c r="DL103" t="s">
        <v>6</v>
      </c>
      <c r="DM103" t="s">
        <v>6</v>
      </c>
      <c r="DN103">
        <v>0</v>
      </c>
      <c r="DO103">
        <v>0</v>
      </c>
      <c r="DP103">
        <v>1</v>
      </c>
      <c r="DQ103">
        <v>1</v>
      </c>
      <c r="DU103">
        <v>1007</v>
      </c>
      <c r="DV103" t="s">
        <v>109</v>
      </c>
      <c r="DW103" t="s">
        <v>109</v>
      </c>
      <c r="DX103">
        <v>1</v>
      </c>
      <c r="DZ103" t="s">
        <v>6</v>
      </c>
      <c r="EA103" t="s">
        <v>6</v>
      </c>
      <c r="EB103" t="s">
        <v>6</v>
      </c>
      <c r="EC103" t="s">
        <v>6</v>
      </c>
      <c r="EE103">
        <v>30852824</v>
      </c>
      <c r="EF103">
        <v>8</v>
      </c>
      <c r="EG103" t="s">
        <v>112</v>
      </c>
      <c r="EH103">
        <v>0</v>
      </c>
      <c r="EI103" t="s">
        <v>6</v>
      </c>
      <c r="EJ103">
        <v>1</v>
      </c>
      <c r="EK103">
        <v>500001</v>
      </c>
      <c r="EL103" t="s">
        <v>113</v>
      </c>
      <c r="EM103" t="s">
        <v>114</v>
      </c>
      <c r="EO103" t="s">
        <v>6</v>
      </c>
      <c r="EQ103">
        <v>32768</v>
      </c>
      <c r="ER103">
        <v>428.17</v>
      </c>
      <c r="ES103">
        <v>428.17</v>
      </c>
      <c r="ET103">
        <v>0</v>
      </c>
      <c r="EU103">
        <v>0</v>
      </c>
      <c r="EV103">
        <v>0</v>
      </c>
      <c r="EW103">
        <v>0</v>
      </c>
      <c r="EX103">
        <v>0</v>
      </c>
      <c r="EY103">
        <v>0</v>
      </c>
      <c r="FQ103">
        <v>0</v>
      </c>
      <c r="FR103">
        <f t="shared" si="102"/>
        <v>0</v>
      </c>
      <c r="FS103">
        <v>0</v>
      </c>
      <c r="FX103">
        <v>0</v>
      </c>
      <c r="FY103">
        <v>0</v>
      </c>
      <c r="GA103" t="s">
        <v>6</v>
      </c>
      <c r="GD103">
        <v>1</v>
      </c>
      <c r="GF103">
        <v>2037766963</v>
      </c>
      <c r="GG103">
        <v>2</v>
      </c>
      <c r="GH103">
        <v>1</v>
      </c>
      <c r="GI103">
        <v>4</v>
      </c>
      <c r="GJ103">
        <v>0</v>
      </c>
      <c r="GK103">
        <v>0</v>
      </c>
      <c r="GL103">
        <f t="shared" si="103"/>
        <v>0</v>
      </c>
      <c r="GM103">
        <f t="shared" si="104"/>
        <v>-1025.81</v>
      </c>
      <c r="GN103">
        <f t="shared" si="105"/>
        <v>-1025.81</v>
      </c>
      <c r="GO103">
        <f t="shared" si="106"/>
        <v>0</v>
      </c>
      <c r="GP103">
        <f t="shared" si="107"/>
        <v>0</v>
      </c>
      <c r="GR103">
        <v>0</v>
      </c>
      <c r="GS103">
        <v>0</v>
      </c>
      <c r="GT103">
        <v>0</v>
      </c>
      <c r="GU103" t="s">
        <v>6</v>
      </c>
      <c r="GV103">
        <f t="shared" si="108"/>
        <v>0</v>
      </c>
      <c r="GW103">
        <v>1</v>
      </c>
      <c r="GX103">
        <f t="shared" si="109"/>
        <v>0</v>
      </c>
      <c r="HA103">
        <v>0</v>
      </c>
      <c r="HB103">
        <v>0</v>
      </c>
      <c r="HC103">
        <f t="shared" si="110"/>
        <v>0</v>
      </c>
      <c r="HE103" t="s">
        <v>6</v>
      </c>
      <c r="HF103" t="s">
        <v>6</v>
      </c>
      <c r="HI103">
        <f t="shared" si="111"/>
        <v>0</v>
      </c>
      <c r="HJ103">
        <f t="shared" si="112"/>
        <v>0</v>
      </c>
      <c r="HK103">
        <f t="shared" si="113"/>
        <v>0</v>
      </c>
      <c r="HL103">
        <f t="shared" si="114"/>
        <v>0</v>
      </c>
      <c r="HM103" t="s">
        <v>6</v>
      </c>
      <c r="HN103" t="s">
        <v>6</v>
      </c>
      <c r="HO103" t="s">
        <v>6</v>
      </c>
      <c r="HP103" t="s">
        <v>6</v>
      </c>
      <c r="HQ103" t="s">
        <v>6</v>
      </c>
      <c r="IK103">
        <v>0</v>
      </c>
    </row>
    <row r="104" spans="1:245">
      <c r="A104">
        <v>17</v>
      </c>
      <c r="B104">
        <v>1</v>
      </c>
      <c r="E104" t="s">
        <v>227</v>
      </c>
      <c r="F104" t="s">
        <v>166</v>
      </c>
      <c r="G104" t="s">
        <v>167</v>
      </c>
      <c r="H104" t="s">
        <v>109</v>
      </c>
      <c r="I104">
        <v>2.3957999999999999</v>
      </c>
      <c r="J104">
        <v>0</v>
      </c>
      <c r="K104">
        <v>2.3957999999999999</v>
      </c>
      <c r="O104">
        <f t="shared" si="76"/>
        <v>1158.99</v>
      </c>
      <c r="P104">
        <f t="shared" si="77"/>
        <v>1158.99</v>
      </c>
      <c r="Q104">
        <f t="shared" si="78"/>
        <v>0</v>
      </c>
      <c r="R104">
        <f t="shared" si="79"/>
        <v>0</v>
      </c>
      <c r="S104">
        <f t="shared" si="80"/>
        <v>0</v>
      </c>
      <c r="T104">
        <f t="shared" si="81"/>
        <v>0</v>
      </c>
      <c r="U104">
        <f t="shared" si="82"/>
        <v>0</v>
      </c>
      <c r="V104">
        <f t="shared" si="83"/>
        <v>0</v>
      </c>
      <c r="W104">
        <f t="shared" si="84"/>
        <v>0</v>
      </c>
      <c r="X104">
        <f t="shared" si="85"/>
        <v>0</v>
      </c>
      <c r="Y104">
        <f t="shared" si="86"/>
        <v>0</v>
      </c>
      <c r="AA104">
        <v>31028412</v>
      </c>
      <c r="AB104">
        <f t="shared" si="87"/>
        <v>483.76</v>
      </c>
      <c r="AC104">
        <f t="shared" si="88"/>
        <v>483.76</v>
      </c>
      <c r="AD104">
        <f>ROUND((((ET104)-(EU104))+AE104),6)</f>
        <v>0</v>
      </c>
      <c r="AE104">
        <f t="shared" si="117"/>
        <v>0</v>
      </c>
      <c r="AF104">
        <f t="shared" si="117"/>
        <v>0</v>
      </c>
      <c r="AG104">
        <f t="shared" si="89"/>
        <v>0</v>
      </c>
      <c r="AH104">
        <f t="shared" si="118"/>
        <v>0</v>
      </c>
      <c r="AI104">
        <f t="shared" si="118"/>
        <v>0</v>
      </c>
      <c r="AJ104">
        <f t="shared" si="90"/>
        <v>0</v>
      </c>
      <c r="AK104">
        <v>483.76</v>
      </c>
      <c r="AL104">
        <v>483.76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1</v>
      </c>
      <c r="AW104">
        <v>1</v>
      </c>
      <c r="AZ104">
        <v>1</v>
      </c>
      <c r="BA104">
        <v>1</v>
      </c>
      <c r="BB104">
        <v>1</v>
      </c>
      <c r="BC104">
        <v>1</v>
      </c>
      <c r="BD104" t="s">
        <v>6</v>
      </c>
      <c r="BE104" t="s">
        <v>6</v>
      </c>
      <c r="BF104" t="s">
        <v>6</v>
      </c>
      <c r="BG104" t="s">
        <v>6</v>
      </c>
      <c r="BH104">
        <v>3</v>
      </c>
      <c r="BI104">
        <v>1</v>
      </c>
      <c r="BJ104" t="s">
        <v>168</v>
      </c>
      <c r="BM104">
        <v>500001</v>
      </c>
      <c r="BN104">
        <v>0</v>
      </c>
      <c r="BO104" t="s">
        <v>111</v>
      </c>
      <c r="BP104">
        <v>1</v>
      </c>
      <c r="BQ104">
        <v>8</v>
      </c>
      <c r="BR104">
        <v>0</v>
      </c>
      <c r="BS104">
        <v>1</v>
      </c>
      <c r="BT104">
        <v>1</v>
      </c>
      <c r="BU104">
        <v>1</v>
      </c>
      <c r="BV104">
        <v>1</v>
      </c>
      <c r="BW104">
        <v>1</v>
      </c>
      <c r="BX104">
        <v>1</v>
      </c>
      <c r="BY104" t="s">
        <v>6</v>
      </c>
      <c r="BZ104">
        <v>0</v>
      </c>
      <c r="CA104">
        <v>0</v>
      </c>
      <c r="CB104" t="s">
        <v>6</v>
      </c>
      <c r="CE104">
        <v>0</v>
      </c>
      <c r="CF104">
        <v>0</v>
      </c>
      <c r="CG104">
        <v>0</v>
      </c>
      <c r="CM104">
        <v>0</v>
      </c>
      <c r="CN104" t="s">
        <v>6</v>
      </c>
      <c r="CO104">
        <v>0</v>
      </c>
      <c r="CP104">
        <f t="shared" si="91"/>
        <v>1158.99</v>
      </c>
      <c r="CQ104">
        <f t="shared" si="92"/>
        <v>483.76</v>
      </c>
      <c r="CR104">
        <f t="shared" si="93"/>
        <v>0</v>
      </c>
      <c r="CS104">
        <f t="shared" si="94"/>
        <v>0</v>
      </c>
      <c r="CT104">
        <f t="shared" si="95"/>
        <v>0</v>
      </c>
      <c r="CU104">
        <f t="shared" si="96"/>
        <v>0</v>
      </c>
      <c r="CV104">
        <f t="shared" si="97"/>
        <v>0</v>
      </c>
      <c r="CW104">
        <f t="shared" si="98"/>
        <v>0</v>
      </c>
      <c r="CX104">
        <f t="shared" si="99"/>
        <v>0</v>
      </c>
      <c r="CY104">
        <f t="shared" si="100"/>
        <v>0</v>
      </c>
      <c r="CZ104">
        <f t="shared" si="101"/>
        <v>0</v>
      </c>
      <c r="DC104" t="s">
        <v>6</v>
      </c>
      <c r="DD104" t="s">
        <v>6</v>
      </c>
      <c r="DE104" t="s">
        <v>6</v>
      </c>
      <c r="DF104" t="s">
        <v>6</v>
      </c>
      <c r="DG104" t="s">
        <v>6</v>
      </c>
      <c r="DH104" t="s">
        <v>6</v>
      </c>
      <c r="DI104" t="s">
        <v>6</v>
      </c>
      <c r="DJ104" t="s">
        <v>6</v>
      </c>
      <c r="DK104" t="s">
        <v>6</v>
      </c>
      <c r="DL104" t="s">
        <v>6</v>
      </c>
      <c r="DM104" t="s">
        <v>6</v>
      </c>
      <c r="DN104">
        <v>0</v>
      </c>
      <c r="DO104">
        <v>0</v>
      </c>
      <c r="DP104">
        <v>1</v>
      </c>
      <c r="DQ104">
        <v>1</v>
      </c>
      <c r="DU104">
        <v>1007</v>
      </c>
      <c r="DV104" t="s">
        <v>109</v>
      </c>
      <c r="DW104" t="s">
        <v>109</v>
      </c>
      <c r="DX104">
        <v>1</v>
      </c>
      <c r="DZ104" t="s">
        <v>6</v>
      </c>
      <c r="EA104" t="s">
        <v>6</v>
      </c>
      <c r="EB104" t="s">
        <v>6</v>
      </c>
      <c r="EC104" t="s">
        <v>6</v>
      </c>
      <c r="EE104">
        <v>30852824</v>
      </c>
      <c r="EF104">
        <v>8</v>
      </c>
      <c r="EG104" t="s">
        <v>112</v>
      </c>
      <c r="EH104">
        <v>0</v>
      </c>
      <c r="EI104" t="s">
        <v>6</v>
      </c>
      <c r="EJ104">
        <v>1</v>
      </c>
      <c r="EK104">
        <v>500001</v>
      </c>
      <c r="EL104" t="s">
        <v>113</v>
      </c>
      <c r="EM104" t="s">
        <v>114</v>
      </c>
      <c r="EO104" t="s">
        <v>6</v>
      </c>
      <c r="EQ104">
        <v>131072</v>
      </c>
      <c r="ER104">
        <v>483.76</v>
      </c>
      <c r="ES104">
        <v>483.76</v>
      </c>
      <c r="ET104">
        <v>0</v>
      </c>
      <c r="EU104">
        <v>0</v>
      </c>
      <c r="EV104">
        <v>0</v>
      </c>
      <c r="EW104">
        <v>0</v>
      </c>
      <c r="EX104">
        <v>0</v>
      </c>
      <c r="EY104">
        <v>0</v>
      </c>
      <c r="FQ104">
        <v>0</v>
      </c>
      <c r="FR104">
        <f t="shared" si="102"/>
        <v>0</v>
      </c>
      <c r="FS104">
        <v>0</v>
      </c>
      <c r="FX104">
        <v>0</v>
      </c>
      <c r="FY104">
        <v>0</v>
      </c>
      <c r="GA104" t="s">
        <v>6</v>
      </c>
      <c r="GD104">
        <v>1</v>
      </c>
      <c r="GF104">
        <v>-216866240</v>
      </c>
      <c r="GG104">
        <v>2</v>
      </c>
      <c r="GH104">
        <v>1</v>
      </c>
      <c r="GI104">
        <v>4</v>
      </c>
      <c r="GJ104">
        <v>0</v>
      </c>
      <c r="GK104">
        <v>0</v>
      </c>
      <c r="GL104">
        <f t="shared" si="103"/>
        <v>0</v>
      </c>
      <c r="GM104">
        <f t="shared" si="104"/>
        <v>1158.99</v>
      </c>
      <c r="GN104">
        <f t="shared" si="105"/>
        <v>1158.99</v>
      </c>
      <c r="GO104">
        <f t="shared" si="106"/>
        <v>0</v>
      </c>
      <c r="GP104">
        <f t="shared" si="107"/>
        <v>0</v>
      </c>
      <c r="GR104">
        <v>0</v>
      </c>
      <c r="GS104">
        <v>0</v>
      </c>
      <c r="GT104">
        <v>0</v>
      </c>
      <c r="GU104" t="s">
        <v>6</v>
      </c>
      <c r="GV104">
        <f t="shared" si="108"/>
        <v>0</v>
      </c>
      <c r="GW104">
        <v>1</v>
      </c>
      <c r="GX104">
        <f t="shared" si="109"/>
        <v>0</v>
      </c>
      <c r="HA104">
        <v>0</v>
      </c>
      <c r="HB104">
        <v>0</v>
      </c>
      <c r="HC104">
        <f t="shared" si="110"/>
        <v>0</v>
      </c>
      <c r="HE104" t="s">
        <v>6</v>
      </c>
      <c r="HF104" t="s">
        <v>6</v>
      </c>
      <c r="HI104">
        <f t="shared" si="111"/>
        <v>0</v>
      </c>
      <c r="HJ104">
        <f t="shared" si="112"/>
        <v>0</v>
      </c>
      <c r="HK104">
        <f t="shared" si="113"/>
        <v>0</v>
      </c>
      <c r="HL104">
        <f t="shared" si="114"/>
        <v>0</v>
      </c>
      <c r="HM104" t="s">
        <v>6</v>
      </c>
      <c r="HN104" t="s">
        <v>6</v>
      </c>
      <c r="HO104" t="s">
        <v>6</v>
      </c>
      <c r="HP104" t="s">
        <v>6</v>
      </c>
      <c r="HQ104" t="s">
        <v>6</v>
      </c>
      <c r="IK104">
        <v>0</v>
      </c>
    </row>
    <row r="105" spans="1:245">
      <c r="A105">
        <v>17</v>
      </c>
      <c r="B105">
        <v>1</v>
      </c>
      <c r="E105" t="s">
        <v>228</v>
      </c>
      <c r="F105" t="s">
        <v>162</v>
      </c>
      <c r="G105" t="s">
        <v>163</v>
      </c>
      <c r="H105" t="s">
        <v>155</v>
      </c>
      <c r="I105">
        <f>ROUND((4177.8)/1000,7)</f>
        <v>4.1778000000000004</v>
      </c>
      <c r="J105">
        <v>0</v>
      </c>
      <c r="K105">
        <f>ROUND((4177.8)/1000,7)</f>
        <v>4.1778000000000004</v>
      </c>
      <c r="O105">
        <f t="shared" si="76"/>
        <v>7990.17</v>
      </c>
      <c r="P105">
        <f t="shared" si="77"/>
        <v>7990.17</v>
      </c>
      <c r="Q105">
        <f t="shared" si="78"/>
        <v>0</v>
      </c>
      <c r="R105">
        <f t="shared" si="79"/>
        <v>0</v>
      </c>
      <c r="S105">
        <f t="shared" si="80"/>
        <v>0</v>
      </c>
      <c r="T105">
        <f t="shared" si="81"/>
        <v>0</v>
      </c>
      <c r="U105">
        <f t="shared" si="82"/>
        <v>0</v>
      </c>
      <c r="V105">
        <f t="shared" si="83"/>
        <v>0</v>
      </c>
      <c r="W105">
        <f t="shared" si="84"/>
        <v>0</v>
      </c>
      <c r="X105">
        <f t="shared" si="85"/>
        <v>0</v>
      </c>
      <c r="Y105">
        <f t="shared" si="86"/>
        <v>0</v>
      </c>
      <c r="AA105">
        <v>31028412</v>
      </c>
      <c r="AB105">
        <f t="shared" si="87"/>
        <v>1912.53</v>
      </c>
      <c r="AC105">
        <f t="shared" si="88"/>
        <v>1912.53</v>
      </c>
      <c r="AD105">
        <f>ROUND((((ET105)-(EU105))+AE105),6)</f>
        <v>0</v>
      </c>
      <c r="AE105">
        <f t="shared" si="117"/>
        <v>0</v>
      </c>
      <c r="AF105">
        <f t="shared" si="117"/>
        <v>0</v>
      </c>
      <c r="AG105">
        <f t="shared" si="89"/>
        <v>0</v>
      </c>
      <c r="AH105">
        <f t="shared" si="118"/>
        <v>0</v>
      </c>
      <c r="AI105">
        <f t="shared" si="118"/>
        <v>0</v>
      </c>
      <c r="AJ105">
        <f t="shared" si="90"/>
        <v>0</v>
      </c>
      <c r="AK105">
        <v>1912.53</v>
      </c>
      <c r="AL105">
        <v>1912.53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1</v>
      </c>
      <c r="AW105">
        <v>1</v>
      </c>
      <c r="AZ105">
        <v>1</v>
      </c>
      <c r="BA105">
        <v>1</v>
      </c>
      <c r="BB105">
        <v>1</v>
      </c>
      <c r="BC105">
        <v>1</v>
      </c>
      <c r="BD105" t="s">
        <v>6</v>
      </c>
      <c r="BE105" t="s">
        <v>6</v>
      </c>
      <c r="BF105" t="s">
        <v>6</v>
      </c>
      <c r="BG105" t="s">
        <v>6</v>
      </c>
      <c r="BH105">
        <v>3</v>
      </c>
      <c r="BI105">
        <v>1</v>
      </c>
      <c r="BJ105" t="s">
        <v>164</v>
      </c>
      <c r="BM105">
        <v>500001</v>
      </c>
      <c r="BN105">
        <v>0</v>
      </c>
      <c r="BO105" t="s">
        <v>111</v>
      </c>
      <c r="BP105">
        <v>1</v>
      </c>
      <c r="BQ105">
        <v>8</v>
      </c>
      <c r="BR105">
        <v>0</v>
      </c>
      <c r="BS105">
        <v>1</v>
      </c>
      <c r="BT105">
        <v>1</v>
      </c>
      <c r="BU105">
        <v>1</v>
      </c>
      <c r="BV105">
        <v>1</v>
      </c>
      <c r="BW105">
        <v>1</v>
      </c>
      <c r="BX105">
        <v>1</v>
      </c>
      <c r="BY105" t="s">
        <v>6</v>
      </c>
      <c r="BZ105">
        <v>0</v>
      </c>
      <c r="CA105">
        <v>0</v>
      </c>
      <c r="CB105" t="s">
        <v>6</v>
      </c>
      <c r="CE105">
        <v>0</v>
      </c>
      <c r="CF105">
        <v>0</v>
      </c>
      <c r="CG105">
        <v>0</v>
      </c>
      <c r="CM105">
        <v>0</v>
      </c>
      <c r="CN105" t="s">
        <v>6</v>
      </c>
      <c r="CO105">
        <v>0</v>
      </c>
      <c r="CP105">
        <f t="shared" si="91"/>
        <v>7990.17</v>
      </c>
      <c r="CQ105">
        <f t="shared" si="92"/>
        <v>1912.53</v>
      </c>
      <c r="CR105">
        <f t="shared" si="93"/>
        <v>0</v>
      </c>
      <c r="CS105">
        <f t="shared" si="94"/>
        <v>0</v>
      </c>
      <c r="CT105">
        <f t="shared" si="95"/>
        <v>0</v>
      </c>
      <c r="CU105">
        <f t="shared" si="96"/>
        <v>0</v>
      </c>
      <c r="CV105">
        <f t="shared" si="97"/>
        <v>0</v>
      </c>
      <c r="CW105">
        <f t="shared" si="98"/>
        <v>0</v>
      </c>
      <c r="CX105">
        <f t="shared" si="99"/>
        <v>0</v>
      </c>
      <c r="CY105">
        <f t="shared" si="100"/>
        <v>0</v>
      </c>
      <c r="CZ105">
        <f t="shared" si="101"/>
        <v>0</v>
      </c>
      <c r="DC105" t="s">
        <v>6</v>
      </c>
      <c r="DD105" t="s">
        <v>6</v>
      </c>
      <c r="DE105" t="s">
        <v>6</v>
      </c>
      <c r="DF105" t="s">
        <v>6</v>
      </c>
      <c r="DG105" t="s">
        <v>6</v>
      </c>
      <c r="DH105" t="s">
        <v>6</v>
      </c>
      <c r="DI105" t="s">
        <v>6</v>
      </c>
      <c r="DJ105" t="s">
        <v>6</v>
      </c>
      <c r="DK105" t="s">
        <v>6</v>
      </c>
      <c r="DL105" t="s">
        <v>6</v>
      </c>
      <c r="DM105" t="s">
        <v>6</v>
      </c>
      <c r="DN105">
        <v>0</v>
      </c>
      <c r="DO105">
        <v>0</v>
      </c>
      <c r="DP105">
        <v>1</v>
      </c>
      <c r="DQ105">
        <v>1</v>
      </c>
      <c r="DU105">
        <v>1010</v>
      </c>
      <c r="DV105" t="s">
        <v>155</v>
      </c>
      <c r="DW105" t="s">
        <v>155</v>
      </c>
      <c r="DX105">
        <v>1000</v>
      </c>
      <c r="DZ105" t="s">
        <v>6</v>
      </c>
      <c r="EA105" t="s">
        <v>6</v>
      </c>
      <c r="EB105" t="s">
        <v>6</v>
      </c>
      <c r="EC105" t="s">
        <v>6</v>
      </c>
      <c r="EE105">
        <v>30852824</v>
      </c>
      <c r="EF105">
        <v>8</v>
      </c>
      <c r="EG105" t="s">
        <v>112</v>
      </c>
      <c r="EH105">
        <v>0</v>
      </c>
      <c r="EI105" t="s">
        <v>6</v>
      </c>
      <c r="EJ105">
        <v>1</v>
      </c>
      <c r="EK105">
        <v>500001</v>
      </c>
      <c r="EL105" t="s">
        <v>113</v>
      </c>
      <c r="EM105" t="s">
        <v>114</v>
      </c>
      <c r="EO105" t="s">
        <v>6</v>
      </c>
      <c r="EQ105">
        <v>0</v>
      </c>
      <c r="ER105">
        <v>1912.53</v>
      </c>
      <c r="ES105">
        <v>1912.53</v>
      </c>
      <c r="ET105">
        <v>0</v>
      </c>
      <c r="EU105">
        <v>0</v>
      </c>
      <c r="EV105">
        <v>0</v>
      </c>
      <c r="EW105">
        <v>0</v>
      </c>
      <c r="EX105">
        <v>0</v>
      </c>
      <c r="EY105">
        <v>0</v>
      </c>
      <c r="FQ105">
        <v>0</v>
      </c>
      <c r="FR105">
        <f t="shared" si="102"/>
        <v>0</v>
      </c>
      <c r="FS105">
        <v>0</v>
      </c>
      <c r="FX105">
        <v>0</v>
      </c>
      <c r="FY105">
        <v>0</v>
      </c>
      <c r="GA105" t="s">
        <v>6</v>
      </c>
      <c r="GD105">
        <v>1</v>
      </c>
      <c r="GF105">
        <v>-1674372488</v>
      </c>
      <c r="GG105">
        <v>2</v>
      </c>
      <c r="GH105">
        <v>1</v>
      </c>
      <c r="GI105">
        <v>4</v>
      </c>
      <c r="GJ105">
        <v>0</v>
      </c>
      <c r="GK105">
        <v>0</v>
      </c>
      <c r="GL105">
        <f t="shared" si="103"/>
        <v>0</v>
      </c>
      <c r="GM105">
        <f t="shared" si="104"/>
        <v>7990.17</v>
      </c>
      <c r="GN105">
        <f t="shared" si="105"/>
        <v>7990.17</v>
      </c>
      <c r="GO105">
        <f t="shared" si="106"/>
        <v>0</v>
      </c>
      <c r="GP105">
        <f t="shared" si="107"/>
        <v>0</v>
      </c>
      <c r="GR105">
        <v>0</v>
      </c>
      <c r="GS105">
        <v>3</v>
      </c>
      <c r="GT105">
        <v>0</v>
      </c>
      <c r="GU105" t="s">
        <v>6</v>
      </c>
      <c r="GV105">
        <f t="shared" si="108"/>
        <v>0</v>
      </c>
      <c r="GW105">
        <v>1</v>
      </c>
      <c r="GX105">
        <f t="shared" si="109"/>
        <v>0</v>
      </c>
      <c r="HA105">
        <v>0</v>
      </c>
      <c r="HB105">
        <v>0</v>
      </c>
      <c r="HC105">
        <f t="shared" si="110"/>
        <v>0</v>
      </c>
      <c r="HE105" t="s">
        <v>6</v>
      </c>
      <c r="HF105" t="s">
        <v>6</v>
      </c>
      <c r="HI105">
        <f t="shared" si="111"/>
        <v>0</v>
      </c>
      <c r="HJ105">
        <f t="shared" si="112"/>
        <v>0</v>
      </c>
      <c r="HK105">
        <f t="shared" si="113"/>
        <v>0</v>
      </c>
      <c r="HL105">
        <f t="shared" si="114"/>
        <v>0</v>
      </c>
      <c r="HM105" t="s">
        <v>6</v>
      </c>
      <c r="HN105" t="s">
        <v>6</v>
      </c>
      <c r="HO105" t="s">
        <v>6</v>
      </c>
      <c r="HP105" t="s">
        <v>6</v>
      </c>
      <c r="HQ105" t="s">
        <v>6</v>
      </c>
      <c r="IK105">
        <v>0</v>
      </c>
    </row>
    <row r="106" spans="1:245">
      <c r="A106">
        <v>17</v>
      </c>
      <c r="B106">
        <v>1</v>
      </c>
      <c r="C106">
        <f>ROW(SmtRes!A82)</f>
        <v>82</v>
      </c>
      <c r="D106">
        <f>ROW(EtalonRes!A97)</f>
        <v>97</v>
      </c>
      <c r="E106" t="s">
        <v>229</v>
      </c>
      <c r="F106" t="s">
        <v>230</v>
      </c>
      <c r="G106" t="s">
        <v>231</v>
      </c>
      <c r="H106" t="s">
        <v>232</v>
      </c>
      <c r="I106">
        <f>ROUND(4/100,7)</f>
        <v>0.04</v>
      </c>
      <c r="J106">
        <v>0</v>
      </c>
      <c r="K106">
        <f>ROUND(4/100,7)</f>
        <v>0.04</v>
      </c>
      <c r="O106">
        <f t="shared" si="76"/>
        <v>525.35</v>
      </c>
      <c r="P106">
        <f t="shared" si="77"/>
        <v>387</v>
      </c>
      <c r="Q106">
        <f t="shared" si="78"/>
        <v>4.99</v>
      </c>
      <c r="R106">
        <f t="shared" si="79"/>
        <v>0.6</v>
      </c>
      <c r="S106">
        <f t="shared" si="80"/>
        <v>133.36000000000001</v>
      </c>
      <c r="T106">
        <f t="shared" si="81"/>
        <v>0</v>
      </c>
      <c r="U106">
        <f t="shared" si="82"/>
        <v>16.628999999999998</v>
      </c>
      <c r="V106">
        <f t="shared" si="83"/>
        <v>4.5999999999999999E-2</v>
      </c>
      <c r="W106">
        <f t="shared" si="84"/>
        <v>0</v>
      </c>
      <c r="X106">
        <f t="shared" si="85"/>
        <v>123.24</v>
      </c>
      <c r="Y106">
        <f t="shared" si="86"/>
        <v>69.66</v>
      </c>
      <c r="AA106">
        <v>31028412</v>
      </c>
      <c r="AB106">
        <f t="shared" si="87"/>
        <v>13133.922</v>
      </c>
      <c r="AC106">
        <f t="shared" si="88"/>
        <v>9675.09</v>
      </c>
      <c r="AD106">
        <f>ROUND(((((ET106*ROUND(1.15,7)))-((EU106*ROUND(1.15,7))))+AE106),6)</f>
        <v>124.7175</v>
      </c>
      <c r="AE106">
        <f>ROUND(((EU106*ROUND(1.15,7))),6)</f>
        <v>14.984500000000001</v>
      </c>
      <c r="AF106">
        <f>ROUND(((EV106*ROUND(1.15,7))),6)</f>
        <v>3334.1145000000001</v>
      </c>
      <c r="AG106">
        <f t="shared" si="89"/>
        <v>0</v>
      </c>
      <c r="AH106">
        <f>((EW106*ROUND(1.15,7)))</f>
        <v>415.72499999999997</v>
      </c>
      <c r="AI106">
        <f>((EX106*ROUND(1.15,7)))</f>
        <v>1.1499999999999999</v>
      </c>
      <c r="AJ106">
        <f t="shared" si="90"/>
        <v>0</v>
      </c>
      <c r="AK106">
        <v>12682.77</v>
      </c>
      <c r="AL106">
        <v>9675.09</v>
      </c>
      <c r="AM106">
        <v>108.45</v>
      </c>
      <c r="AN106">
        <v>13.03</v>
      </c>
      <c r="AO106">
        <v>2899.23</v>
      </c>
      <c r="AP106">
        <v>0</v>
      </c>
      <c r="AQ106">
        <v>361.5</v>
      </c>
      <c r="AR106">
        <v>1</v>
      </c>
      <c r="AS106">
        <v>0</v>
      </c>
      <c r="AT106">
        <v>92</v>
      </c>
      <c r="AU106">
        <v>52</v>
      </c>
      <c r="AV106">
        <v>1</v>
      </c>
      <c r="AW106">
        <v>1</v>
      </c>
      <c r="AZ106">
        <v>1</v>
      </c>
      <c r="BA106">
        <v>24.22</v>
      </c>
      <c r="BB106">
        <v>1</v>
      </c>
      <c r="BC106">
        <v>1</v>
      </c>
      <c r="BD106" t="s">
        <v>6</v>
      </c>
      <c r="BE106" t="s">
        <v>6</v>
      </c>
      <c r="BF106" t="s">
        <v>6</v>
      </c>
      <c r="BG106" t="s">
        <v>6</v>
      </c>
      <c r="BH106">
        <v>0</v>
      </c>
      <c r="BI106">
        <v>1</v>
      </c>
      <c r="BJ106" t="s">
        <v>233</v>
      </c>
      <c r="BM106">
        <v>53001</v>
      </c>
      <c r="BN106">
        <v>0</v>
      </c>
      <c r="BO106" t="s">
        <v>1327</v>
      </c>
      <c r="BP106">
        <v>1</v>
      </c>
      <c r="BQ106">
        <v>6</v>
      </c>
      <c r="BR106">
        <v>0</v>
      </c>
      <c r="BS106">
        <v>24.22</v>
      </c>
      <c r="BT106">
        <v>1</v>
      </c>
      <c r="BU106">
        <v>1</v>
      </c>
      <c r="BV106">
        <v>1</v>
      </c>
      <c r="BW106">
        <v>1</v>
      </c>
      <c r="BX106">
        <v>1</v>
      </c>
      <c r="BY106" t="s">
        <v>6</v>
      </c>
      <c r="BZ106">
        <v>92</v>
      </c>
      <c r="CA106">
        <v>52</v>
      </c>
      <c r="CB106" t="s">
        <v>6</v>
      </c>
      <c r="CE106">
        <v>0</v>
      </c>
      <c r="CF106">
        <v>0</v>
      </c>
      <c r="CG106">
        <v>0</v>
      </c>
      <c r="CM106">
        <v>0</v>
      </c>
      <c r="CN106" t="s">
        <v>6</v>
      </c>
      <c r="CO106">
        <v>0</v>
      </c>
      <c r="CP106">
        <f t="shared" si="91"/>
        <v>525.35</v>
      </c>
      <c r="CQ106">
        <f t="shared" si="92"/>
        <v>9675.09</v>
      </c>
      <c r="CR106">
        <f t="shared" si="93"/>
        <v>124.7175</v>
      </c>
      <c r="CS106">
        <f t="shared" si="94"/>
        <v>14.984500000000001</v>
      </c>
      <c r="CT106">
        <f t="shared" si="95"/>
        <v>3334.1145000000001</v>
      </c>
      <c r="CU106">
        <f t="shared" si="96"/>
        <v>0</v>
      </c>
      <c r="CV106">
        <f t="shared" si="97"/>
        <v>415.72499999999997</v>
      </c>
      <c r="CW106">
        <f t="shared" si="98"/>
        <v>1.1499999999999999</v>
      </c>
      <c r="CX106">
        <f t="shared" si="99"/>
        <v>0</v>
      </c>
      <c r="CY106">
        <f t="shared" si="100"/>
        <v>123.24320000000002</v>
      </c>
      <c r="CZ106">
        <f t="shared" si="101"/>
        <v>69.659199999999998</v>
      </c>
      <c r="DC106" t="s">
        <v>6</v>
      </c>
      <c r="DD106" t="s">
        <v>6</v>
      </c>
      <c r="DE106" t="s">
        <v>36</v>
      </c>
      <c r="DF106" t="s">
        <v>36</v>
      </c>
      <c r="DG106" t="s">
        <v>36</v>
      </c>
      <c r="DH106" t="s">
        <v>6</v>
      </c>
      <c r="DI106" t="s">
        <v>36</v>
      </c>
      <c r="DJ106" t="s">
        <v>36</v>
      </c>
      <c r="DK106" t="s">
        <v>6</v>
      </c>
      <c r="DL106" t="s">
        <v>6</v>
      </c>
      <c r="DM106" t="s">
        <v>6</v>
      </c>
      <c r="DN106">
        <v>0</v>
      </c>
      <c r="DO106">
        <v>0</v>
      </c>
      <c r="DP106">
        <v>1</v>
      </c>
      <c r="DQ106">
        <v>1</v>
      </c>
      <c r="DU106">
        <v>1013</v>
      </c>
      <c r="DV106" t="s">
        <v>232</v>
      </c>
      <c r="DW106" t="s">
        <v>232</v>
      </c>
      <c r="DX106">
        <v>1</v>
      </c>
      <c r="DZ106" t="s">
        <v>6</v>
      </c>
      <c r="EA106" t="s">
        <v>6</v>
      </c>
      <c r="EB106" t="s">
        <v>6</v>
      </c>
      <c r="EC106" t="s">
        <v>6</v>
      </c>
      <c r="EE106">
        <v>30853005</v>
      </c>
      <c r="EF106">
        <v>6</v>
      </c>
      <c r="EG106" t="s">
        <v>37</v>
      </c>
      <c r="EH106">
        <v>0</v>
      </c>
      <c r="EI106" t="s">
        <v>6</v>
      </c>
      <c r="EJ106">
        <v>1</v>
      </c>
      <c r="EK106">
        <v>53001</v>
      </c>
      <c r="EL106" t="s">
        <v>150</v>
      </c>
      <c r="EM106" t="s">
        <v>151</v>
      </c>
      <c r="EO106" t="s">
        <v>6</v>
      </c>
      <c r="EQ106">
        <v>131072</v>
      </c>
      <c r="ER106">
        <v>12682.77</v>
      </c>
      <c r="ES106">
        <v>9675.09</v>
      </c>
      <c r="ET106">
        <v>108.45</v>
      </c>
      <c r="EU106">
        <v>13.03</v>
      </c>
      <c r="EV106">
        <v>2899.23</v>
      </c>
      <c r="EW106">
        <v>361.5</v>
      </c>
      <c r="EX106">
        <v>1</v>
      </c>
      <c r="EY106">
        <v>0</v>
      </c>
      <c r="FQ106">
        <v>0</v>
      </c>
      <c r="FR106">
        <f t="shared" si="102"/>
        <v>0</v>
      </c>
      <c r="FS106">
        <v>0</v>
      </c>
      <c r="FX106">
        <v>92</v>
      </c>
      <c r="FY106">
        <v>52</v>
      </c>
      <c r="GA106" t="s">
        <v>6</v>
      </c>
      <c r="GD106">
        <v>1</v>
      </c>
      <c r="GF106">
        <v>-476273313</v>
      </c>
      <c r="GG106">
        <v>2</v>
      </c>
      <c r="GH106">
        <v>1</v>
      </c>
      <c r="GI106">
        <v>4</v>
      </c>
      <c r="GJ106">
        <v>0</v>
      </c>
      <c r="GK106">
        <v>0</v>
      </c>
      <c r="GL106">
        <f t="shared" si="103"/>
        <v>0</v>
      </c>
      <c r="GM106">
        <f t="shared" si="104"/>
        <v>718.25</v>
      </c>
      <c r="GN106">
        <f t="shared" si="105"/>
        <v>718.25</v>
      </c>
      <c r="GO106">
        <f t="shared" si="106"/>
        <v>0</v>
      </c>
      <c r="GP106">
        <f t="shared" si="107"/>
        <v>0</v>
      </c>
      <c r="GR106">
        <v>0</v>
      </c>
      <c r="GS106">
        <v>0</v>
      </c>
      <c r="GT106">
        <v>0</v>
      </c>
      <c r="GU106" t="s">
        <v>6</v>
      </c>
      <c r="GV106">
        <f t="shared" si="108"/>
        <v>0</v>
      </c>
      <c r="GW106">
        <v>1</v>
      </c>
      <c r="GX106">
        <f t="shared" si="109"/>
        <v>0</v>
      </c>
      <c r="HA106">
        <v>0</v>
      </c>
      <c r="HB106">
        <v>0</v>
      </c>
      <c r="HC106">
        <f t="shared" si="110"/>
        <v>0</v>
      </c>
      <c r="HE106" t="s">
        <v>6</v>
      </c>
      <c r="HF106" t="s">
        <v>6</v>
      </c>
      <c r="HI106">
        <f t="shared" si="111"/>
        <v>15</v>
      </c>
      <c r="HJ106">
        <f t="shared" si="112"/>
        <v>3230</v>
      </c>
      <c r="HK106">
        <f t="shared" si="113"/>
        <v>2985</v>
      </c>
      <c r="HL106">
        <f t="shared" si="114"/>
        <v>1687</v>
      </c>
      <c r="HM106" t="s">
        <v>6</v>
      </c>
      <c r="HN106" t="s">
        <v>6</v>
      </c>
      <c r="HO106" t="s">
        <v>6</v>
      </c>
      <c r="HP106" t="s">
        <v>6</v>
      </c>
      <c r="HQ106" t="s">
        <v>6</v>
      </c>
      <c r="IK106">
        <v>0</v>
      </c>
    </row>
    <row r="107" spans="1:245">
      <c r="A107">
        <v>17</v>
      </c>
      <c r="B107">
        <v>1</v>
      </c>
      <c r="E107" t="s">
        <v>234</v>
      </c>
      <c r="F107" t="s">
        <v>153</v>
      </c>
      <c r="G107" t="s">
        <v>154</v>
      </c>
      <c r="H107" t="s">
        <v>155</v>
      </c>
      <c r="I107">
        <f>ROUND(I106*-5.2,7)</f>
        <v>-0.20799999999999999</v>
      </c>
      <c r="J107">
        <v>0</v>
      </c>
      <c r="K107">
        <f>ROUND(I106*-5.2,7)</f>
        <v>-0.20799999999999999</v>
      </c>
      <c r="O107">
        <f t="shared" si="76"/>
        <v>-345.84</v>
      </c>
      <c r="P107">
        <f t="shared" si="77"/>
        <v>-345.84</v>
      </c>
      <c r="Q107">
        <f t="shared" si="78"/>
        <v>0</v>
      </c>
      <c r="R107">
        <f t="shared" si="79"/>
        <v>0</v>
      </c>
      <c r="S107">
        <f t="shared" si="80"/>
        <v>0</v>
      </c>
      <c r="T107">
        <f t="shared" si="81"/>
        <v>0</v>
      </c>
      <c r="U107">
        <f t="shared" si="82"/>
        <v>0</v>
      </c>
      <c r="V107">
        <f t="shared" si="83"/>
        <v>0</v>
      </c>
      <c r="W107">
        <f t="shared" si="84"/>
        <v>0</v>
      </c>
      <c r="X107">
        <f t="shared" si="85"/>
        <v>0</v>
      </c>
      <c r="Y107">
        <f t="shared" si="86"/>
        <v>0</v>
      </c>
      <c r="AA107">
        <v>31028412</v>
      </c>
      <c r="AB107">
        <f t="shared" si="87"/>
        <v>1662.7</v>
      </c>
      <c r="AC107">
        <f t="shared" si="88"/>
        <v>1662.7</v>
      </c>
      <c r="AD107">
        <f>ROUND((((ET107)-(EU107))+AE107),6)</f>
        <v>0</v>
      </c>
      <c r="AE107">
        <f t="shared" ref="AE107:AF110" si="119">ROUND((EU107),6)</f>
        <v>0</v>
      </c>
      <c r="AF107">
        <f t="shared" si="119"/>
        <v>0</v>
      </c>
      <c r="AG107">
        <f t="shared" si="89"/>
        <v>0</v>
      </c>
      <c r="AH107">
        <f t="shared" ref="AH107:AI110" si="120">(EW107)</f>
        <v>0</v>
      </c>
      <c r="AI107">
        <f t="shared" si="120"/>
        <v>0</v>
      </c>
      <c r="AJ107">
        <f t="shared" si="90"/>
        <v>0</v>
      </c>
      <c r="AK107">
        <v>1662.7</v>
      </c>
      <c r="AL107">
        <v>1662.7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1</v>
      </c>
      <c r="AW107">
        <v>1</v>
      </c>
      <c r="AZ107">
        <v>1</v>
      </c>
      <c r="BA107">
        <v>1</v>
      </c>
      <c r="BB107">
        <v>1</v>
      </c>
      <c r="BC107">
        <v>1</v>
      </c>
      <c r="BD107" t="s">
        <v>6</v>
      </c>
      <c r="BE107" t="s">
        <v>6</v>
      </c>
      <c r="BF107" t="s">
        <v>6</v>
      </c>
      <c r="BG107" t="s">
        <v>6</v>
      </c>
      <c r="BH107">
        <v>3</v>
      </c>
      <c r="BI107">
        <v>1</v>
      </c>
      <c r="BJ107" t="s">
        <v>156</v>
      </c>
      <c r="BM107">
        <v>500001</v>
      </c>
      <c r="BN107">
        <v>0</v>
      </c>
      <c r="BO107" t="s">
        <v>111</v>
      </c>
      <c r="BP107">
        <v>1</v>
      </c>
      <c r="BQ107">
        <v>8</v>
      </c>
      <c r="BR107">
        <v>1</v>
      </c>
      <c r="BS107">
        <v>1</v>
      </c>
      <c r="BT107">
        <v>1</v>
      </c>
      <c r="BU107">
        <v>1</v>
      </c>
      <c r="BV107">
        <v>1</v>
      </c>
      <c r="BW107">
        <v>1</v>
      </c>
      <c r="BX107">
        <v>1</v>
      </c>
      <c r="BY107" t="s">
        <v>6</v>
      </c>
      <c r="BZ107">
        <v>0</v>
      </c>
      <c r="CA107">
        <v>0</v>
      </c>
      <c r="CB107" t="s">
        <v>6</v>
      </c>
      <c r="CE107">
        <v>0</v>
      </c>
      <c r="CF107">
        <v>0</v>
      </c>
      <c r="CG107">
        <v>0</v>
      </c>
      <c r="CM107">
        <v>0</v>
      </c>
      <c r="CN107" t="s">
        <v>6</v>
      </c>
      <c r="CO107">
        <v>0</v>
      </c>
      <c r="CP107">
        <f t="shared" si="91"/>
        <v>-345.84</v>
      </c>
      <c r="CQ107">
        <f t="shared" si="92"/>
        <v>1662.7</v>
      </c>
      <c r="CR107">
        <f t="shared" si="93"/>
        <v>0</v>
      </c>
      <c r="CS107">
        <f t="shared" si="94"/>
        <v>0</v>
      </c>
      <c r="CT107">
        <f t="shared" si="95"/>
        <v>0</v>
      </c>
      <c r="CU107">
        <f t="shared" si="96"/>
        <v>0</v>
      </c>
      <c r="CV107">
        <f t="shared" si="97"/>
        <v>0</v>
      </c>
      <c r="CW107">
        <f t="shared" si="98"/>
        <v>0</v>
      </c>
      <c r="CX107">
        <f t="shared" si="99"/>
        <v>0</v>
      </c>
      <c r="CY107">
        <f t="shared" si="100"/>
        <v>0</v>
      </c>
      <c r="CZ107">
        <f t="shared" si="101"/>
        <v>0</v>
      </c>
      <c r="DC107" t="s">
        <v>6</v>
      </c>
      <c r="DD107" t="s">
        <v>6</v>
      </c>
      <c r="DE107" t="s">
        <v>6</v>
      </c>
      <c r="DF107" t="s">
        <v>6</v>
      </c>
      <c r="DG107" t="s">
        <v>6</v>
      </c>
      <c r="DH107" t="s">
        <v>6</v>
      </c>
      <c r="DI107" t="s">
        <v>6</v>
      </c>
      <c r="DJ107" t="s">
        <v>6</v>
      </c>
      <c r="DK107" t="s">
        <v>6</v>
      </c>
      <c r="DL107" t="s">
        <v>6</v>
      </c>
      <c r="DM107" t="s">
        <v>6</v>
      </c>
      <c r="DN107">
        <v>0</v>
      </c>
      <c r="DO107">
        <v>0</v>
      </c>
      <c r="DP107">
        <v>1</v>
      </c>
      <c r="DQ107">
        <v>1</v>
      </c>
      <c r="DU107">
        <v>1010</v>
      </c>
      <c r="DV107" t="s">
        <v>155</v>
      </c>
      <c r="DW107" t="s">
        <v>155</v>
      </c>
      <c r="DX107">
        <v>1000</v>
      </c>
      <c r="DZ107" t="s">
        <v>6</v>
      </c>
      <c r="EA107" t="s">
        <v>6</v>
      </c>
      <c r="EB107" t="s">
        <v>6</v>
      </c>
      <c r="EC107" t="s">
        <v>6</v>
      </c>
      <c r="EE107">
        <v>30852824</v>
      </c>
      <c r="EF107">
        <v>8</v>
      </c>
      <c r="EG107" t="s">
        <v>112</v>
      </c>
      <c r="EH107">
        <v>0</v>
      </c>
      <c r="EI107" t="s">
        <v>6</v>
      </c>
      <c r="EJ107">
        <v>1</v>
      </c>
      <c r="EK107">
        <v>500001</v>
      </c>
      <c r="EL107" t="s">
        <v>113</v>
      </c>
      <c r="EM107" t="s">
        <v>114</v>
      </c>
      <c r="EO107" t="s">
        <v>6</v>
      </c>
      <c r="EQ107">
        <v>32768</v>
      </c>
      <c r="ER107">
        <v>1662.7</v>
      </c>
      <c r="ES107">
        <v>1662.7</v>
      </c>
      <c r="ET107">
        <v>0</v>
      </c>
      <c r="EU107">
        <v>0</v>
      </c>
      <c r="EV107">
        <v>0</v>
      </c>
      <c r="EW107">
        <v>0</v>
      </c>
      <c r="EX107">
        <v>0</v>
      </c>
      <c r="EY107">
        <v>0</v>
      </c>
      <c r="FQ107">
        <v>0</v>
      </c>
      <c r="FR107">
        <f t="shared" si="102"/>
        <v>0</v>
      </c>
      <c r="FS107">
        <v>0</v>
      </c>
      <c r="FX107">
        <v>0</v>
      </c>
      <c r="FY107">
        <v>0</v>
      </c>
      <c r="GA107" t="s">
        <v>6</v>
      </c>
      <c r="GD107">
        <v>1</v>
      </c>
      <c r="GF107">
        <v>-1891761004</v>
      </c>
      <c r="GG107">
        <v>2</v>
      </c>
      <c r="GH107">
        <v>1</v>
      </c>
      <c r="GI107">
        <v>4</v>
      </c>
      <c r="GJ107">
        <v>0</v>
      </c>
      <c r="GK107">
        <v>0</v>
      </c>
      <c r="GL107">
        <f t="shared" si="103"/>
        <v>0</v>
      </c>
      <c r="GM107">
        <f t="shared" si="104"/>
        <v>-345.84</v>
      </c>
      <c r="GN107">
        <f t="shared" si="105"/>
        <v>-345.84</v>
      </c>
      <c r="GO107">
        <f t="shared" si="106"/>
        <v>0</v>
      </c>
      <c r="GP107">
        <f t="shared" si="107"/>
        <v>0</v>
      </c>
      <c r="GR107">
        <v>0</v>
      </c>
      <c r="GS107">
        <v>0</v>
      </c>
      <c r="GT107">
        <v>0</v>
      </c>
      <c r="GU107" t="s">
        <v>6</v>
      </c>
      <c r="GV107">
        <f t="shared" si="108"/>
        <v>0</v>
      </c>
      <c r="GW107">
        <v>1</v>
      </c>
      <c r="GX107">
        <f t="shared" si="109"/>
        <v>0</v>
      </c>
      <c r="HA107">
        <v>0</v>
      </c>
      <c r="HB107">
        <v>0</v>
      </c>
      <c r="HC107">
        <f t="shared" si="110"/>
        <v>0</v>
      </c>
      <c r="HE107" t="s">
        <v>6</v>
      </c>
      <c r="HF107" t="s">
        <v>6</v>
      </c>
      <c r="HI107">
        <f t="shared" si="111"/>
        <v>0</v>
      </c>
      <c r="HJ107">
        <f t="shared" si="112"/>
        <v>0</v>
      </c>
      <c r="HK107">
        <f t="shared" si="113"/>
        <v>0</v>
      </c>
      <c r="HL107">
        <f t="shared" si="114"/>
        <v>0</v>
      </c>
      <c r="HM107" t="s">
        <v>6</v>
      </c>
      <c r="HN107" t="s">
        <v>6</v>
      </c>
      <c r="HO107" t="s">
        <v>6</v>
      </c>
      <c r="HP107" t="s">
        <v>6</v>
      </c>
      <c r="HQ107" t="s">
        <v>6</v>
      </c>
      <c r="IK107">
        <v>0</v>
      </c>
    </row>
    <row r="108" spans="1:245">
      <c r="A108">
        <v>17</v>
      </c>
      <c r="B108">
        <v>1</v>
      </c>
      <c r="E108" t="s">
        <v>235</v>
      </c>
      <c r="F108" t="s">
        <v>158</v>
      </c>
      <c r="G108" t="s">
        <v>159</v>
      </c>
      <c r="H108" t="s">
        <v>109</v>
      </c>
      <c r="I108">
        <f>ROUND(I106*-2.4,7)</f>
        <v>-9.6000000000000002E-2</v>
      </c>
      <c r="J108">
        <v>0</v>
      </c>
      <c r="K108">
        <f>ROUND(I106*-2.4,7)</f>
        <v>-9.6000000000000002E-2</v>
      </c>
      <c r="O108">
        <f t="shared" si="76"/>
        <v>-41.1</v>
      </c>
      <c r="P108">
        <f t="shared" si="77"/>
        <v>-41.1</v>
      </c>
      <c r="Q108">
        <f t="shared" si="78"/>
        <v>0</v>
      </c>
      <c r="R108">
        <f t="shared" si="79"/>
        <v>0</v>
      </c>
      <c r="S108">
        <f t="shared" si="80"/>
        <v>0</v>
      </c>
      <c r="T108">
        <f t="shared" si="81"/>
        <v>0</v>
      </c>
      <c r="U108">
        <f t="shared" si="82"/>
        <v>0</v>
      </c>
      <c r="V108">
        <f t="shared" si="83"/>
        <v>0</v>
      </c>
      <c r="W108">
        <f t="shared" si="84"/>
        <v>0</v>
      </c>
      <c r="X108">
        <f t="shared" si="85"/>
        <v>0</v>
      </c>
      <c r="Y108">
        <f t="shared" si="86"/>
        <v>0</v>
      </c>
      <c r="AA108">
        <v>31028412</v>
      </c>
      <c r="AB108">
        <f t="shared" si="87"/>
        <v>428.17</v>
      </c>
      <c r="AC108">
        <f t="shared" si="88"/>
        <v>428.17</v>
      </c>
      <c r="AD108">
        <f>ROUND((((ET108)-(EU108))+AE108),6)</f>
        <v>0</v>
      </c>
      <c r="AE108">
        <f t="shared" si="119"/>
        <v>0</v>
      </c>
      <c r="AF108">
        <f t="shared" si="119"/>
        <v>0</v>
      </c>
      <c r="AG108">
        <f t="shared" si="89"/>
        <v>0</v>
      </c>
      <c r="AH108">
        <f t="shared" si="120"/>
        <v>0</v>
      </c>
      <c r="AI108">
        <f t="shared" si="120"/>
        <v>0</v>
      </c>
      <c r="AJ108">
        <f t="shared" si="90"/>
        <v>0</v>
      </c>
      <c r="AK108">
        <v>428.17</v>
      </c>
      <c r="AL108">
        <v>428.17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1</v>
      </c>
      <c r="AW108">
        <v>1</v>
      </c>
      <c r="AZ108">
        <v>1</v>
      </c>
      <c r="BA108">
        <v>1</v>
      </c>
      <c r="BB108">
        <v>1</v>
      </c>
      <c r="BC108">
        <v>1</v>
      </c>
      <c r="BD108" t="s">
        <v>6</v>
      </c>
      <c r="BE108" t="s">
        <v>6</v>
      </c>
      <c r="BF108" t="s">
        <v>6</v>
      </c>
      <c r="BG108" t="s">
        <v>6</v>
      </c>
      <c r="BH108">
        <v>3</v>
      </c>
      <c r="BI108">
        <v>1</v>
      </c>
      <c r="BJ108" t="s">
        <v>160</v>
      </c>
      <c r="BM108">
        <v>500001</v>
      </c>
      <c r="BN108">
        <v>0</v>
      </c>
      <c r="BO108" t="s">
        <v>111</v>
      </c>
      <c r="BP108">
        <v>1</v>
      </c>
      <c r="BQ108">
        <v>8</v>
      </c>
      <c r="BR108">
        <v>1</v>
      </c>
      <c r="BS108">
        <v>1</v>
      </c>
      <c r="BT108">
        <v>1</v>
      </c>
      <c r="BU108">
        <v>1</v>
      </c>
      <c r="BV108">
        <v>1</v>
      </c>
      <c r="BW108">
        <v>1</v>
      </c>
      <c r="BX108">
        <v>1</v>
      </c>
      <c r="BY108" t="s">
        <v>6</v>
      </c>
      <c r="BZ108">
        <v>0</v>
      </c>
      <c r="CA108">
        <v>0</v>
      </c>
      <c r="CB108" t="s">
        <v>6</v>
      </c>
      <c r="CE108">
        <v>0</v>
      </c>
      <c r="CF108">
        <v>0</v>
      </c>
      <c r="CG108">
        <v>0</v>
      </c>
      <c r="CM108">
        <v>0</v>
      </c>
      <c r="CN108" t="s">
        <v>6</v>
      </c>
      <c r="CO108">
        <v>0</v>
      </c>
      <c r="CP108">
        <f t="shared" si="91"/>
        <v>-41.1</v>
      </c>
      <c r="CQ108">
        <f t="shared" si="92"/>
        <v>428.17</v>
      </c>
      <c r="CR108">
        <f t="shared" si="93"/>
        <v>0</v>
      </c>
      <c r="CS108">
        <f t="shared" si="94"/>
        <v>0</v>
      </c>
      <c r="CT108">
        <f t="shared" si="95"/>
        <v>0</v>
      </c>
      <c r="CU108">
        <f t="shared" si="96"/>
        <v>0</v>
      </c>
      <c r="CV108">
        <f t="shared" si="97"/>
        <v>0</v>
      </c>
      <c r="CW108">
        <f t="shared" si="98"/>
        <v>0</v>
      </c>
      <c r="CX108">
        <f t="shared" si="99"/>
        <v>0</v>
      </c>
      <c r="CY108">
        <f t="shared" si="100"/>
        <v>0</v>
      </c>
      <c r="CZ108">
        <f t="shared" si="101"/>
        <v>0</v>
      </c>
      <c r="DC108" t="s">
        <v>6</v>
      </c>
      <c r="DD108" t="s">
        <v>6</v>
      </c>
      <c r="DE108" t="s">
        <v>6</v>
      </c>
      <c r="DF108" t="s">
        <v>6</v>
      </c>
      <c r="DG108" t="s">
        <v>6</v>
      </c>
      <c r="DH108" t="s">
        <v>6</v>
      </c>
      <c r="DI108" t="s">
        <v>6</v>
      </c>
      <c r="DJ108" t="s">
        <v>6</v>
      </c>
      <c r="DK108" t="s">
        <v>6</v>
      </c>
      <c r="DL108" t="s">
        <v>6</v>
      </c>
      <c r="DM108" t="s">
        <v>6</v>
      </c>
      <c r="DN108">
        <v>0</v>
      </c>
      <c r="DO108">
        <v>0</v>
      </c>
      <c r="DP108">
        <v>1</v>
      </c>
      <c r="DQ108">
        <v>1</v>
      </c>
      <c r="DU108">
        <v>1007</v>
      </c>
      <c r="DV108" t="s">
        <v>109</v>
      </c>
      <c r="DW108" t="s">
        <v>109</v>
      </c>
      <c r="DX108">
        <v>1</v>
      </c>
      <c r="DZ108" t="s">
        <v>6</v>
      </c>
      <c r="EA108" t="s">
        <v>6</v>
      </c>
      <c r="EB108" t="s">
        <v>6</v>
      </c>
      <c r="EC108" t="s">
        <v>6</v>
      </c>
      <c r="EE108">
        <v>30852824</v>
      </c>
      <c r="EF108">
        <v>8</v>
      </c>
      <c r="EG108" t="s">
        <v>112</v>
      </c>
      <c r="EH108">
        <v>0</v>
      </c>
      <c r="EI108" t="s">
        <v>6</v>
      </c>
      <c r="EJ108">
        <v>1</v>
      </c>
      <c r="EK108">
        <v>500001</v>
      </c>
      <c r="EL108" t="s">
        <v>113</v>
      </c>
      <c r="EM108" t="s">
        <v>114</v>
      </c>
      <c r="EO108" t="s">
        <v>6</v>
      </c>
      <c r="EQ108">
        <v>32768</v>
      </c>
      <c r="ER108">
        <v>428.17</v>
      </c>
      <c r="ES108">
        <v>428.17</v>
      </c>
      <c r="ET108">
        <v>0</v>
      </c>
      <c r="EU108">
        <v>0</v>
      </c>
      <c r="EV108">
        <v>0</v>
      </c>
      <c r="EW108">
        <v>0</v>
      </c>
      <c r="EX108">
        <v>0</v>
      </c>
      <c r="EY108">
        <v>0</v>
      </c>
      <c r="FQ108">
        <v>0</v>
      </c>
      <c r="FR108">
        <f t="shared" si="102"/>
        <v>0</v>
      </c>
      <c r="FS108">
        <v>0</v>
      </c>
      <c r="FX108">
        <v>0</v>
      </c>
      <c r="FY108">
        <v>0</v>
      </c>
      <c r="GA108" t="s">
        <v>6</v>
      </c>
      <c r="GD108">
        <v>1</v>
      </c>
      <c r="GF108">
        <v>2037766963</v>
      </c>
      <c r="GG108">
        <v>2</v>
      </c>
      <c r="GH108">
        <v>1</v>
      </c>
      <c r="GI108">
        <v>4</v>
      </c>
      <c r="GJ108">
        <v>0</v>
      </c>
      <c r="GK108">
        <v>0</v>
      </c>
      <c r="GL108">
        <f t="shared" si="103"/>
        <v>0</v>
      </c>
      <c r="GM108">
        <f t="shared" si="104"/>
        <v>-41.1</v>
      </c>
      <c r="GN108">
        <f t="shared" si="105"/>
        <v>-41.1</v>
      </c>
      <c r="GO108">
        <f t="shared" si="106"/>
        <v>0</v>
      </c>
      <c r="GP108">
        <f t="shared" si="107"/>
        <v>0</v>
      </c>
      <c r="GR108">
        <v>0</v>
      </c>
      <c r="GS108">
        <v>0</v>
      </c>
      <c r="GT108">
        <v>0</v>
      </c>
      <c r="GU108" t="s">
        <v>6</v>
      </c>
      <c r="GV108">
        <f t="shared" si="108"/>
        <v>0</v>
      </c>
      <c r="GW108">
        <v>1</v>
      </c>
      <c r="GX108">
        <f t="shared" si="109"/>
        <v>0</v>
      </c>
      <c r="HA108">
        <v>0</v>
      </c>
      <c r="HB108">
        <v>0</v>
      </c>
      <c r="HC108">
        <f t="shared" si="110"/>
        <v>0</v>
      </c>
      <c r="HE108" t="s">
        <v>6</v>
      </c>
      <c r="HF108" t="s">
        <v>6</v>
      </c>
      <c r="HI108">
        <f t="shared" si="111"/>
        <v>0</v>
      </c>
      <c r="HJ108">
        <f t="shared" si="112"/>
        <v>0</v>
      </c>
      <c r="HK108">
        <f t="shared" si="113"/>
        <v>0</v>
      </c>
      <c r="HL108">
        <f t="shared" si="114"/>
        <v>0</v>
      </c>
      <c r="HM108" t="s">
        <v>6</v>
      </c>
      <c r="HN108" t="s">
        <v>6</v>
      </c>
      <c r="HO108" t="s">
        <v>6</v>
      </c>
      <c r="HP108" t="s">
        <v>6</v>
      </c>
      <c r="HQ108" t="s">
        <v>6</v>
      </c>
      <c r="IK108">
        <v>0</v>
      </c>
    </row>
    <row r="109" spans="1:245">
      <c r="A109">
        <v>17</v>
      </c>
      <c r="B109">
        <v>1</v>
      </c>
      <c r="E109" t="s">
        <v>236</v>
      </c>
      <c r="F109" t="s">
        <v>166</v>
      </c>
      <c r="G109" t="s">
        <v>167</v>
      </c>
      <c r="H109" t="s">
        <v>109</v>
      </c>
      <c r="I109">
        <v>9.6000000000000002E-2</v>
      </c>
      <c r="J109">
        <v>0</v>
      </c>
      <c r="K109">
        <v>9.6000000000000002E-2</v>
      </c>
      <c r="O109">
        <f t="shared" si="76"/>
        <v>46.44</v>
      </c>
      <c r="P109">
        <f t="shared" si="77"/>
        <v>46.44</v>
      </c>
      <c r="Q109">
        <f t="shared" si="78"/>
        <v>0</v>
      </c>
      <c r="R109">
        <f t="shared" si="79"/>
        <v>0</v>
      </c>
      <c r="S109">
        <f t="shared" si="80"/>
        <v>0</v>
      </c>
      <c r="T109">
        <f t="shared" si="81"/>
        <v>0</v>
      </c>
      <c r="U109">
        <f t="shared" si="82"/>
        <v>0</v>
      </c>
      <c r="V109">
        <f t="shared" si="83"/>
        <v>0</v>
      </c>
      <c r="W109">
        <f t="shared" si="84"/>
        <v>0</v>
      </c>
      <c r="X109">
        <f t="shared" si="85"/>
        <v>0</v>
      </c>
      <c r="Y109">
        <f t="shared" si="86"/>
        <v>0</v>
      </c>
      <c r="AA109">
        <v>31028412</v>
      </c>
      <c r="AB109">
        <f t="shared" si="87"/>
        <v>483.76</v>
      </c>
      <c r="AC109">
        <f t="shared" si="88"/>
        <v>483.76</v>
      </c>
      <c r="AD109">
        <f>ROUND((((ET109)-(EU109))+AE109),6)</f>
        <v>0</v>
      </c>
      <c r="AE109">
        <f t="shared" si="119"/>
        <v>0</v>
      </c>
      <c r="AF109">
        <f t="shared" si="119"/>
        <v>0</v>
      </c>
      <c r="AG109">
        <f t="shared" si="89"/>
        <v>0</v>
      </c>
      <c r="AH109">
        <f t="shared" si="120"/>
        <v>0</v>
      </c>
      <c r="AI109">
        <f t="shared" si="120"/>
        <v>0</v>
      </c>
      <c r="AJ109">
        <f t="shared" si="90"/>
        <v>0</v>
      </c>
      <c r="AK109">
        <v>483.76</v>
      </c>
      <c r="AL109">
        <v>483.76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1</v>
      </c>
      <c r="AW109">
        <v>1</v>
      </c>
      <c r="AZ109">
        <v>1</v>
      </c>
      <c r="BA109">
        <v>1</v>
      </c>
      <c r="BB109">
        <v>1</v>
      </c>
      <c r="BC109">
        <v>1</v>
      </c>
      <c r="BD109" t="s">
        <v>6</v>
      </c>
      <c r="BE109" t="s">
        <v>6</v>
      </c>
      <c r="BF109" t="s">
        <v>6</v>
      </c>
      <c r="BG109" t="s">
        <v>6</v>
      </c>
      <c r="BH109">
        <v>3</v>
      </c>
      <c r="BI109">
        <v>1</v>
      </c>
      <c r="BJ109" t="s">
        <v>168</v>
      </c>
      <c r="BM109">
        <v>500001</v>
      </c>
      <c r="BN109">
        <v>0</v>
      </c>
      <c r="BO109" t="s">
        <v>111</v>
      </c>
      <c r="BP109">
        <v>1</v>
      </c>
      <c r="BQ109">
        <v>8</v>
      </c>
      <c r="BR109">
        <v>0</v>
      </c>
      <c r="BS109">
        <v>1</v>
      </c>
      <c r="BT109">
        <v>1</v>
      </c>
      <c r="BU109">
        <v>1</v>
      </c>
      <c r="BV109">
        <v>1</v>
      </c>
      <c r="BW109">
        <v>1</v>
      </c>
      <c r="BX109">
        <v>1</v>
      </c>
      <c r="BY109" t="s">
        <v>6</v>
      </c>
      <c r="BZ109">
        <v>0</v>
      </c>
      <c r="CA109">
        <v>0</v>
      </c>
      <c r="CB109" t="s">
        <v>6</v>
      </c>
      <c r="CE109">
        <v>0</v>
      </c>
      <c r="CF109">
        <v>0</v>
      </c>
      <c r="CG109">
        <v>0</v>
      </c>
      <c r="CM109">
        <v>0</v>
      </c>
      <c r="CN109" t="s">
        <v>6</v>
      </c>
      <c r="CO109">
        <v>0</v>
      </c>
      <c r="CP109">
        <f t="shared" si="91"/>
        <v>46.44</v>
      </c>
      <c r="CQ109">
        <f t="shared" si="92"/>
        <v>483.76</v>
      </c>
      <c r="CR109">
        <f t="shared" si="93"/>
        <v>0</v>
      </c>
      <c r="CS109">
        <f t="shared" si="94"/>
        <v>0</v>
      </c>
      <c r="CT109">
        <f t="shared" si="95"/>
        <v>0</v>
      </c>
      <c r="CU109">
        <f t="shared" si="96"/>
        <v>0</v>
      </c>
      <c r="CV109">
        <f t="shared" si="97"/>
        <v>0</v>
      </c>
      <c r="CW109">
        <f t="shared" si="98"/>
        <v>0</v>
      </c>
      <c r="CX109">
        <f t="shared" si="99"/>
        <v>0</v>
      </c>
      <c r="CY109">
        <f t="shared" si="100"/>
        <v>0</v>
      </c>
      <c r="CZ109">
        <f t="shared" si="101"/>
        <v>0</v>
      </c>
      <c r="DC109" t="s">
        <v>6</v>
      </c>
      <c r="DD109" t="s">
        <v>6</v>
      </c>
      <c r="DE109" t="s">
        <v>6</v>
      </c>
      <c r="DF109" t="s">
        <v>6</v>
      </c>
      <c r="DG109" t="s">
        <v>6</v>
      </c>
      <c r="DH109" t="s">
        <v>6</v>
      </c>
      <c r="DI109" t="s">
        <v>6</v>
      </c>
      <c r="DJ109" t="s">
        <v>6</v>
      </c>
      <c r="DK109" t="s">
        <v>6</v>
      </c>
      <c r="DL109" t="s">
        <v>6</v>
      </c>
      <c r="DM109" t="s">
        <v>6</v>
      </c>
      <c r="DN109">
        <v>0</v>
      </c>
      <c r="DO109">
        <v>0</v>
      </c>
      <c r="DP109">
        <v>1</v>
      </c>
      <c r="DQ109">
        <v>1</v>
      </c>
      <c r="DU109">
        <v>1007</v>
      </c>
      <c r="DV109" t="s">
        <v>109</v>
      </c>
      <c r="DW109" t="s">
        <v>109</v>
      </c>
      <c r="DX109">
        <v>1</v>
      </c>
      <c r="DZ109" t="s">
        <v>6</v>
      </c>
      <c r="EA109" t="s">
        <v>6</v>
      </c>
      <c r="EB109" t="s">
        <v>6</v>
      </c>
      <c r="EC109" t="s">
        <v>6</v>
      </c>
      <c r="EE109">
        <v>30852824</v>
      </c>
      <c r="EF109">
        <v>8</v>
      </c>
      <c r="EG109" t="s">
        <v>112</v>
      </c>
      <c r="EH109">
        <v>0</v>
      </c>
      <c r="EI109" t="s">
        <v>6</v>
      </c>
      <c r="EJ109">
        <v>1</v>
      </c>
      <c r="EK109">
        <v>500001</v>
      </c>
      <c r="EL109" t="s">
        <v>113</v>
      </c>
      <c r="EM109" t="s">
        <v>114</v>
      </c>
      <c r="EO109" t="s">
        <v>6</v>
      </c>
      <c r="EQ109">
        <v>131072</v>
      </c>
      <c r="ER109">
        <v>483.76</v>
      </c>
      <c r="ES109">
        <v>483.76</v>
      </c>
      <c r="ET109">
        <v>0</v>
      </c>
      <c r="EU109">
        <v>0</v>
      </c>
      <c r="EV109">
        <v>0</v>
      </c>
      <c r="EW109">
        <v>0</v>
      </c>
      <c r="EX109">
        <v>0</v>
      </c>
      <c r="EY109">
        <v>0</v>
      </c>
      <c r="FQ109">
        <v>0</v>
      </c>
      <c r="FR109">
        <f t="shared" si="102"/>
        <v>0</v>
      </c>
      <c r="FS109">
        <v>0</v>
      </c>
      <c r="FX109">
        <v>0</v>
      </c>
      <c r="FY109">
        <v>0</v>
      </c>
      <c r="GA109" t="s">
        <v>6</v>
      </c>
      <c r="GD109">
        <v>1</v>
      </c>
      <c r="GF109">
        <v>-216866240</v>
      </c>
      <c r="GG109">
        <v>2</v>
      </c>
      <c r="GH109">
        <v>1</v>
      </c>
      <c r="GI109">
        <v>4</v>
      </c>
      <c r="GJ109">
        <v>0</v>
      </c>
      <c r="GK109">
        <v>0</v>
      </c>
      <c r="GL109">
        <f t="shared" si="103"/>
        <v>0</v>
      </c>
      <c r="GM109">
        <f t="shared" si="104"/>
        <v>46.44</v>
      </c>
      <c r="GN109">
        <f t="shared" si="105"/>
        <v>46.44</v>
      </c>
      <c r="GO109">
        <f t="shared" si="106"/>
        <v>0</v>
      </c>
      <c r="GP109">
        <f t="shared" si="107"/>
        <v>0</v>
      </c>
      <c r="GR109">
        <v>0</v>
      </c>
      <c r="GS109">
        <v>0</v>
      </c>
      <c r="GT109">
        <v>0</v>
      </c>
      <c r="GU109" t="s">
        <v>6</v>
      </c>
      <c r="GV109">
        <f t="shared" si="108"/>
        <v>0</v>
      </c>
      <c r="GW109">
        <v>1</v>
      </c>
      <c r="GX109">
        <f t="shared" si="109"/>
        <v>0</v>
      </c>
      <c r="HA109">
        <v>0</v>
      </c>
      <c r="HB109">
        <v>0</v>
      </c>
      <c r="HC109">
        <f t="shared" si="110"/>
        <v>0</v>
      </c>
      <c r="HE109" t="s">
        <v>6</v>
      </c>
      <c r="HF109" t="s">
        <v>6</v>
      </c>
      <c r="HI109">
        <f t="shared" si="111"/>
        <v>0</v>
      </c>
      <c r="HJ109">
        <f t="shared" si="112"/>
        <v>0</v>
      </c>
      <c r="HK109">
        <f t="shared" si="113"/>
        <v>0</v>
      </c>
      <c r="HL109">
        <f t="shared" si="114"/>
        <v>0</v>
      </c>
      <c r="HM109" t="s">
        <v>6</v>
      </c>
      <c r="HN109" t="s">
        <v>6</v>
      </c>
      <c r="HO109" t="s">
        <v>6</v>
      </c>
      <c r="HP109" t="s">
        <v>6</v>
      </c>
      <c r="HQ109" t="s">
        <v>6</v>
      </c>
      <c r="IK109">
        <v>0</v>
      </c>
    </row>
    <row r="110" spans="1:245">
      <c r="A110">
        <v>17</v>
      </c>
      <c r="B110">
        <v>1</v>
      </c>
      <c r="E110" t="s">
        <v>237</v>
      </c>
      <c r="F110" t="s">
        <v>162</v>
      </c>
      <c r="G110" t="s">
        <v>163</v>
      </c>
      <c r="H110" t="s">
        <v>155</v>
      </c>
      <c r="I110">
        <f>ROUND((208)/1000,7)</f>
        <v>0.20799999999999999</v>
      </c>
      <c r="J110">
        <v>0</v>
      </c>
      <c r="K110">
        <f>ROUND((208)/1000,7)</f>
        <v>0.20799999999999999</v>
      </c>
      <c r="O110">
        <f t="shared" si="76"/>
        <v>397.81</v>
      </c>
      <c r="P110">
        <f t="shared" si="77"/>
        <v>397.81</v>
      </c>
      <c r="Q110">
        <f t="shared" si="78"/>
        <v>0</v>
      </c>
      <c r="R110">
        <f t="shared" si="79"/>
        <v>0</v>
      </c>
      <c r="S110">
        <f t="shared" si="80"/>
        <v>0</v>
      </c>
      <c r="T110">
        <f t="shared" si="81"/>
        <v>0</v>
      </c>
      <c r="U110">
        <f t="shared" si="82"/>
        <v>0</v>
      </c>
      <c r="V110">
        <f t="shared" si="83"/>
        <v>0</v>
      </c>
      <c r="W110">
        <f t="shared" si="84"/>
        <v>0</v>
      </c>
      <c r="X110">
        <f t="shared" si="85"/>
        <v>0</v>
      </c>
      <c r="Y110">
        <f t="shared" si="86"/>
        <v>0</v>
      </c>
      <c r="AA110">
        <v>31028412</v>
      </c>
      <c r="AB110">
        <f t="shared" si="87"/>
        <v>1912.53</v>
      </c>
      <c r="AC110">
        <f t="shared" si="88"/>
        <v>1912.53</v>
      </c>
      <c r="AD110">
        <f>ROUND((((ET110)-(EU110))+AE110),6)</f>
        <v>0</v>
      </c>
      <c r="AE110">
        <f t="shared" si="119"/>
        <v>0</v>
      </c>
      <c r="AF110">
        <f t="shared" si="119"/>
        <v>0</v>
      </c>
      <c r="AG110">
        <f t="shared" si="89"/>
        <v>0</v>
      </c>
      <c r="AH110">
        <f t="shared" si="120"/>
        <v>0</v>
      </c>
      <c r="AI110">
        <f t="shared" si="120"/>
        <v>0</v>
      </c>
      <c r="AJ110">
        <f t="shared" si="90"/>
        <v>0</v>
      </c>
      <c r="AK110">
        <v>1912.53</v>
      </c>
      <c r="AL110">
        <v>1912.53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1</v>
      </c>
      <c r="AW110">
        <v>1</v>
      </c>
      <c r="AZ110">
        <v>1</v>
      </c>
      <c r="BA110">
        <v>1</v>
      </c>
      <c r="BB110">
        <v>1</v>
      </c>
      <c r="BC110">
        <v>1</v>
      </c>
      <c r="BD110" t="s">
        <v>6</v>
      </c>
      <c r="BE110" t="s">
        <v>6</v>
      </c>
      <c r="BF110" t="s">
        <v>6</v>
      </c>
      <c r="BG110" t="s">
        <v>6</v>
      </c>
      <c r="BH110">
        <v>3</v>
      </c>
      <c r="BI110">
        <v>1</v>
      </c>
      <c r="BJ110" t="s">
        <v>164</v>
      </c>
      <c r="BM110">
        <v>500001</v>
      </c>
      <c r="BN110">
        <v>0</v>
      </c>
      <c r="BO110" t="s">
        <v>111</v>
      </c>
      <c r="BP110">
        <v>1</v>
      </c>
      <c r="BQ110">
        <v>8</v>
      </c>
      <c r="BR110">
        <v>0</v>
      </c>
      <c r="BS110">
        <v>1</v>
      </c>
      <c r="BT110">
        <v>1</v>
      </c>
      <c r="BU110">
        <v>1</v>
      </c>
      <c r="BV110">
        <v>1</v>
      </c>
      <c r="BW110">
        <v>1</v>
      </c>
      <c r="BX110">
        <v>1</v>
      </c>
      <c r="BY110" t="s">
        <v>6</v>
      </c>
      <c r="BZ110">
        <v>0</v>
      </c>
      <c r="CA110">
        <v>0</v>
      </c>
      <c r="CB110" t="s">
        <v>6</v>
      </c>
      <c r="CE110">
        <v>0</v>
      </c>
      <c r="CF110">
        <v>0</v>
      </c>
      <c r="CG110">
        <v>0</v>
      </c>
      <c r="CM110">
        <v>0</v>
      </c>
      <c r="CN110" t="s">
        <v>6</v>
      </c>
      <c r="CO110">
        <v>0</v>
      </c>
      <c r="CP110">
        <f t="shared" si="91"/>
        <v>397.81</v>
      </c>
      <c r="CQ110">
        <f t="shared" si="92"/>
        <v>1912.53</v>
      </c>
      <c r="CR110">
        <f t="shared" si="93"/>
        <v>0</v>
      </c>
      <c r="CS110">
        <f t="shared" si="94"/>
        <v>0</v>
      </c>
      <c r="CT110">
        <f t="shared" si="95"/>
        <v>0</v>
      </c>
      <c r="CU110">
        <f t="shared" si="96"/>
        <v>0</v>
      </c>
      <c r="CV110">
        <f t="shared" si="97"/>
        <v>0</v>
      </c>
      <c r="CW110">
        <f t="shared" si="98"/>
        <v>0</v>
      </c>
      <c r="CX110">
        <f t="shared" si="99"/>
        <v>0</v>
      </c>
      <c r="CY110">
        <f t="shared" si="100"/>
        <v>0</v>
      </c>
      <c r="CZ110">
        <f t="shared" si="101"/>
        <v>0</v>
      </c>
      <c r="DC110" t="s">
        <v>6</v>
      </c>
      <c r="DD110" t="s">
        <v>6</v>
      </c>
      <c r="DE110" t="s">
        <v>6</v>
      </c>
      <c r="DF110" t="s">
        <v>6</v>
      </c>
      <c r="DG110" t="s">
        <v>6</v>
      </c>
      <c r="DH110" t="s">
        <v>6</v>
      </c>
      <c r="DI110" t="s">
        <v>6</v>
      </c>
      <c r="DJ110" t="s">
        <v>6</v>
      </c>
      <c r="DK110" t="s">
        <v>6</v>
      </c>
      <c r="DL110" t="s">
        <v>6</v>
      </c>
      <c r="DM110" t="s">
        <v>6</v>
      </c>
      <c r="DN110">
        <v>0</v>
      </c>
      <c r="DO110">
        <v>0</v>
      </c>
      <c r="DP110">
        <v>1</v>
      </c>
      <c r="DQ110">
        <v>1</v>
      </c>
      <c r="DU110">
        <v>1010</v>
      </c>
      <c r="DV110" t="s">
        <v>155</v>
      </c>
      <c r="DW110" t="s">
        <v>155</v>
      </c>
      <c r="DX110">
        <v>1000</v>
      </c>
      <c r="DZ110" t="s">
        <v>6</v>
      </c>
      <c r="EA110" t="s">
        <v>6</v>
      </c>
      <c r="EB110" t="s">
        <v>6</v>
      </c>
      <c r="EC110" t="s">
        <v>6</v>
      </c>
      <c r="EE110">
        <v>30852824</v>
      </c>
      <c r="EF110">
        <v>8</v>
      </c>
      <c r="EG110" t="s">
        <v>112</v>
      </c>
      <c r="EH110">
        <v>0</v>
      </c>
      <c r="EI110" t="s">
        <v>6</v>
      </c>
      <c r="EJ110">
        <v>1</v>
      </c>
      <c r="EK110">
        <v>500001</v>
      </c>
      <c r="EL110" t="s">
        <v>113</v>
      </c>
      <c r="EM110" t="s">
        <v>114</v>
      </c>
      <c r="EO110" t="s">
        <v>6</v>
      </c>
      <c r="EQ110">
        <v>0</v>
      </c>
      <c r="ER110">
        <v>1912.53</v>
      </c>
      <c r="ES110">
        <v>1912.53</v>
      </c>
      <c r="ET110">
        <v>0</v>
      </c>
      <c r="EU110">
        <v>0</v>
      </c>
      <c r="EV110">
        <v>0</v>
      </c>
      <c r="EW110">
        <v>0</v>
      </c>
      <c r="EX110">
        <v>0</v>
      </c>
      <c r="EY110">
        <v>0</v>
      </c>
      <c r="FQ110">
        <v>0</v>
      </c>
      <c r="FR110">
        <f t="shared" si="102"/>
        <v>0</v>
      </c>
      <c r="FS110">
        <v>0</v>
      </c>
      <c r="FX110">
        <v>0</v>
      </c>
      <c r="FY110">
        <v>0</v>
      </c>
      <c r="GA110" t="s">
        <v>6</v>
      </c>
      <c r="GD110">
        <v>1</v>
      </c>
      <c r="GF110">
        <v>-1674372488</v>
      </c>
      <c r="GG110">
        <v>2</v>
      </c>
      <c r="GH110">
        <v>1</v>
      </c>
      <c r="GI110">
        <v>4</v>
      </c>
      <c r="GJ110">
        <v>0</v>
      </c>
      <c r="GK110">
        <v>0</v>
      </c>
      <c r="GL110">
        <f t="shared" si="103"/>
        <v>0</v>
      </c>
      <c r="GM110">
        <f t="shared" si="104"/>
        <v>397.81</v>
      </c>
      <c r="GN110">
        <f t="shared" si="105"/>
        <v>397.81</v>
      </c>
      <c r="GO110">
        <f t="shared" si="106"/>
        <v>0</v>
      </c>
      <c r="GP110">
        <f t="shared" si="107"/>
        <v>0</v>
      </c>
      <c r="GR110">
        <v>0</v>
      </c>
      <c r="GS110">
        <v>3</v>
      </c>
      <c r="GT110">
        <v>0</v>
      </c>
      <c r="GU110" t="s">
        <v>6</v>
      </c>
      <c r="GV110">
        <f t="shared" si="108"/>
        <v>0</v>
      </c>
      <c r="GW110">
        <v>1</v>
      </c>
      <c r="GX110">
        <f t="shared" si="109"/>
        <v>0</v>
      </c>
      <c r="HA110">
        <v>0</v>
      </c>
      <c r="HB110">
        <v>0</v>
      </c>
      <c r="HC110">
        <f t="shared" si="110"/>
        <v>0</v>
      </c>
      <c r="HE110" t="s">
        <v>6</v>
      </c>
      <c r="HF110" t="s">
        <v>6</v>
      </c>
      <c r="HI110">
        <f t="shared" si="111"/>
        <v>0</v>
      </c>
      <c r="HJ110">
        <f t="shared" si="112"/>
        <v>0</v>
      </c>
      <c r="HK110">
        <f t="shared" si="113"/>
        <v>0</v>
      </c>
      <c r="HL110">
        <f t="shared" si="114"/>
        <v>0</v>
      </c>
      <c r="HM110" t="s">
        <v>6</v>
      </c>
      <c r="HN110" t="s">
        <v>6</v>
      </c>
      <c r="HO110" t="s">
        <v>6</v>
      </c>
      <c r="HP110" t="s">
        <v>6</v>
      </c>
      <c r="HQ110" t="s">
        <v>6</v>
      </c>
      <c r="IK110">
        <v>0</v>
      </c>
    </row>
    <row r="111" spans="1:245">
      <c r="A111">
        <v>17</v>
      </c>
      <c r="B111">
        <v>1</v>
      </c>
      <c r="C111">
        <f>ROW(SmtRes!A87)</f>
        <v>87</v>
      </c>
      <c r="D111">
        <f>ROW(EtalonRes!A104)</f>
        <v>104</v>
      </c>
      <c r="E111" t="s">
        <v>238</v>
      </c>
      <c r="F111" t="s">
        <v>239</v>
      </c>
      <c r="G111" t="s">
        <v>240</v>
      </c>
      <c r="H111" t="s">
        <v>232</v>
      </c>
      <c r="I111">
        <f>ROUND(4/100,7)</f>
        <v>0.04</v>
      </c>
      <c r="J111">
        <v>0</v>
      </c>
      <c r="K111">
        <f>ROUND(4/100,7)</f>
        <v>0.04</v>
      </c>
      <c r="O111">
        <f t="shared" si="76"/>
        <v>996.48</v>
      </c>
      <c r="P111">
        <f t="shared" si="77"/>
        <v>786.48</v>
      </c>
      <c r="Q111">
        <f t="shared" si="78"/>
        <v>9.98</v>
      </c>
      <c r="R111">
        <f t="shared" si="79"/>
        <v>1.2</v>
      </c>
      <c r="S111">
        <f t="shared" si="80"/>
        <v>200.02</v>
      </c>
      <c r="T111">
        <f t="shared" si="81"/>
        <v>0</v>
      </c>
      <c r="U111">
        <f t="shared" si="82"/>
        <v>25.3828</v>
      </c>
      <c r="V111">
        <f t="shared" si="83"/>
        <v>9.1999999999999998E-2</v>
      </c>
      <c r="W111">
        <f t="shared" si="84"/>
        <v>0</v>
      </c>
      <c r="X111">
        <f t="shared" si="85"/>
        <v>185.12</v>
      </c>
      <c r="Y111">
        <f t="shared" si="86"/>
        <v>104.63</v>
      </c>
      <c r="AA111">
        <v>31028412</v>
      </c>
      <c r="AB111">
        <f t="shared" si="87"/>
        <v>24911.732</v>
      </c>
      <c r="AC111">
        <f t="shared" si="88"/>
        <v>19661.89</v>
      </c>
      <c r="AD111">
        <f>ROUND(((((ET111*ROUND(1.15,7)))-((EU111*ROUND(1.15,7))))+AE111),6)</f>
        <v>249.435</v>
      </c>
      <c r="AE111">
        <f>ROUND(((EU111*ROUND(1.15,7))),6)</f>
        <v>29.969000000000001</v>
      </c>
      <c r="AF111">
        <f>ROUND(((EV111*ROUND(1.15,7))),6)</f>
        <v>5000.4070000000002</v>
      </c>
      <c r="AG111">
        <f t="shared" si="89"/>
        <v>0</v>
      </c>
      <c r="AH111">
        <f>((EW111*ROUND(1.15,7)))</f>
        <v>634.56999999999994</v>
      </c>
      <c r="AI111">
        <f>((EX111*ROUND(1.15,7)))</f>
        <v>2.2999999999999998</v>
      </c>
      <c r="AJ111">
        <f t="shared" si="90"/>
        <v>0</v>
      </c>
      <c r="AK111">
        <v>24226.97</v>
      </c>
      <c r="AL111">
        <v>19661.89</v>
      </c>
      <c r="AM111">
        <v>216.9</v>
      </c>
      <c r="AN111">
        <v>26.06</v>
      </c>
      <c r="AO111">
        <v>4348.18</v>
      </c>
      <c r="AP111">
        <v>0</v>
      </c>
      <c r="AQ111">
        <v>551.79999999999995</v>
      </c>
      <c r="AR111">
        <v>2</v>
      </c>
      <c r="AS111">
        <v>0</v>
      </c>
      <c r="AT111">
        <v>92</v>
      </c>
      <c r="AU111">
        <v>52</v>
      </c>
      <c r="AV111">
        <v>1</v>
      </c>
      <c r="AW111">
        <v>1</v>
      </c>
      <c r="AZ111">
        <v>1</v>
      </c>
      <c r="BA111">
        <v>24.22</v>
      </c>
      <c r="BB111">
        <v>1</v>
      </c>
      <c r="BC111">
        <v>1</v>
      </c>
      <c r="BD111" t="s">
        <v>6</v>
      </c>
      <c r="BE111" t="s">
        <v>6</v>
      </c>
      <c r="BF111" t="s">
        <v>6</v>
      </c>
      <c r="BG111" t="s">
        <v>6</v>
      </c>
      <c r="BH111">
        <v>0</v>
      </c>
      <c r="BI111">
        <v>1</v>
      </c>
      <c r="BJ111" t="s">
        <v>241</v>
      </c>
      <c r="BM111">
        <v>53001</v>
      </c>
      <c r="BN111">
        <v>0</v>
      </c>
      <c r="BO111" t="s">
        <v>1327</v>
      </c>
      <c r="BP111">
        <v>1</v>
      </c>
      <c r="BQ111">
        <v>6</v>
      </c>
      <c r="BR111">
        <v>0</v>
      </c>
      <c r="BS111">
        <v>24.22</v>
      </c>
      <c r="BT111">
        <v>1</v>
      </c>
      <c r="BU111">
        <v>1</v>
      </c>
      <c r="BV111">
        <v>1</v>
      </c>
      <c r="BW111">
        <v>1</v>
      </c>
      <c r="BX111">
        <v>1</v>
      </c>
      <c r="BY111" t="s">
        <v>6</v>
      </c>
      <c r="BZ111">
        <v>92</v>
      </c>
      <c r="CA111">
        <v>52</v>
      </c>
      <c r="CB111" t="s">
        <v>6</v>
      </c>
      <c r="CE111">
        <v>0</v>
      </c>
      <c r="CF111">
        <v>0</v>
      </c>
      <c r="CG111">
        <v>0</v>
      </c>
      <c r="CM111">
        <v>0</v>
      </c>
      <c r="CN111" t="s">
        <v>6</v>
      </c>
      <c r="CO111">
        <v>0</v>
      </c>
      <c r="CP111">
        <f t="shared" si="91"/>
        <v>996.48</v>
      </c>
      <c r="CQ111">
        <f t="shared" si="92"/>
        <v>19661.89</v>
      </c>
      <c r="CR111">
        <f t="shared" si="93"/>
        <v>249.435</v>
      </c>
      <c r="CS111">
        <f t="shared" si="94"/>
        <v>29.969000000000001</v>
      </c>
      <c r="CT111">
        <f t="shared" si="95"/>
        <v>5000.4070000000002</v>
      </c>
      <c r="CU111">
        <f t="shared" si="96"/>
        <v>0</v>
      </c>
      <c r="CV111">
        <f t="shared" si="97"/>
        <v>634.56999999999994</v>
      </c>
      <c r="CW111">
        <f t="shared" si="98"/>
        <v>2.2999999999999998</v>
      </c>
      <c r="CX111">
        <f t="shared" si="99"/>
        <v>0</v>
      </c>
      <c r="CY111">
        <f t="shared" si="100"/>
        <v>185.12240000000003</v>
      </c>
      <c r="CZ111">
        <f t="shared" si="101"/>
        <v>104.6344</v>
      </c>
      <c r="DC111" t="s">
        <v>6</v>
      </c>
      <c r="DD111" t="s">
        <v>6</v>
      </c>
      <c r="DE111" t="s">
        <v>36</v>
      </c>
      <c r="DF111" t="s">
        <v>36</v>
      </c>
      <c r="DG111" t="s">
        <v>36</v>
      </c>
      <c r="DH111" t="s">
        <v>6</v>
      </c>
      <c r="DI111" t="s">
        <v>36</v>
      </c>
      <c r="DJ111" t="s">
        <v>36</v>
      </c>
      <c r="DK111" t="s">
        <v>6</v>
      </c>
      <c r="DL111" t="s">
        <v>6</v>
      </c>
      <c r="DM111" t="s">
        <v>6</v>
      </c>
      <c r="DN111">
        <v>0</v>
      </c>
      <c r="DO111">
        <v>0</v>
      </c>
      <c r="DP111">
        <v>1</v>
      </c>
      <c r="DQ111">
        <v>1</v>
      </c>
      <c r="DU111">
        <v>1013</v>
      </c>
      <c r="DV111" t="s">
        <v>232</v>
      </c>
      <c r="DW111" t="s">
        <v>232</v>
      </c>
      <c r="DX111">
        <v>1</v>
      </c>
      <c r="DZ111" t="s">
        <v>6</v>
      </c>
      <c r="EA111" t="s">
        <v>6</v>
      </c>
      <c r="EB111" t="s">
        <v>6</v>
      </c>
      <c r="EC111" t="s">
        <v>6</v>
      </c>
      <c r="EE111">
        <v>30853005</v>
      </c>
      <c r="EF111">
        <v>6</v>
      </c>
      <c r="EG111" t="s">
        <v>37</v>
      </c>
      <c r="EH111">
        <v>0</v>
      </c>
      <c r="EI111" t="s">
        <v>6</v>
      </c>
      <c r="EJ111">
        <v>1</v>
      </c>
      <c r="EK111">
        <v>53001</v>
      </c>
      <c r="EL111" t="s">
        <v>150</v>
      </c>
      <c r="EM111" t="s">
        <v>151</v>
      </c>
      <c r="EO111" t="s">
        <v>6</v>
      </c>
      <c r="EQ111">
        <v>131072</v>
      </c>
      <c r="ER111">
        <v>24226.97</v>
      </c>
      <c r="ES111">
        <v>19661.89</v>
      </c>
      <c r="ET111">
        <v>216.9</v>
      </c>
      <c r="EU111">
        <v>26.06</v>
      </c>
      <c r="EV111">
        <v>4348.18</v>
      </c>
      <c r="EW111">
        <v>551.79999999999995</v>
      </c>
      <c r="EX111">
        <v>2</v>
      </c>
      <c r="EY111">
        <v>0</v>
      </c>
      <c r="FQ111">
        <v>0</v>
      </c>
      <c r="FR111">
        <f t="shared" si="102"/>
        <v>0</v>
      </c>
      <c r="FS111">
        <v>0</v>
      </c>
      <c r="FX111">
        <v>92</v>
      </c>
      <c r="FY111">
        <v>52</v>
      </c>
      <c r="GA111" t="s">
        <v>6</v>
      </c>
      <c r="GD111">
        <v>1</v>
      </c>
      <c r="GF111">
        <v>-671032630</v>
      </c>
      <c r="GG111">
        <v>2</v>
      </c>
      <c r="GH111">
        <v>1</v>
      </c>
      <c r="GI111">
        <v>4</v>
      </c>
      <c r="GJ111">
        <v>0</v>
      </c>
      <c r="GK111">
        <v>0</v>
      </c>
      <c r="GL111">
        <f t="shared" si="103"/>
        <v>0</v>
      </c>
      <c r="GM111">
        <f t="shared" si="104"/>
        <v>1286.23</v>
      </c>
      <c r="GN111">
        <f t="shared" si="105"/>
        <v>1286.23</v>
      </c>
      <c r="GO111">
        <f t="shared" si="106"/>
        <v>0</v>
      </c>
      <c r="GP111">
        <f t="shared" si="107"/>
        <v>0</v>
      </c>
      <c r="GR111">
        <v>0</v>
      </c>
      <c r="GS111">
        <v>0</v>
      </c>
      <c r="GT111">
        <v>0</v>
      </c>
      <c r="GU111" t="s">
        <v>6</v>
      </c>
      <c r="GV111">
        <f t="shared" si="108"/>
        <v>0</v>
      </c>
      <c r="GW111">
        <v>1</v>
      </c>
      <c r="GX111">
        <f t="shared" si="109"/>
        <v>0</v>
      </c>
      <c r="HA111">
        <v>0</v>
      </c>
      <c r="HB111">
        <v>0</v>
      </c>
      <c r="HC111">
        <f t="shared" si="110"/>
        <v>0</v>
      </c>
      <c r="HE111" t="s">
        <v>6</v>
      </c>
      <c r="HF111" t="s">
        <v>6</v>
      </c>
      <c r="HI111">
        <f t="shared" si="111"/>
        <v>29</v>
      </c>
      <c r="HJ111">
        <f t="shared" si="112"/>
        <v>4844</v>
      </c>
      <c r="HK111">
        <f t="shared" si="113"/>
        <v>4483</v>
      </c>
      <c r="HL111">
        <f t="shared" si="114"/>
        <v>2534</v>
      </c>
      <c r="HM111" t="s">
        <v>6</v>
      </c>
      <c r="HN111" t="s">
        <v>6</v>
      </c>
      <c r="HO111" t="s">
        <v>6</v>
      </c>
      <c r="HP111" t="s">
        <v>6</v>
      </c>
      <c r="HQ111" t="s">
        <v>6</v>
      </c>
      <c r="IK111">
        <v>0</v>
      </c>
    </row>
    <row r="112" spans="1:245">
      <c r="A112">
        <v>17</v>
      </c>
      <c r="B112">
        <v>1</v>
      </c>
      <c r="E112" t="s">
        <v>242</v>
      </c>
      <c r="F112" t="s">
        <v>153</v>
      </c>
      <c r="G112" t="s">
        <v>154</v>
      </c>
      <c r="H112" t="s">
        <v>155</v>
      </c>
      <c r="I112">
        <f>ROUND(I111*-10.33,7)</f>
        <v>-0.41320000000000001</v>
      </c>
      <c r="J112">
        <v>0</v>
      </c>
      <c r="K112">
        <f>ROUND(I111*-10.33,7)</f>
        <v>-0.41320000000000001</v>
      </c>
      <c r="O112">
        <f t="shared" si="76"/>
        <v>-687.03</v>
      </c>
      <c r="P112">
        <f t="shared" si="77"/>
        <v>-687.03</v>
      </c>
      <c r="Q112">
        <f t="shared" si="78"/>
        <v>0</v>
      </c>
      <c r="R112">
        <f t="shared" si="79"/>
        <v>0</v>
      </c>
      <c r="S112">
        <f t="shared" si="80"/>
        <v>0</v>
      </c>
      <c r="T112">
        <f t="shared" si="81"/>
        <v>0</v>
      </c>
      <c r="U112">
        <f t="shared" si="82"/>
        <v>0</v>
      </c>
      <c r="V112">
        <f t="shared" si="83"/>
        <v>0</v>
      </c>
      <c r="W112">
        <f t="shared" si="84"/>
        <v>0</v>
      </c>
      <c r="X112">
        <f t="shared" si="85"/>
        <v>0</v>
      </c>
      <c r="Y112">
        <f t="shared" si="86"/>
        <v>0</v>
      </c>
      <c r="AA112">
        <v>31028412</v>
      </c>
      <c r="AB112">
        <f t="shared" si="87"/>
        <v>1662.7</v>
      </c>
      <c r="AC112">
        <f t="shared" si="88"/>
        <v>1662.7</v>
      </c>
      <c r="AD112">
        <f>ROUND((((ET112)-(EU112))+AE112),6)</f>
        <v>0</v>
      </c>
      <c r="AE112">
        <f t="shared" ref="AE112:AF115" si="121">ROUND((EU112),6)</f>
        <v>0</v>
      </c>
      <c r="AF112">
        <f t="shared" si="121"/>
        <v>0</v>
      </c>
      <c r="AG112">
        <f t="shared" si="89"/>
        <v>0</v>
      </c>
      <c r="AH112">
        <f t="shared" ref="AH112:AI115" si="122">(EW112)</f>
        <v>0</v>
      </c>
      <c r="AI112">
        <f t="shared" si="122"/>
        <v>0</v>
      </c>
      <c r="AJ112">
        <f t="shared" si="90"/>
        <v>0</v>
      </c>
      <c r="AK112">
        <v>1662.7</v>
      </c>
      <c r="AL112">
        <v>1662.7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1</v>
      </c>
      <c r="AW112">
        <v>1</v>
      </c>
      <c r="AZ112">
        <v>1</v>
      </c>
      <c r="BA112">
        <v>1</v>
      </c>
      <c r="BB112">
        <v>1</v>
      </c>
      <c r="BC112">
        <v>1</v>
      </c>
      <c r="BD112" t="s">
        <v>6</v>
      </c>
      <c r="BE112" t="s">
        <v>6</v>
      </c>
      <c r="BF112" t="s">
        <v>6</v>
      </c>
      <c r="BG112" t="s">
        <v>6</v>
      </c>
      <c r="BH112">
        <v>3</v>
      </c>
      <c r="BI112">
        <v>1</v>
      </c>
      <c r="BJ112" t="s">
        <v>156</v>
      </c>
      <c r="BM112">
        <v>500001</v>
      </c>
      <c r="BN112">
        <v>0</v>
      </c>
      <c r="BO112" t="s">
        <v>111</v>
      </c>
      <c r="BP112">
        <v>1</v>
      </c>
      <c r="BQ112">
        <v>8</v>
      </c>
      <c r="BR112">
        <v>1</v>
      </c>
      <c r="BS112">
        <v>1</v>
      </c>
      <c r="BT112">
        <v>1</v>
      </c>
      <c r="BU112">
        <v>1</v>
      </c>
      <c r="BV112">
        <v>1</v>
      </c>
      <c r="BW112">
        <v>1</v>
      </c>
      <c r="BX112">
        <v>1</v>
      </c>
      <c r="BY112" t="s">
        <v>6</v>
      </c>
      <c r="BZ112">
        <v>0</v>
      </c>
      <c r="CA112">
        <v>0</v>
      </c>
      <c r="CB112" t="s">
        <v>6</v>
      </c>
      <c r="CE112">
        <v>0</v>
      </c>
      <c r="CF112">
        <v>0</v>
      </c>
      <c r="CG112">
        <v>0</v>
      </c>
      <c r="CM112">
        <v>0</v>
      </c>
      <c r="CN112" t="s">
        <v>6</v>
      </c>
      <c r="CO112">
        <v>0</v>
      </c>
      <c r="CP112">
        <f t="shared" si="91"/>
        <v>-687.03</v>
      </c>
      <c r="CQ112">
        <f t="shared" si="92"/>
        <v>1662.7</v>
      </c>
      <c r="CR112">
        <f t="shared" si="93"/>
        <v>0</v>
      </c>
      <c r="CS112">
        <f t="shared" si="94"/>
        <v>0</v>
      </c>
      <c r="CT112">
        <f t="shared" si="95"/>
        <v>0</v>
      </c>
      <c r="CU112">
        <f t="shared" si="96"/>
        <v>0</v>
      </c>
      <c r="CV112">
        <f t="shared" si="97"/>
        <v>0</v>
      </c>
      <c r="CW112">
        <f t="shared" si="98"/>
        <v>0</v>
      </c>
      <c r="CX112">
        <f t="shared" si="99"/>
        <v>0</v>
      </c>
      <c r="CY112">
        <f t="shared" si="100"/>
        <v>0</v>
      </c>
      <c r="CZ112">
        <f t="shared" si="101"/>
        <v>0</v>
      </c>
      <c r="DC112" t="s">
        <v>6</v>
      </c>
      <c r="DD112" t="s">
        <v>6</v>
      </c>
      <c r="DE112" t="s">
        <v>6</v>
      </c>
      <c r="DF112" t="s">
        <v>6</v>
      </c>
      <c r="DG112" t="s">
        <v>6</v>
      </c>
      <c r="DH112" t="s">
        <v>6</v>
      </c>
      <c r="DI112" t="s">
        <v>6</v>
      </c>
      <c r="DJ112" t="s">
        <v>6</v>
      </c>
      <c r="DK112" t="s">
        <v>6</v>
      </c>
      <c r="DL112" t="s">
        <v>6</v>
      </c>
      <c r="DM112" t="s">
        <v>6</v>
      </c>
      <c r="DN112">
        <v>0</v>
      </c>
      <c r="DO112">
        <v>0</v>
      </c>
      <c r="DP112">
        <v>1</v>
      </c>
      <c r="DQ112">
        <v>1</v>
      </c>
      <c r="DU112">
        <v>1010</v>
      </c>
      <c r="DV112" t="s">
        <v>155</v>
      </c>
      <c r="DW112" t="s">
        <v>155</v>
      </c>
      <c r="DX112">
        <v>1000</v>
      </c>
      <c r="DZ112" t="s">
        <v>6</v>
      </c>
      <c r="EA112" t="s">
        <v>6</v>
      </c>
      <c r="EB112" t="s">
        <v>6</v>
      </c>
      <c r="EC112" t="s">
        <v>6</v>
      </c>
      <c r="EE112">
        <v>30852824</v>
      </c>
      <c r="EF112">
        <v>8</v>
      </c>
      <c r="EG112" t="s">
        <v>112</v>
      </c>
      <c r="EH112">
        <v>0</v>
      </c>
      <c r="EI112" t="s">
        <v>6</v>
      </c>
      <c r="EJ112">
        <v>1</v>
      </c>
      <c r="EK112">
        <v>500001</v>
      </c>
      <c r="EL112" t="s">
        <v>113</v>
      </c>
      <c r="EM112" t="s">
        <v>114</v>
      </c>
      <c r="EO112" t="s">
        <v>6</v>
      </c>
      <c r="EQ112">
        <v>32768</v>
      </c>
      <c r="ER112">
        <v>1662.7</v>
      </c>
      <c r="ES112">
        <v>1662.7</v>
      </c>
      <c r="ET112">
        <v>0</v>
      </c>
      <c r="EU112">
        <v>0</v>
      </c>
      <c r="EV112">
        <v>0</v>
      </c>
      <c r="EW112">
        <v>0</v>
      </c>
      <c r="EX112">
        <v>0</v>
      </c>
      <c r="EY112">
        <v>0</v>
      </c>
      <c r="FQ112">
        <v>0</v>
      </c>
      <c r="FR112">
        <f t="shared" si="102"/>
        <v>0</v>
      </c>
      <c r="FS112">
        <v>0</v>
      </c>
      <c r="FX112">
        <v>0</v>
      </c>
      <c r="FY112">
        <v>0</v>
      </c>
      <c r="GA112" t="s">
        <v>6</v>
      </c>
      <c r="GD112">
        <v>1</v>
      </c>
      <c r="GF112">
        <v>-1891761004</v>
      </c>
      <c r="GG112">
        <v>2</v>
      </c>
      <c r="GH112">
        <v>1</v>
      </c>
      <c r="GI112">
        <v>4</v>
      </c>
      <c r="GJ112">
        <v>0</v>
      </c>
      <c r="GK112">
        <v>0</v>
      </c>
      <c r="GL112">
        <f t="shared" si="103"/>
        <v>0</v>
      </c>
      <c r="GM112">
        <f t="shared" si="104"/>
        <v>-687.03</v>
      </c>
      <c r="GN112">
        <f t="shared" si="105"/>
        <v>-687.03</v>
      </c>
      <c r="GO112">
        <f t="shared" si="106"/>
        <v>0</v>
      </c>
      <c r="GP112">
        <f t="shared" si="107"/>
        <v>0</v>
      </c>
      <c r="GR112">
        <v>0</v>
      </c>
      <c r="GS112">
        <v>0</v>
      </c>
      <c r="GT112">
        <v>0</v>
      </c>
      <c r="GU112" t="s">
        <v>6</v>
      </c>
      <c r="GV112">
        <f t="shared" si="108"/>
        <v>0</v>
      </c>
      <c r="GW112">
        <v>1</v>
      </c>
      <c r="GX112">
        <f t="shared" si="109"/>
        <v>0</v>
      </c>
      <c r="HA112">
        <v>0</v>
      </c>
      <c r="HB112">
        <v>0</v>
      </c>
      <c r="HC112">
        <f t="shared" si="110"/>
        <v>0</v>
      </c>
      <c r="HE112" t="s">
        <v>6</v>
      </c>
      <c r="HF112" t="s">
        <v>6</v>
      </c>
      <c r="HI112">
        <f t="shared" si="111"/>
        <v>0</v>
      </c>
      <c r="HJ112">
        <f t="shared" si="112"/>
        <v>0</v>
      </c>
      <c r="HK112">
        <f t="shared" si="113"/>
        <v>0</v>
      </c>
      <c r="HL112">
        <f t="shared" si="114"/>
        <v>0</v>
      </c>
      <c r="HM112" t="s">
        <v>6</v>
      </c>
      <c r="HN112" t="s">
        <v>6</v>
      </c>
      <c r="HO112" t="s">
        <v>6</v>
      </c>
      <c r="HP112" t="s">
        <v>6</v>
      </c>
      <c r="HQ112" t="s">
        <v>6</v>
      </c>
      <c r="IK112">
        <v>0</v>
      </c>
    </row>
    <row r="113" spans="1:245">
      <c r="A113">
        <v>17</v>
      </c>
      <c r="B113">
        <v>1</v>
      </c>
      <c r="E113" t="s">
        <v>243</v>
      </c>
      <c r="F113" t="s">
        <v>158</v>
      </c>
      <c r="G113" t="s">
        <v>159</v>
      </c>
      <c r="H113" t="s">
        <v>109</v>
      </c>
      <c r="I113">
        <f>ROUND(I111*-5.8,7)</f>
        <v>-0.23200000000000001</v>
      </c>
      <c r="J113">
        <v>0</v>
      </c>
      <c r="K113">
        <f>ROUND(I111*-5.8,7)</f>
        <v>-0.23200000000000001</v>
      </c>
      <c r="O113">
        <f t="shared" si="76"/>
        <v>-99.34</v>
      </c>
      <c r="P113">
        <f t="shared" si="77"/>
        <v>-99.34</v>
      </c>
      <c r="Q113">
        <f t="shared" si="78"/>
        <v>0</v>
      </c>
      <c r="R113">
        <f t="shared" si="79"/>
        <v>0</v>
      </c>
      <c r="S113">
        <f t="shared" si="80"/>
        <v>0</v>
      </c>
      <c r="T113">
        <f t="shared" si="81"/>
        <v>0</v>
      </c>
      <c r="U113">
        <f t="shared" si="82"/>
        <v>0</v>
      </c>
      <c r="V113">
        <f t="shared" si="83"/>
        <v>0</v>
      </c>
      <c r="W113">
        <f t="shared" si="84"/>
        <v>0</v>
      </c>
      <c r="X113">
        <f t="shared" si="85"/>
        <v>0</v>
      </c>
      <c r="Y113">
        <f t="shared" si="86"/>
        <v>0</v>
      </c>
      <c r="AA113">
        <v>31028412</v>
      </c>
      <c r="AB113">
        <f t="shared" si="87"/>
        <v>428.17</v>
      </c>
      <c r="AC113">
        <f t="shared" si="88"/>
        <v>428.17</v>
      </c>
      <c r="AD113">
        <f>ROUND((((ET113)-(EU113))+AE113),6)</f>
        <v>0</v>
      </c>
      <c r="AE113">
        <f t="shared" si="121"/>
        <v>0</v>
      </c>
      <c r="AF113">
        <f t="shared" si="121"/>
        <v>0</v>
      </c>
      <c r="AG113">
        <f t="shared" si="89"/>
        <v>0</v>
      </c>
      <c r="AH113">
        <f t="shared" si="122"/>
        <v>0</v>
      </c>
      <c r="AI113">
        <f t="shared" si="122"/>
        <v>0</v>
      </c>
      <c r="AJ113">
        <f t="shared" si="90"/>
        <v>0</v>
      </c>
      <c r="AK113">
        <v>428.17</v>
      </c>
      <c r="AL113">
        <v>428.17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1</v>
      </c>
      <c r="AW113">
        <v>1</v>
      </c>
      <c r="AZ113">
        <v>1</v>
      </c>
      <c r="BA113">
        <v>1</v>
      </c>
      <c r="BB113">
        <v>1</v>
      </c>
      <c r="BC113">
        <v>1</v>
      </c>
      <c r="BD113" t="s">
        <v>6</v>
      </c>
      <c r="BE113" t="s">
        <v>6</v>
      </c>
      <c r="BF113" t="s">
        <v>6</v>
      </c>
      <c r="BG113" t="s">
        <v>6</v>
      </c>
      <c r="BH113">
        <v>3</v>
      </c>
      <c r="BI113">
        <v>1</v>
      </c>
      <c r="BJ113" t="s">
        <v>160</v>
      </c>
      <c r="BM113">
        <v>500001</v>
      </c>
      <c r="BN113">
        <v>0</v>
      </c>
      <c r="BO113" t="s">
        <v>111</v>
      </c>
      <c r="BP113">
        <v>1</v>
      </c>
      <c r="BQ113">
        <v>8</v>
      </c>
      <c r="BR113">
        <v>1</v>
      </c>
      <c r="BS113">
        <v>1</v>
      </c>
      <c r="BT113">
        <v>1</v>
      </c>
      <c r="BU113">
        <v>1</v>
      </c>
      <c r="BV113">
        <v>1</v>
      </c>
      <c r="BW113">
        <v>1</v>
      </c>
      <c r="BX113">
        <v>1</v>
      </c>
      <c r="BY113" t="s">
        <v>6</v>
      </c>
      <c r="BZ113">
        <v>0</v>
      </c>
      <c r="CA113">
        <v>0</v>
      </c>
      <c r="CB113" t="s">
        <v>6</v>
      </c>
      <c r="CE113">
        <v>0</v>
      </c>
      <c r="CF113">
        <v>0</v>
      </c>
      <c r="CG113">
        <v>0</v>
      </c>
      <c r="CM113">
        <v>0</v>
      </c>
      <c r="CN113" t="s">
        <v>6</v>
      </c>
      <c r="CO113">
        <v>0</v>
      </c>
      <c r="CP113">
        <f t="shared" si="91"/>
        <v>-99.34</v>
      </c>
      <c r="CQ113">
        <f t="shared" si="92"/>
        <v>428.17</v>
      </c>
      <c r="CR113">
        <f t="shared" si="93"/>
        <v>0</v>
      </c>
      <c r="CS113">
        <f t="shared" si="94"/>
        <v>0</v>
      </c>
      <c r="CT113">
        <f t="shared" si="95"/>
        <v>0</v>
      </c>
      <c r="CU113">
        <f t="shared" si="96"/>
        <v>0</v>
      </c>
      <c r="CV113">
        <f t="shared" si="97"/>
        <v>0</v>
      </c>
      <c r="CW113">
        <f t="shared" si="98"/>
        <v>0</v>
      </c>
      <c r="CX113">
        <f t="shared" si="99"/>
        <v>0</v>
      </c>
      <c r="CY113">
        <f t="shared" si="100"/>
        <v>0</v>
      </c>
      <c r="CZ113">
        <f t="shared" si="101"/>
        <v>0</v>
      </c>
      <c r="DC113" t="s">
        <v>6</v>
      </c>
      <c r="DD113" t="s">
        <v>6</v>
      </c>
      <c r="DE113" t="s">
        <v>6</v>
      </c>
      <c r="DF113" t="s">
        <v>6</v>
      </c>
      <c r="DG113" t="s">
        <v>6</v>
      </c>
      <c r="DH113" t="s">
        <v>6</v>
      </c>
      <c r="DI113" t="s">
        <v>6</v>
      </c>
      <c r="DJ113" t="s">
        <v>6</v>
      </c>
      <c r="DK113" t="s">
        <v>6</v>
      </c>
      <c r="DL113" t="s">
        <v>6</v>
      </c>
      <c r="DM113" t="s">
        <v>6</v>
      </c>
      <c r="DN113">
        <v>0</v>
      </c>
      <c r="DO113">
        <v>0</v>
      </c>
      <c r="DP113">
        <v>1</v>
      </c>
      <c r="DQ113">
        <v>1</v>
      </c>
      <c r="DU113">
        <v>1007</v>
      </c>
      <c r="DV113" t="s">
        <v>109</v>
      </c>
      <c r="DW113" t="s">
        <v>109</v>
      </c>
      <c r="DX113">
        <v>1</v>
      </c>
      <c r="DZ113" t="s">
        <v>6</v>
      </c>
      <c r="EA113" t="s">
        <v>6</v>
      </c>
      <c r="EB113" t="s">
        <v>6</v>
      </c>
      <c r="EC113" t="s">
        <v>6</v>
      </c>
      <c r="EE113">
        <v>30852824</v>
      </c>
      <c r="EF113">
        <v>8</v>
      </c>
      <c r="EG113" t="s">
        <v>112</v>
      </c>
      <c r="EH113">
        <v>0</v>
      </c>
      <c r="EI113" t="s">
        <v>6</v>
      </c>
      <c r="EJ113">
        <v>1</v>
      </c>
      <c r="EK113">
        <v>500001</v>
      </c>
      <c r="EL113" t="s">
        <v>113</v>
      </c>
      <c r="EM113" t="s">
        <v>114</v>
      </c>
      <c r="EO113" t="s">
        <v>6</v>
      </c>
      <c r="EQ113">
        <v>32768</v>
      </c>
      <c r="ER113">
        <v>428.17</v>
      </c>
      <c r="ES113">
        <v>428.17</v>
      </c>
      <c r="ET113">
        <v>0</v>
      </c>
      <c r="EU113">
        <v>0</v>
      </c>
      <c r="EV113">
        <v>0</v>
      </c>
      <c r="EW113">
        <v>0</v>
      </c>
      <c r="EX113">
        <v>0</v>
      </c>
      <c r="EY113">
        <v>0</v>
      </c>
      <c r="FQ113">
        <v>0</v>
      </c>
      <c r="FR113">
        <f t="shared" si="102"/>
        <v>0</v>
      </c>
      <c r="FS113">
        <v>0</v>
      </c>
      <c r="FX113">
        <v>0</v>
      </c>
      <c r="FY113">
        <v>0</v>
      </c>
      <c r="GA113" t="s">
        <v>6</v>
      </c>
      <c r="GD113">
        <v>1</v>
      </c>
      <c r="GF113">
        <v>2037766963</v>
      </c>
      <c r="GG113">
        <v>2</v>
      </c>
      <c r="GH113">
        <v>1</v>
      </c>
      <c r="GI113">
        <v>4</v>
      </c>
      <c r="GJ113">
        <v>0</v>
      </c>
      <c r="GK113">
        <v>0</v>
      </c>
      <c r="GL113">
        <f t="shared" si="103"/>
        <v>0</v>
      </c>
      <c r="GM113">
        <f t="shared" si="104"/>
        <v>-99.34</v>
      </c>
      <c r="GN113">
        <f t="shared" si="105"/>
        <v>-99.34</v>
      </c>
      <c r="GO113">
        <f t="shared" si="106"/>
        <v>0</v>
      </c>
      <c r="GP113">
        <f t="shared" si="107"/>
        <v>0</v>
      </c>
      <c r="GR113">
        <v>0</v>
      </c>
      <c r="GS113">
        <v>0</v>
      </c>
      <c r="GT113">
        <v>0</v>
      </c>
      <c r="GU113" t="s">
        <v>6</v>
      </c>
      <c r="GV113">
        <f t="shared" si="108"/>
        <v>0</v>
      </c>
      <c r="GW113">
        <v>1</v>
      </c>
      <c r="GX113">
        <f t="shared" si="109"/>
        <v>0</v>
      </c>
      <c r="HA113">
        <v>0</v>
      </c>
      <c r="HB113">
        <v>0</v>
      </c>
      <c r="HC113">
        <f t="shared" si="110"/>
        <v>0</v>
      </c>
      <c r="HE113" t="s">
        <v>6</v>
      </c>
      <c r="HF113" t="s">
        <v>6</v>
      </c>
      <c r="HI113">
        <f t="shared" si="111"/>
        <v>0</v>
      </c>
      <c r="HJ113">
        <f t="shared" si="112"/>
        <v>0</v>
      </c>
      <c r="HK113">
        <f t="shared" si="113"/>
        <v>0</v>
      </c>
      <c r="HL113">
        <f t="shared" si="114"/>
        <v>0</v>
      </c>
      <c r="HM113" t="s">
        <v>6</v>
      </c>
      <c r="HN113" t="s">
        <v>6</v>
      </c>
      <c r="HO113" t="s">
        <v>6</v>
      </c>
      <c r="HP113" t="s">
        <v>6</v>
      </c>
      <c r="HQ113" t="s">
        <v>6</v>
      </c>
      <c r="IK113">
        <v>0</v>
      </c>
    </row>
    <row r="114" spans="1:245">
      <c r="A114">
        <v>17</v>
      </c>
      <c r="B114">
        <v>1</v>
      </c>
      <c r="E114" t="s">
        <v>244</v>
      </c>
      <c r="F114" t="s">
        <v>166</v>
      </c>
      <c r="G114" t="s">
        <v>167</v>
      </c>
      <c r="H114" t="s">
        <v>109</v>
      </c>
      <c r="I114">
        <v>0.23200000000000001</v>
      </c>
      <c r="J114">
        <v>0</v>
      </c>
      <c r="K114">
        <v>0.23200000000000001</v>
      </c>
      <c r="O114">
        <f t="shared" si="76"/>
        <v>112.23</v>
      </c>
      <c r="P114">
        <f t="shared" si="77"/>
        <v>112.23</v>
      </c>
      <c r="Q114">
        <f t="shared" si="78"/>
        <v>0</v>
      </c>
      <c r="R114">
        <f t="shared" si="79"/>
        <v>0</v>
      </c>
      <c r="S114">
        <f t="shared" si="80"/>
        <v>0</v>
      </c>
      <c r="T114">
        <f t="shared" si="81"/>
        <v>0</v>
      </c>
      <c r="U114">
        <f t="shared" si="82"/>
        <v>0</v>
      </c>
      <c r="V114">
        <f t="shared" si="83"/>
        <v>0</v>
      </c>
      <c r="W114">
        <f t="shared" si="84"/>
        <v>0</v>
      </c>
      <c r="X114">
        <f t="shared" si="85"/>
        <v>0</v>
      </c>
      <c r="Y114">
        <f t="shared" si="86"/>
        <v>0</v>
      </c>
      <c r="AA114">
        <v>31028412</v>
      </c>
      <c r="AB114">
        <f t="shared" si="87"/>
        <v>483.76</v>
      </c>
      <c r="AC114">
        <f t="shared" si="88"/>
        <v>483.76</v>
      </c>
      <c r="AD114">
        <f>ROUND((((ET114)-(EU114))+AE114),6)</f>
        <v>0</v>
      </c>
      <c r="AE114">
        <f t="shared" si="121"/>
        <v>0</v>
      </c>
      <c r="AF114">
        <f t="shared" si="121"/>
        <v>0</v>
      </c>
      <c r="AG114">
        <f t="shared" si="89"/>
        <v>0</v>
      </c>
      <c r="AH114">
        <f t="shared" si="122"/>
        <v>0</v>
      </c>
      <c r="AI114">
        <f t="shared" si="122"/>
        <v>0</v>
      </c>
      <c r="AJ114">
        <f t="shared" si="90"/>
        <v>0</v>
      </c>
      <c r="AK114">
        <v>483.76</v>
      </c>
      <c r="AL114">
        <v>483.76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1</v>
      </c>
      <c r="AW114">
        <v>1</v>
      </c>
      <c r="AZ114">
        <v>1</v>
      </c>
      <c r="BA114">
        <v>1</v>
      </c>
      <c r="BB114">
        <v>1</v>
      </c>
      <c r="BC114">
        <v>1</v>
      </c>
      <c r="BD114" t="s">
        <v>6</v>
      </c>
      <c r="BE114" t="s">
        <v>6</v>
      </c>
      <c r="BF114" t="s">
        <v>6</v>
      </c>
      <c r="BG114" t="s">
        <v>6</v>
      </c>
      <c r="BH114">
        <v>3</v>
      </c>
      <c r="BI114">
        <v>1</v>
      </c>
      <c r="BJ114" t="s">
        <v>168</v>
      </c>
      <c r="BM114">
        <v>500001</v>
      </c>
      <c r="BN114">
        <v>0</v>
      </c>
      <c r="BO114" t="s">
        <v>111</v>
      </c>
      <c r="BP114">
        <v>1</v>
      </c>
      <c r="BQ114">
        <v>8</v>
      </c>
      <c r="BR114">
        <v>0</v>
      </c>
      <c r="BS114">
        <v>1</v>
      </c>
      <c r="BT114">
        <v>1</v>
      </c>
      <c r="BU114">
        <v>1</v>
      </c>
      <c r="BV114">
        <v>1</v>
      </c>
      <c r="BW114">
        <v>1</v>
      </c>
      <c r="BX114">
        <v>1</v>
      </c>
      <c r="BY114" t="s">
        <v>6</v>
      </c>
      <c r="BZ114">
        <v>0</v>
      </c>
      <c r="CA114">
        <v>0</v>
      </c>
      <c r="CB114" t="s">
        <v>6</v>
      </c>
      <c r="CE114">
        <v>0</v>
      </c>
      <c r="CF114">
        <v>0</v>
      </c>
      <c r="CG114">
        <v>0</v>
      </c>
      <c r="CM114">
        <v>0</v>
      </c>
      <c r="CN114" t="s">
        <v>6</v>
      </c>
      <c r="CO114">
        <v>0</v>
      </c>
      <c r="CP114">
        <f t="shared" si="91"/>
        <v>112.23</v>
      </c>
      <c r="CQ114">
        <f t="shared" si="92"/>
        <v>483.76</v>
      </c>
      <c r="CR114">
        <f t="shared" si="93"/>
        <v>0</v>
      </c>
      <c r="CS114">
        <f t="shared" si="94"/>
        <v>0</v>
      </c>
      <c r="CT114">
        <f t="shared" si="95"/>
        <v>0</v>
      </c>
      <c r="CU114">
        <f t="shared" si="96"/>
        <v>0</v>
      </c>
      <c r="CV114">
        <f t="shared" si="97"/>
        <v>0</v>
      </c>
      <c r="CW114">
        <f t="shared" si="98"/>
        <v>0</v>
      </c>
      <c r="CX114">
        <f t="shared" si="99"/>
        <v>0</v>
      </c>
      <c r="CY114">
        <f t="shared" si="100"/>
        <v>0</v>
      </c>
      <c r="CZ114">
        <f t="shared" si="101"/>
        <v>0</v>
      </c>
      <c r="DC114" t="s">
        <v>6</v>
      </c>
      <c r="DD114" t="s">
        <v>6</v>
      </c>
      <c r="DE114" t="s">
        <v>6</v>
      </c>
      <c r="DF114" t="s">
        <v>6</v>
      </c>
      <c r="DG114" t="s">
        <v>6</v>
      </c>
      <c r="DH114" t="s">
        <v>6</v>
      </c>
      <c r="DI114" t="s">
        <v>6</v>
      </c>
      <c r="DJ114" t="s">
        <v>6</v>
      </c>
      <c r="DK114" t="s">
        <v>6</v>
      </c>
      <c r="DL114" t="s">
        <v>6</v>
      </c>
      <c r="DM114" t="s">
        <v>6</v>
      </c>
      <c r="DN114">
        <v>0</v>
      </c>
      <c r="DO114">
        <v>0</v>
      </c>
      <c r="DP114">
        <v>1</v>
      </c>
      <c r="DQ114">
        <v>1</v>
      </c>
      <c r="DU114">
        <v>1007</v>
      </c>
      <c r="DV114" t="s">
        <v>109</v>
      </c>
      <c r="DW114" t="s">
        <v>109</v>
      </c>
      <c r="DX114">
        <v>1</v>
      </c>
      <c r="DZ114" t="s">
        <v>6</v>
      </c>
      <c r="EA114" t="s">
        <v>6</v>
      </c>
      <c r="EB114" t="s">
        <v>6</v>
      </c>
      <c r="EC114" t="s">
        <v>6</v>
      </c>
      <c r="EE114">
        <v>30852824</v>
      </c>
      <c r="EF114">
        <v>8</v>
      </c>
      <c r="EG114" t="s">
        <v>112</v>
      </c>
      <c r="EH114">
        <v>0</v>
      </c>
      <c r="EI114" t="s">
        <v>6</v>
      </c>
      <c r="EJ114">
        <v>1</v>
      </c>
      <c r="EK114">
        <v>500001</v>
      </c>
      <c r="EL114" t="s">
        <v>113</v>
      </c>
      <c r="EM114" t="s">
        <v>114</v>
      </c>
      <c r="EO114" t="s">
        <v>6</v>
      </c>
      <c r="EQ114">
        <v>131072</v>
      </c>
      <c r="ER114">
        <v>483.76</v>
      </c>
      <c r="ES114">
        <v>483.76</v>
      </c>
      <c r="ET114">
        <v>0</v>
      </c>
      <c r="EU114">
        <v>0</v>
      </c>
      <c r="EV114">
        <v>0</v>
      </c>
      <c r="EW114">
        <v>0</v>
      </c>
      <c r="EX114">
        <v>0</v>
      </c>
      <c r="EY114">
        <v>0</v>
      </c>
      <c r="FQ114">
        <v>0</v>
      </c>
      <c r="FR114">
        <f t="shared" si="102"/>
        <v>0</v>
      </c>
      <c r="FS114">
        <v>0</v>
      </c>
      <c r="FX114">
        <v>0</v>
      </c>
      <c r="FY114">
        <v>0</v>
      </c>
      <c r="GA114" t="s">
        <v>6</v>
      </c>
      <c r="GD114">
        <v>1</v>
      </c>
      <c r="GF114">
        <v>-216866240</v>
      </c>
      <c r="GG114">
        <v>2</v>
      </c>
      <c r="GH114">
        <v>1</v>
      </c>
      <c r="GI114">
        <v>4</v>
      </c>
      <c r="GJ114">
        <v>0</v>
      </c>
      <c r="GK114">
        <v>0</v>
      </c>
      <c r="GL114">
        <f t="shared" si="103"/>
        <v>0</v>
      </c>
      <c r="GM114">
        <f t="shared" si="104"/>
        <v>112.23</v>
      </c>
      <c r="GN114">
        <f t="shared" si="105"/>
        <v>112.23</v>
      </c>
      <c r="GO114">
        <f t="shared" si="106"/>
        <v>0</v>
      </c>
      <c r="GP114">
        <f t="shared" si="107"/>
        <v>0</v>
      </c>
      <c r="GR114">
        <v>0</v>
      </c>
      <c r="GS114">
        <v>0</v>
      </c>
      <c r="GT114">
        <v>0</v>
      </c>
      <c r="GU114" t="s">
        <v>6</v>
      </c>
      <c r="GV114">
        <f t="shared" si="108"/>
        <v>0</v>
      </c>
      <c r="GW114">
        <v>1</v>
      </c>
      <c r="GX114">
        <f t="shared" si="109"/>
        <v>0</v>
      </c>
      <c r="HA114">
        <v>0</v>
      </c>
      <c r="HB114">
        <v>0</v>
      </c>
      <c r="HC114">
        <f t="shared" si="110"/>
        <v>0</v>
      </c>
      <c r="HE114" t="s">
        <v>6</v>
      </c>
      <c r="HF114" t="s">
        <v>6</v>
      </c>
      <c r="HI114">
        <f t="shared" si="111"/>
        <v>0</v>
      </c>
      <c r="HJ114">
        <f t="shared" si="112"/>
        <v>0</v>
      </c>
      <c r="HK114">
        <f t="shared" si="113"/>
        <v>0</v>
      </c>
      <c r="HL114">
        <f t="shared" si="114"/>
        <v>0</v>
      </c>
      <c r="HM114" t="s">
        <v>6</v>
      </c>
      <c r="HN114" t="s">
        <v>6</v>
      </c>
      <c r="HO114" t="s">
        <v>6</v>
      </c>
      <c r="HP114" t="s">
        <v>6</v>
      </c>
      <c r="HQ114" t="s">
        <v>6</v>
      </c>
      <c r="IK114">
        <v>0</v>
      </c>
    </row>
    <row r="115" spans="1:245">
      <c r="A115">
        <v>17</v>
      </c>
      <c r="B115">
        <v>1</v>
      </c>
      <c r="E115" t="s">
        <v>245</v>
      </c>
      <c r="F115" t="s">
        <v>162</v>
      </c>
      <c r="G115" t="s">
        <v>163</v>
      </c>
      <c r="H115" t="s">
        <v>155</v>
      </c>
      <c r="I115">
        <f>ROUND((413.2)/1000,7)</f>
        <v>0.41320000000000001</v>
      </c>
      <c r="J115">
        <v>0</v>
      </c>
      <c r="K115">
        <f>ROUND((413.2)/1000,7)</f>
        <v>0.41320000000000001</v>
      </c>
      <c r="O115">
        <f t="shared" si="76"/>
        <v>790.26</v>
      </c>
      <c r="P115">
        <f t="shared" si="77"/>
        <v>790.26</v>
      </c>
      <c r="Q115">
        <f t="shared" si="78"/>
        <v>0</v>
      </c>
      <c r="R115">
        <f t="shared" si="79"/>
        <v>0</v>
      </c>
      <c r="S115">
        <f t="shared" si="80"/>
        <v>0</v>
      </c>
      <c r="T115">
        <f t="shared" si="81"/>
        <v>0</v>
      </c>
      <c r="U115">
        <f t="shared" si="82"/>
        <v>0</v>
      </c>
      <c r="V115">
        <f t="shared" si="83"/>
        <v>0</v>
      </c>
      <c r="W115">
        <f t="shared" si="84"/>
        <v>0</v>
      </c>
      <c r="X115">
        <f t="shared" si="85"/>
        <v>0</v>
      </c>
      <c r="Y115">
        <f t="shared" si="86"/>
        <v>0</v>
      </c>
      <c r="AA115">
        <v>31028412</v>
      </c>
      <c r="AB115">
        <f t="shared" si="87"/>
        <v>1912.53</v>
      </c>
      <c r="AC115">
        <f t="shared" si="88"/>
        <v>1912.53</v>
      </c>
      <c r="AD115">
        <f>ROUND((((ET115)-(EU115))+AE115),6)</f>
        <v>0</v>
      </c>
      <c r="AE115">
        <f t="shared" si="121"/>
        <v>0</v>
      </c>
      <c r="AF115">
        <f t="shared" si="121"/>
        <v>0</v>
      </c>
      <c r="AG115">
        <f t="shared" si="89"/>
        <v>0</v>
      </c>
      <c r="AH115">
        <f t="shared" si="122"/>
        <v>0</v>
      </c>
      <c r="AI115">
        <f t="shared" si="122"/>
        <v>0</v>
      </c>
      <c r="AJ115">
        <f t="shared" si="90"/>
        <v>0</v>
      </c>
      <c r="AK115">
        <v>1912.53</v>
      </c>
      <c r="AL115">
        <v>1912.53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1</v>
      </c>
      <c r="AW115">
        <v>1</v>
      </c>
      <c r="AZ115">
        <v>1</v>
      </c>
      <c r="BA115">
        <v>1</v>
      </c>
      <c r="BB115">
        <v>1</v>
      </c>
      <c r="BC115">
        <v>1</v>
      </c>
      <c r="BD115" t="s">
        <v>6</v>
      </c>
      <c r="BE115" t="s">
        <v>6</v>
      </c>
      <c r="BF115" t="s">
        <v>6</v>
      </c>
      <c r="BG115" t="s">
        <v>6</v>
      </c>
      <c r="BH115">
        <v>3</v>
      </c>
      <c r="BI115">
        <v>1</v>
      </c>
      <c r="BJ115" t="s">
        <v>164</v>
      </c>
      <c r="BM115">
        <v>500001</v>
      </c>
      <c r="BN115">
        <v>0</v>
      </c>
      <c r="BO115" t="s">
        <v>111</v>
      </c>
      <c r="BP115">
        <v>1</v>
      </c>
      <c r="BQ115">
        <v>8</v>
      </c>
      <c r="BR115">
        <v>0</v>
      </c>
      <c r="BS115">
        <v>1</v>
      </c>
      <c r="BT115">
        <v>1</v>
      </c>
      <c r="BU115">
        <v>1</v>
      </c>
      <c r="BV115">
        <v>1</v>
      </c>
      <c r="BW115">
        <v>1</v>
      </c>
      <c r="BX115">
        <v>1</v>
      </c>
      <c r="BY115" t="s">
        <v>6</v>
      </c>
      <c r="BZ115">
        <v>0</v>
      </c>
      <c r="CA115">
        <v>0</v>
      </c>
      <c r="CB115" t="s">
        <v>6</v>
      </c>
      <c r="CE115">
        <v>0</v>
      </c>
      <c r="CF115">
        <v>0</v>
      </c>
      <c r="CG115">
        <v>0</v>
      </c>
      <c r="CM115">
        <v>0</v>
      </c>
      <c r="CN115" t="s">
        <v>6</v>
      </c>
      <c r="CO115">
        <v>0</v>
      </c>
      <c r="CP115">
        <f t="shared" si="91"/>
        <v>790.26</v>
      </c>
      <c r="CQ115">
        <f t="shared" si="92"/>
        <v>1912.53</v>
      </c>
      <c r="CR115">
        <f t="shared" si="93"/>
        <v>0</v>
      </c>
      <c r="CS115">
        <f t="shared" si="94"/>
        <v>0</v>
      </c>
      <c r="CT115">
        <f t="shared" si="95"/>
        <v>0</v>
      </c>
      <c r="CU115">
        <f t="shared" si="96"/>
        <v>0</v>
      </c>
      <c r="CV115">
        <f t="shared" si="97"/>
        <v>0</v>
      </c>
      <c r="CW115">
        <f t="shared" si="98"/>
        <v>0</v>
      </c>
      <c r="CX115">
        <f t="shared" si="99"/>
        <v>0</v>
      </c>
      <c r="CY115">
        <f t="shared" si="100"/>
        <v>0</v>
      </c>
      <c r="CZ115">
        <f t="shared" si="101"/>
        <v>0</v>
      </c>
      <c r="DC115" t="s">
        <v>6</v>
      </c>
      <c r="DD115" t="s">
        <v>6</v>
      </c>
      <c r="DE115" t="s">
        <v>6</v>
      </c>
      <c r="DF115" t="s">
        <v>6</v>
      </c>
      <c r="DG115" t="s">
        <v>6</v>
      </c>
      <c r="DH115" t="s">
        <v>6</v>
      </c>
      <c r="DI115" t="s">
        <v>6</v>
      </c>
      <c r="DJ115" t="s">
        <v>6</v>
      </c>
      <c r="DK115" t="s">
        <v>6</v>
      </c>
      <c r="DL115" t="s">
        <v>6</v>
      </c>
      <c r="DM115" t="s">
        <v>6</v>
      </c>
      <c r="DN115">
        <v>0</v>
      </c>
      <c r="DO115">
        <v>0</v>
      </c>
      <c r="DP115">
        <v>1</v>
      </c>
      <c r="DQ115">
        <v>1</v>
      </c>
      <c r="DU115">
        <v>1010</v>
      </c>
      <c r="DV115" t="s">
        <v>155</v>
      </c>
      <c r="DW115" t="s">
        <v>155</v>
      </c>
      <c r="DX115">
        <v>1000</v>
      </c>
      <c r="DZ115" t="s">
        <v>6</v>
      </c>
      <c r="EA115" t="s">
        <v>6</v>
      </c>
      <c r="EB115" t="s">
        <v>6</v>
      </c>
      <c r="EC115" t="s">
        <v>6</v>
      </c>
      <c r="EE115">
        <v>30852824</v>
      </c>
      <c r="EF115">
        <v>8</v>
      </c>
      <c r="EG115" t="s">
        <v>112</v>
      </c>
      <c r="EH115">
        <v>0</v>
      </c>
      <c r="EI115" t="s">
        <v>6</v>
      </c>
      <c r="EJ115">
        <v>1</v>
      </c>
      <c r="EK115">
        <v>500001</v>
      </c>
      <c r="EL115" t="s">
        <v>113</v>
      </c>
      <c r="EM115" t="s">
        <v>114</v>
      </c>
      <c r="EO115" t="s">
        <v>6</v>
      </c>
      <c r="EQ115">
        <v>0</v>
      </c>
      <c r="ER115">
        <v>1912.53</v>
      </c>
      <c r="ES115">
        <v>1912.53</v>
      </c>
      <c r="ET115">
        <v>0</v>
      </c>
      <c r="EU115">
        <v>0</v>
      </c>
      <c r="EV115">
        <v>0</v>
      </c>
      <c r="EW115">
        <v>0</v>
      </c>
      <c r="EX115">
        <v>0</v>
      </c>
      <c r="EY115">
        <v>0</v>
      </c>
      <c r="FQ115">
        <v>0</v>
      </c>
      <c r="FR115">
        <f t="shared" si="102"/>
        <v>0</v>
      </c>
      <c r="FS115">
        <v>0</v>
      </c>
      <c r="FX115">
        <v>0</v>
      </c>
      <c r="FY115">
        <v>0</v>
      </c>
      <c r="GA115" t="s">
        <v>6</v>
      </c>
      <c r="GD115">
        <v>1</v>
      </c>
      <c r="GF115">
        <v>-1674372488</v>
      </c>
      <c r="GG115">
        <v>2</v>
      </c>
      <c r="GH115">
        <v>1</v>
      </c>
      <c r="GI115">
        <v>4</v>
      </c>
      <c r="GJ115">
        <v>0</v>
      </c>
      <c r="GK115">
        <v>0</v>
      </c>
      <c r="GL115">
        <f t="shared" si="103"/>
        <v>0</v>
      </c>
      <c r="GM115">
        <f t="shared" si="104"/>
        <v>790.26</v>
      </c>
      <c r="GN115">
        <f t="shared" si="105"/>
        <v>790.26</v>
      </c>
      <c r="GO115">
        <f t="shared" si="106"/>
        <v>0</v>
      </c>
      <c r="GP115">
        <f t="shared" si="107"/>
        <v>0</v>
      </c>
      <c r="GR115">
        <v>0</v>
      </c>
      <c r="GS115">
        <v>3</v>
      </c>
      <c r="GT115">
        <v>0</v>
      </c>
      <c r="GU115" t="s">
        <v>6</v>
      </c>
      <c r="GV115">
        <f t="shared" si="108"/>
        <v>0</v>
      </c>
      <c r="GW115">
        <v>1</v>
      </c>
      <c r="GX115">
        <f t="shared" si="109"/>
        <v>0</v>
      </c>
      <c r="HA115">
        <v>0</v>
      </c>
      <c r="HB115">
        <v>0</v>
      </c>
      <c r="HC115">
        <f t="shared" si="110"/>
        <v>0</v>
      </c>
      <c r="HE115" t="s">
        <v>6</v>
      </c>
      <c r="HF115" t="s">
        <v>6</v>
      </c>
      <c r="HI115">
        <f t="shared" si="111"/>
        <v>0</v>
      </c>
      <c r="HJ115">
        <f t="shared" si="112"/>
        <v>0</v>
      </c>
      <c r="HK115">
        <f t="shared" si="113"/>
        <v>0</v>
      </c>
      <c r="HL115">
        <f t="shared" si="114"/>
        <v>0</v>
      </c>
      <c r="HM115" t="s">
        <v>6</v>
      </c>
      <c r="HN115" t="s">
        <v>6</v>
      </c>
      <c r="HO115" t="s">
        <v>6</v>
      </c>
      <c r="HP115" t="s">
        <v>6</v>
      </c>
      <c r="HQ115" t="s">
        <v>6</v>
      </c>
      <c r="IK115">
        <v>0</v>
      </c>
    </row>
    <row r="116" spans="1:245">
      <c r="A116">
        <v>17</v>
      </c>
      <c r="B116">
        <v>1</v>
      </c>
      <c r="C116">
        <f>ROW(SmtRes!A93)</f>
        <v>93</v>
      </c>
      <c r="D116">
        <f>ROW(EtalonRes!A110)</f>
        <v>110</v>
      </c>
      <c r="E116" t="s">
        <v>246</v>
      </c>
      <c r="F116" t="s">
        <v>170</v>
      </c>
      <c r="G116" t="s">
        <v>247</v>
      </c>
      <c r="H116" t="s">
        <v>172</v>
      </c>
      <c r="I116">
        <f>ROUND(2.7/100,7)</f>
        <v>2.7E-2</v>
      </c>
      <c r="J116">
        <v>0</v>
      </c>
      <c r="K116">
        <f>ROUND(2.7/100,7)</f>
        <v>2.7E-2</v>
      </c>
      <c r="O116">
        <f t="shared" si="76"/>
        <v>54.97</v>
      </c>
      <c r="P116">
        <f t="shared" si="77"/>
        <v>29.11</v>
      </c>
      <c r="Q116">
        <f t="shared" si="78"/>
        <v>2.35</v>
      </c>
      <c r="R116">
        <f t="shared" si="79"/>
        <v>0.93</v>
      </c>
      <c r="S116">
        <f t="shared" si="80"/>
        <v>23.51</v>
      </c>
      <c r="T116">
        <f t="shared" si="81"/>
        <v>0</v>
      </c>
      <c r="U116">
        <f t="shared" si="82"/>
        <v>2.5309475999999997</v>
      </c>
      <c r="V116">
        <f t="shared" si="83"/>
        <v>0.10789875</v>
      </c>
      <c r="W116">
        <f t="shared" si="84"/>
        <v>0</v>
      </c>
      <c r="X116">
        <f t="shared" si="85"/>
        <v>22</v>
      </c>
      <c r="Y116">
        <f t="shared" si="86"/>
        <v>10.18</v>
      </c>
      <c r="AA116">
        <v>31028412</v>
      </c>
      <c r="AB116">
        <f t="shared" si="87"/>
        <v>2036.24855</v>
      </c>
      <c r="AC116">
        <f t="shared" si="88"/>
        <v>1078.21</v>
      </c>
      <c r="AD116">
        <f>ROUND(((((ET116*ROUND((1.25*1.15),7)))-((EU116*ROUND((1.25*1.15),7))))+AE116),6)</f>
        <v>87.198750000000004</v>
      </c>
      <c r="AE116">
        <f>ROUND(((EU116*ROUND((1.25*1.15),7))),6)</f>
        <v>34.370624999999997</v>
      </c>
      <c r="AF116">
        <f>ROUND(((EV116*ROUND((1.15*1.15),7))),6)</f>
        <v>870.83979999999997</v>
      </c>
      <c r="AG116">
        <f t="shared" si="89"/>
        <v>0</v>
      </c>
      <c r="AH116">
        <f>((EW116*ROUND((1.15*1.15),7)))</f>
        <v>93.738799999999998</v>
      </c>
      <c r="AI116">
        <f>((EX116*ROUND((1.25*1.15),7)))</f>
        <v>3.9962499999999999</v>
      </c>
      <c r="AJ116">
        <f t="shared" si="90"/>
        <v>0</v>
      </c>
      <c r="AK116">
        <v>1797.35</v>
      </c>
      <c r="AL116">
        <v>1078.21</v>
      </c>
      <c r="AM116">
        <v>60.66</v>
      </c>
      <c r="AN116">
        <v>23.91</v>
      </c>
      <c r="AO116">
        <v>658.48</v>
      </c>
      <c r="AP116">
        <v>0</v>
      </c>
      <c r="AQ116">
        <v>70.88</v>
      </c>
      <c r="AR116">
        <v>2.78</v>
      </c>
      <c r="AS116">
        <v>0</v>
      </c>
      <c r="AT116">
        <v>90</v>
      </c>
      <c r="AU116">
        <v>41.65</v>
      </c>
      <c r="AV116">
        <v>1</v>
      </c>
      <c r="AW116">
        <v>1</v>
      </c>
      <c r="AZ116">
        <v>1</v>
      </c>
      <c r="BA116">
        <v>24.22</v>
      </c>
      <c r="BB116">
        <v>1</v>
      </c>
      <c r="BC116">
        <v>1</v>
      </c>
      <c r="BD116" t="s">
        <v>6</v>
      </c>
      <c r="BE116" t="s">
        <v>6</v>
      </c>
      <c r="BF116" t="s">
        <v>6</v>
      </c>
      <c r="BG116" t="s">
        <v>6</v>
      </c>
      <c r="BH116">
        <v>0</v>
      </c>
      <c r="BI116">
        <v>1</v>
      </c>
      <c r="BJ116" t="s">
        <v>173</v>
      </c>
      <c r="BM116">
        <v>15001</v>
      </c>
      <c r="BN116">
        <v>0</v>
      </c>
      <c r="BO116" t="s">
        <v>1327</v>
      </c>
      <c r="BP116">
        <v>1</v>
      </c>
      <c r="BQ116">
        <v>2</v>
      </c>
      <c r="BR116">
        <v>0</v>
      </c>
      <c r="BS116">
        <v>24.22</v>
      </c>
      <c r="BT116">
        <v>1</v>
      </c>
      <c r="BU116">
        <v>1</v>
      </c>
      <c r="BV116">
        <v>1</v>
      </c>
      <c r="BW116">
        <v>1</v>
      </c>
      <c r="BX116">
        <v>1</v>
      </c>
      <c r="BY116" t="s">
        <v>6</v>
      </c>
      <c r="BZ116">
        <v>100</v>
      </c>
      <c r="CA116">
        <v>49</v>
      </c>
      <c r="CB116" t="s">
        <v>6</v>
      </c>
      <c r="CE116">
        <v>0</v>
      </c>
      <c r="CF116">
        <v>0</v>
      </c>
      <c r="CG116">
        <v>0</v>
      </c>
      <c r="CM116">
        <v>0</v>
      </c>
      <c r="CN116" t="s">
        <v>6</v>
      </c>
      <c r="CO116">
        <v>0</v>
      </c>
      <c r="CP116">
        <f t="shared" si="91"/>
        <v>54.97</v>
      </c>
      <c r="CQ116">
        <f t="shared" si="92"/>
        <v>1078.21</v>
      </c>
      <c r="CR116">
        <f t="shared" si="93"/>
        <v>87.198750000000004</v>
      </c>
      <c r="CS116">
        <f t="shared" si="94"/>
        <v>34.370624999999997</v>
      </c>
      <c r="CT116">
        <f t="shared" si="95"/>
        <v>870.83979999999997</v>
      </c>
      <c r="CU116">
        <f t="shared" si="96"/>
        <v>0</v>
      </c>
      <c r="CV116">
        <f t="shared" si="97"/>
        <v>93.738799999999998</v>
      </c>
      <c r="CW116">
        <f t="shared" si="98"/>
        <v>3.9962499999999999</v>
      </c>
      <c r="CX116">
        <f t="shared" si="99"/>
        <v>0</v>
      </c>
      <c r="CY116">
        <f t="shared" si="100"/>
        <v>21.995999999999999</v>
      </c>
      <c r="CZ116">
        <f t="shared" si="101"/>
        <v>10.179260000000001</v>
      </c>
      <c r="DC116" t="s">
        <v>6</v>
      </c>
      <c r="DD116" t="s">
        <v>6</v>
      </c>
      <c r="DE116" t="s">
        <v>126</v>
      </c>
      <c r="DF116" t="s">
        <v>126</v>
      </c>
      <c r="DG116" t="s">
        <v>127</v>
      </c>
      <c r="DH116" t="s">
        <v>6</v>
      </c>
      <c r="DI116" t="s">
        <v>127</v>
      </c>
      <c r="DJ116" t="s">
        <v>126</v>
      </c>
      <c r="DK116" t="s">
        <v>6</v>
      </c>
      <c r="DL116" t="s">
        <v>6</v>
      </c>
      <c r="DM116" t="s">
        <v>6</v>
      </c>
      <c r="DN116">
        <v>0</v>
      </c>
      <c r="DO116">
        <v>0</v>
      </c>
      <c r="DP116">
        <v>1</v>
      </c>
      <c r="DQ116">
        <v>1</v>
      </c>
      <c r="DU116">
        <v>1013</v>
      </c>
      <c r="DV116" t="s">
        <v>172</v>
      </c>
      <c r="DW116" t="s">
        <v>172</v>
      </c>
      <c r="DX116">
        <v>1</v>
      </c>
      <c r="DZ116" t="s">
        <v>6</v>
      </c>
      <c r="EA116" t="s">
        <v>6</v>
      </c>
      <c r="EB116" t="s">
        <v>6</v>
      </c>
      <c r="EC116" t="s">
        <v>6</v>
      </c>
      <c r="EE116">
        <v>30852936</v>
      </c>
      <c r="EF116">
        <v>2</v>
      </c>
      <c r="EG116" t="s">
        <v>26</v>
      </c>
      <c r="EH116">
        <v>0</v>
      </c>
      <c r="EI116" t="s">
        <v>6</v>
      </c>
      <c r="EJ116">
        <v>1</v>
      </c>
      <c r="EK116">
        <v>15001</v>
      </c>
      <c r="EL116" t="s">
        <v>128</v>
      </c>
      <c r="EM116" t="s">
        <v>129</v>
      </c>
      <c r="EO116" t="s">
        <v>6</v>
      </c>
      <c r="EQ116">
        <v>0</v>
      </c>
      <c r="ER116">
        <v>1797.35</v>
      </c>
      <c r="ES116">
        <v>1078.21</v>
      </c>
      <c r="ET116">
        <v>60.66</v>
      </c>
      <c r="EU116">
        <v>23.91</v>
      </c>
      <c r="EV116">
        <v>658.48</v>
      </c>
      <c r="EW116">
        <v>70.88</v>
      </c>
      <c r="EX116">
        <v>2.78</v>
      </c>
      <c r="EY116">
        <v>0</v>
      </c>
      <c r="FQ116">
        <v>0</v>
      </c>
      <c r="FR116">
        <f t="shared" si="102"/>
        <v>0</v>
      </c>
      <c r="FS116">
        <v>0</v>
      </c>
      <c r="FT116" t="s">
        <v>29</v>
      </c>
      <c r="FU116" t="s">
        <v>30</v>
      </c>
      <c r="FX116">
        <v>90</v>
      </c>
      <c r="FY116">
        <v>41.65</v>
      </c>
      <c r="GA116" t="s">
        <v>6</v>
      </c>
      <c r="GD116">
        <v>1</v>
      </c>
      <c r="GF116">
        <v>1945612035</v>
      </c>
      <c r="GG116">
        <v>2</v>
      </c>
      <c r="GH116">
        <v>1</v>
      </c>
      <c r="GI116">
        <v>4</v>
      </c>
      <c r="GJ116">
        <v>0</v>
      </c>
      <c r="GK116">
        <v>0</v>
      </c>
      <c r="GL116">
        <f t="shared" si="103"/>
        <v>0</v>
      </c>
      <c r="GM116">
        <f t="shared" si="104"/>
        <v>87.15</v>
      </c>
      <c r="GN116">
        <f t="shared" si="105"/>
        <v>87.15</v>
      </c>
      <c r="GO116">
        <f t="shared" si="106"/>
        <v>0</v>
      </c>
      <c r="GP116">
        <f t="shared" si="107"/>
        <v>0</v>
      </c>
      <c r="GR116">
        <v>0</v>
      </c>
      <c r="GS116">
        <v>3</v>
      </c>
      <c r="GT116">
        <v>0</v>
      </c>
      <c r="GU116" t="s">
        <v>6</v>
      </c>
      <c r="GV116">
        <f t="shared" si="108"/>
        <v>0</v>
      </c>
      <c r="GW116">
        <v>1</v>
      </c>
      <c r="GX116">
        <f t="shared" si="109"/>
        <v>0</v>
      </c>
      <c r="HA116">
        <v>0</v>
      </c>
      <c r="HB116">
        <v>0</v>
      </c>
      <c r="HC116">
        <f t="shared" si="110"/>
        <v>0</v>
      </c>
      <c r="HE116" t="s">
        <v>6</v>
      </c>
      <c r="HF116" t="s">
        <v>6</v>
      </c>
      <c r="HI116">
        <f t="shared" si="111"/>
        <v>23</v>
      </c>
      <c r="HJ116">
        <f t="shared" si="112"/>
        <v>569</v>
      </c>
      <c r="HK116">
        <f t="shared" si="113"/>
        <v>533</v>
      </c>
      <c r="HL116">
        <f t="shared" si="114"/>
        <v>247</v>
      </c>
      <c r="HM116" t="s">
        <v>6</v>
      </c>
      <c r="HN116" t="s">
        <v>6</v>
      </c>
      <c r="HO116" t="s">
        <v>6</v>
      </c>
      <c r="HP116" t="s">
        <v>6</v>
      </c>
      <c r="HQ116" t="s">
        <v>6</v>
      </c>
      <c r="IK116">
        <v>0</v>
      </c>
    </row>
    <row r="117" spans="1:245">
      <c r="A117">
        <v>19</v>
      </c>
      <c r="B117">
        <v>1</v>
      </c>
      <c r="F117" t="s">
        <v>6</v>
      </c>
      <c r="G117" t="s">
        <v>248</v>
      </c>
      <c r="H117" t="s">
        <v>6</v>
      </c>
      <c r="AA117">
        <v>1</v>
      </c>
      <c r="IK117">
        <v>0</v>
      </c>
    </row>
    <row r="118" spans="1:245">
      <c r="A118">
        <v>17</v>
      </c>
      <c r="B118">
        <v>1</v>
      </c>
      <c r="C118">
        <f>ROW(SmtRes!A97)</f>
        <v>97</v>
      </c>
      <c r="D118">
        <f>ROW(EtalonRes!A116)</f>
        <v>116</v>
      </c>
      <c r="E118" t="s">
        <v>249</v>
      </c>
      <c r="F118" t="s">
        <v>250</v>
      </c>
      <c r="G118" t="s">
        <v>251</v>
      </c>
      <c r="H118" t="s">
        <v>252</v>
      </c>
      <c r="I118">
        <f>ROUND(1.95/100,7)</f>
        <v>1.95E-2</v>
      </c>
      <c r="J118">
        <v>0</v>
      </c>
      <c r="K118">
        <f>ROUND(1.95/100,7)</f>
        <v>1.95E-2</v>
      </c>
      <c r="O118">
        <f t="shared" ref="O118:O142" si="123">ROUND(CP118,2)</f>
        <v>1719.66</v>
      </c>
      <c r="P118">
        <f t="shared" ref="P118:P130" si="124">ROUND(CQ118*I118,2)</f>
        <v>1499.17</v>
      </c>
      <c r="Q118">
        <f t="shared" ref="Q118:Q142" si="125">ROUND(CR118*I118,2)</f>
        <v>75.150000000000006</v>
      </c>
      <c r="R118">
        <f t="shared" ref="R118:R142" si="126">ROUND(CS118*I118,2)</f>
        <v>11.4</v>
      </c>
      <c r="S118">
        <f t="shared" ref="S118:S142" si="127">ROUND(CT118*I118,2)</f>
        <v>145.34</v>
      </c>
      <c r="T118">
        <f t="shared" ref="T118:T142" si="128">ROUND(CU118*I118,2)</f>
        <v>0</v>
      </c>
      <c r="U118">
        <f t="shared" ref="U118:U142" si="129">CV118*I118</f>
        <v>15.832049999999999</v>
      </c>
      <c r="V118">
        <f t="shared" ref="V118:V142" si="130">CW118*I118</f>
        <v>0.87457499999999988</v>
      </c>
      <c r="W118">
        <f t="shared" ref="W118:W142" si="131">ROUND(CX118*I118,2)</f>
        <v>0</v>
      </c>
      <c r="X118">
        <f t="shared" ref="X118:X142" si="132">ROUND(CY118,2)</f>
        <v>144.19999999999999</v>
      </c>
      <c r="Y118">
        <f t="shared" ref="Y118:Y142" si="133">ROUND(CZ118,2)</f>
        <v>81.5</v>
      </c>
      <c r="AA118">
        <v>31028412</v>
      </c>
      <c r="AB118">
        <f t="shared" ref="AB118:AB142" si="134">ROUND((AC118+AD118+AF118),6)</f>
        <v>88187.692500000005</v>
      </c>
      <c r="AC118">
        <f t="shared" ref="AC118:AC142" si="135">ROUND((ES118),6)</f>
        <v>76880.490000000005</v>
      </c>
      <c r="AD118">
        <f>ROUND(((((ET118*ROUND(1.15,7)))-((EU118*ROUND(1.15,7))))+AE118),6)</f>
        <v>3853.9605000000001</v>
      </c>
      <c r="AE118">
        <f>ROUND(((EU118*ROUND(1.15,7))),6)</f>
        <v>584.39549999999997</v>
      </c>
      <c r="AF118">
        <f>ROUND(((EV118*ROUND(1.15,7))),6)</f>
        <v>7453.2420000000002</v>
      </c>
      <c r="AG118">
        <f t="shared" ref="AG118:AG142" si="136">ROUND((AP118),6)</f>
        <v>0</v>
      </c>
      <c r="AH118">
        <f>((EW118*ROUND(1.15,7)))</f>
        <v>811.9</v>
      </c>
      <c r="AI118">
        <f>((EX118*ROUND(1.15,7)))</f>
        <v>44.849999999999994</v>
      </c>
      <c r="AJ118">
        <f t="shared" ref="AJ118:AJ142" si="137">(AS118)</f>
        <v>0</v>
      </c>
      <c r="AK118">
        <v>86712.84</v>
      </c>
      <c r="AL118">
        <v>76880.490000000005</v>
      </c>
      <c r="AM118">
        <v>3351.27</v>
      </c>
      <c r="AN118">
        <v>508.17</v>
      </c>
      <c r="AO118">
        <v>6481.08</v>
      </c>
      <c r="AP118">
        <v>0</v>
      </c>
      <c r="AQ118">
        <v>706</v>
      </c>
      <c r="AR118">
        <v>39</v>
      </c>
      <c r="AS118">
        <v>0</v>
      </c>
      <c r="AT118">
        <v>92</v>
      </c>
      <c r="AU118">
        <v>52</v>
      </c>
      <c r="AV118">
        <v>1</v>
      </c>
      <c r="AW118">
        <v>1</v>
      </c>
      <c r="AZ118">
        <v>1</v>
      </c>
      <c r="BA118">
        <v>24.22</v>
      </c>
      <c r="BB118">
        <v>1</v>
      </c>
      <c r="BC118">
        <v>1</v>
      </c>
      <c r="BD118" t="s">
        <v>6</v>
      </c>
      <c r="BE118" t="s">
        <v>6</v>
      </c>
      <c r="BF118" t="s">
        <v>6</v>
      </c>
      <c r="BG118" t="s">
        <v>6</v>
      </c>
      <c r="BH118">
        <v>0</v>
      </c>
      <c r="BI118">
        <v>1</v>
      </c>
      <c r="BJ118" t="s">
        <v>253</v>
      </c>
      <c r="BM118">
        <v>53001</v>
      </c>
      <c r="BN118">
        <v>0</v>
      </c>
      <c r="BO118" t="s">
        <v>1327</v>
      </c>
      <c r="BP118">
        <v>1</v>
      </c>
      <c r="BQ118">
        <v>6</v>
      </c>
      <c r="BR118">
        <v>0</v>
      </c>
      <c r="BS118">
        <v>24.22</v>
      </c>
      <c r="BT118">
        <v>1</v>
      </c>
      <c r="BU118">
        <v>1</v>
      </c>
      <c r="BV118">
        <v>1</v>
      </c>
      <c r="BW118">
        <v>1</v>
      </c>
      <c r="BX118">
        <v>1</v>
      </c>
      <c r="BY118" t="s">
        <v>6</v>
      </c>
      <c r="BZ118">
        <v>92</v>
      </c>
      <c r="CA118">
        <v>52</v>
      </c>
      <c r="CB118" t="s">
        <v>6</v>
      </c>
      <c r="CE118">
        <v>0</v>
      </c>
      <c r="CF118">
        <v>0</v>
      </c>
      <c r="CG118">
        <v>0</v>
      </c>
      <c r="CM118">
        <v>0</v>
      </c>
      <c r="CN118" t="s">
        <v>6</v>
      </c>
      <c r="CO118">
        <v>0</v>
      </c>
      <c r="CP118">
        <f t="shared" ref="CP118:CP142" si="138">(P118+Q118+S118)</f>
        <v>1719.66</v>
      </c>
      <c r="CQ118">
        <f t="shared" ref="CQ118:CQ130" si="139">AC118*BC118</f>
        <v>76880.490000000005</v>
      </c>
      <c r="CR118">
        <f t="shared" ref="CR118:CR142" si="140">AD118*BB118</f>
        <v>3853.9605000000001</v>
      </c>
      <c r="CS118">
        <f t="shared" ref="CS118:CS142" si="141">AE118</f>
        <v>584.39549999999997</v>
      </c>
      <c r="CT118">
        <f t="shared" ref="CT118:CT142" si="142">AF118</f>
        <v>7453.2420000000002</v>
      </c>
      <c r="CU118">
        <f t="shared" ref="CU118:CU142" si="143">AG118</f>
        <v>0</v>
      </c>
      <c r="CV118">
        <f t="shared" ref="CV118:CV142" si="144">AH118</f>
        <v>811.9</v>
      </c>
      <c r="CW118">
        <f t="shared" ref="CW118:CW142" si="145">AI118</f>
        <v>44.849999999999994</v>
      </c>
      <c r="CX118">
        <f t="shared" ref="CX118:CX142" si="146">AJ118</f>
        <v>0</v>
      </c>
      <c r="CY118">
        <f t="shared" ref="CY118:CY142" si="147">(((S118+R118)*AT118)/100)</f>
        <v>144.20080000000002</v>
      </c>
      <c r="CZ118">
        <f t="shared" ref="CZ118:CZ142" si="148">(((S118+R118)*AU118)/100)</f>
        <v>81.504800000000003</v>
      </c>
      <c r="DC118" t="s">
        <v>6</v>
      </c>
      <c r="DD118" t="s">
        <v>6</v>
      </c>
      <c r="DE118" t="s">
        <v>36</v>
      </c>
      <c r="DF118" t="s">
        <v>36</v>
      </c>
      <c r="DG118" t="s">
        <v>36</v>
      </c>
      <c r="DH118" t="s">
        <v>6</v>
      </c>
      <c r="DI118" t="s">
        <v>36</v>
      </c>
      <c r="DJ118" t="s">
        <v>36</v>
      </c>
      <c r="DK118" t="s">
        <v>6</v>
      </c>
      <c r="DL118" t="s">
        <v>6</v>
      </c>
      <c r="DM118" t="s">
        <v>6</v>
      </c>
      <c r="DN118">
        <v>0</v>
      </c>
      <c r="DO118">
        <v>0</v>
      </c>
      <c r="DP118">
        <v>1</v>
      </c>
      <c r="DQ118">
        <v>1</v>
      </c>
      <c r="DU118">
        <v>1013</v>
      </c>
      <c r="DV118" t="s">
        <v>252</v>
      </c>
      <c r="DW118" t="s">
        <v>252</v>
      </c>
      <c r="DX118">
        <v>1</v>
      </c>
      <c r="DZ118" t="s">
        <v>6</v>
      </c>
      <c r="EA118" t="s">
        <v>6</v>
      </c>
      <c r="EB118" t="s">
        <v>6</v>
      </c>
      <c r="EC118" t="s">
        <v>6</v>
      </c>
      <c r="EE118">
        <v>30853005</v>
      </c>
      <c r="EF118">
        <v>6</v>
      </c>
      <c r="EG118" t="s">
        <v>37</v>
      </c>
      <c r="EH118">
        <v>0</v>
      </c>
      <c r="EI118" t="s">
        <v>6</v>
      </c>
      <c r="EJ118">
        <v>1</v>
      </c>
      <c r="EK118">
        <v>53001</v>
      </c>
      <c r="EL118" t="s">
        <v>150</v>
      </c>
      <c r="EM118" t="s">
        <v>151</v>
      </c>
      <c r="EO118" t="s">
        <v>6</v>
      </c>
      <c r="EQ118">
        <v>131072</v>
      </c>
      <c r="ER118">
        <v>86712.84</v>
      </c>
      <c r="ES118">
        <v>76880.490000000005</v>
      </c>
      <c r="ET118">
        <v>3351.27</v>
      </c>
      <c r="EU118">
        <v>508.17</v>
      </c>
      <c r="EV118">
        <v>6481.08</v>
      </c>
      <c r="EW118">
        <v>706</v>
      </c>
      <c r="EX118">
        <v>39</v>
      </c>
      <c r="EY118">
        <v>0</v>
      </c>
      <c r="FQ118">
        <v>0</v>
      </c>
      <c r="FR118">
        <f t="shared" ref="FR118:FR142" si="149">ROUND(IF(AND(BH118=3,BI118=3),P118,0),2)</f>
        <v>0</v>
      </c>
      <c r="FS118">
        <v>0</v>
      </c>
      <c r="FX118">
        <v>92</v>
      </c>
      <c r="FY118">
        <v>52</v>
      </c>
      <c r="GA118" t="s">
        <v>6</v>
      </c>
      <c r="GD118">
        <v>1</v>
      </c>
      <c r="GF118">
        <v>75782376</v>
      </c>
      <c r="GG118">
        <v>2</v>
      </c>
      <c r="GH118">
        <v>1</v>
      </c>
      <c r="GI118">
        <v>4</v>
      </c>
      <c r="GJ118">
        <v>0</v>
      </c>
      <c r="GK118">
        <v>0</v>
      </c>
      <c r="GL118">
        <f t="shared" ref="GL118:GL142" si="150">ROUND(IF(AND(BH118=3,BI118=3,FS118&lt;&gt;0),P118,0),2)</f>
        <v>0</v>
      </c>
      <c r="GM118">
        <f t="shared" ref="GM118:GM142" si="151">ROUND(O118+X118+Y118,2)+GX118</f>
        <v>1945.36</v>
      </c>
      <c r="GN118">
        <f t="shared" ref="GN118:GN142" si="152">IF(OR(BI118=0,BI118=1),ROUND(O118+X118+Y118,2),0)</f>
        <v>1945.36</v>
      </c>
      <c r="GO118">
        <f t="shared" ref="GO118:GO142" si="153">IF(BI118=2,ROUND(O118+X118+Y118,2),0)</f>
        <v>0</v>
      </c>
      <c r="GP118">
        <f t="shared" ref="GP118:GP142" si="154">IF(BI118=4,ROUND(O118+X118+Y118,2)+GX118,0)</f>
        <v>0</v>
      </c>
      <c r="GR118">
        <v>0</v>
      </c>
      <c r="GS118">
        <v>0</v>
      </c>
      <c r="GT118">
        <v>0</v>
      </c>
      <c r="GU118" t="s">
        <v>6</v>
      </c>
      <c r="GV118">
        <f t="shared" ref="GV118:GV142" si="155">ROUND((GT118),6)</f>
        <v>0</v>
      </c>
      <c r="GW118">
        <v>1</v>
      </c>
      <c r="GX118">
        <f t="shared" ref="GX118:GX142" si="156">ROUND(HC118*I118,2)</f>
        <v>0</v>
      </c>
      <c r="HA118">
        <v>0</v>
      </c>
      <c r="HB118">
        <v>0</v>
      </c>
      <c r="HC118">
        <f t="shared" ref="HC118:HC142" si="157">GV118*GW118</f>
        <v>0</v>
      </c>
      <c r="HE118" t="s">
        <v>6</v>
      </c>
      <c r="HF118" t="s">
        <v>6</v>
      </c>
      <c r="HI118">
        <f t="shared" ref="HI118:HI142" si="158">ROUND(R118*BS118,0)</f>
        <v>276</v>
      </c>
      <c r="HJ118">
        <f t="shared" ref="HJ118:HJ142" si="159">ROUND(S118*BA118,0)</f>
        <v>3520</v>
      </c>
      <c r="HK118">
        <f t="shared" ref="HK118:HK142" si="160">ROUND((((HJ118+HI118)*AT118)/100),0)</f>
        <v>3492</v>
      </c>
      <c r="HL118">
        <f t="shared" ref="HL118:HL142" si="161">ROUND((((HJ118+HI118)*AU118)/100),0)</f>
        <v>1974</v>
      </c>
      <c r="HM118" t="s">
        <v>6</v>
      </c>
      <c r="HN118" t="s">
        <v>6</v>
      </c>
      <c r="HO118" t="s">
        <v>6</v>
      </c>
      <c r="HP118" t="s">
        <v>6</v>
      </c>
      <c r="HQ118" t="s">
        <v>6</v>
      </c>
      <c r="IK118">
        <v>0</v>
      </c>
    </row>
    <row r="119" spans="1:245">
      <c r="A119">
        <v>17</v>
      </c>
      <c r="B119">
        <v>1</v>
      </c>
      <c r="E119" t="s">
        <v>254</v>
      </c>
      <c r="F119" t="s">
        <v>153</v>
      </c>
      <c r="G119" t="s">
        <v>154</v>
      </c>
      <c r="H119" t="s">
        <v>155</v>
      </c>
      <c r="I119">
        <f>ROUND(I118*-40,7)</f>
        <v>-0.78</v>
      </c>
      <c r="J119">
        <v>0</v>
      </c>
      <c r="K119">
        <f>ROUND(I118*-40,7)</f>
        <v>-0.78</v>
      </c>
      <c r="O119">
        <f t="shared" si="123"/>
        <v>-1296.9100000000001</v>
      </c>
      <c r="P119">
        <f t="shared" si="124"/>
        <v>-1296.9100000000001</v>
      </c>
      <c r="Q119">
        <f t="shared" si="125"/>
        <v>0</v>
      </c>
      <c r="R119">
        <f t="shared" si="126"/>
        <v>0</v>
      </c>
      <c r="S119">
        <f t="shared" si="127"/>
        <v>0</v>
      </c>
      <c r="T119">
        <f t="shared" si="128"/>
        <v>0</v>
      </c>
      <c r="U119">
        <f t="shared" si="129"/>
        <v>0</v>
      </c>
      <c r="V119">
        <f t="shared" si="130"/>
        <v>0</v>
      </c>
      <c r="W119">
        <f t="shared" si="131"/>
        <v>0</v>
      </c>
      <c r="X119">
        <f t="shared" si="132"/>
        <v>0</v>
      </c>
      <c r="Y119">
        <f t="shared" si="133"/>
        <v>0</v>
      </c>
      <c r="AA119">
        <v>31028412</v>
      </c>
      <c r="AB119">
        <f t="shared" si="134"/>
        <v>1662.7</v>
      </c>
      <c r="AC119">
        <f t="shared" si="135"/>
        <v>1662.7</v>
      </c>
      <c r="AD119">
        <f t="shared" ref="AD119:AD125" si="162">ROUND((((ET119)-(EU119))+AE119),6)</f>
        <v>0</v>
      </c>
      <c r="AE119">
        <f t="shared" ref="AE119:AF122" si="163">ROUND((EU119),6)</f>
        <v>0</v>
      </c>
      <c r="AF119">
        <f t="shared" si="163"/>
        <v>0</v>
      </c>
      <c r="AG119">
        <f t="shared" si="136"/>
        <v>0</v>
      </c>
      <c r="AH119">
        <f t="shared" ref="AH119:AI122" si="164">(EW119)</f>
        <v>0</v>
      </c>
      <c r="AI119">
        <f t="shared" si="164"/>
        <v>0</v>
      </c>
      <c r="AJ119">
        <f t="shared" si="137"/>
        <v>0</v>
      </c>
      <c r="AK119">
        <v>1662.7</v>
      </c>
      <c r="AL119">
        <v>1662.7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1</v>
      </c>
      <c r="AW119">
        <v>1</v>
      </c>
      <c r="AZ119">
        <v>1</v>
      </c>
      <c r="BA119">
        <v>1</v>
      </c>
      <c r="BB119">
        <v>1</v>
      </c>
      <c r="BC119">
        <v>1</v>
      </c>
      <c r="BD119" t="s">
        <v>6</v>
      </c>
      <c r="BE119" t="s">
        <v>6</v>
      </c>
      <c r="BF119" t="s">
        <v>6</v>
      </c>
      <c r="BG119" t="s">
        <v>6</v>
      </c>
      <c r="BH119">
        <v>3</v>
      </c>
      <c r="BI119">
        <v>1</v>
      </c>
      <c r="BJ119" t="s">
        <v>156</v>
      </c>
      <c r="BM119">
        <v>500001</v>
      </c>
      <c r="BN119">
        <v>0</v>
      </c>
      <c r="BO119" t="s">
        <v>111</v>
      </c>
      <c r="BP119">
        <v>1</v>
      </c>
      <c r="BQ119">
        <v>8</v>
      </c>
      <c r="BR119">
        <v>1</v>
      </c>
      <c r="BS119">
        <v>1</v>
      </c>
      <c r="BT119">
        <v>1</v>
      </c>
      <c r="BU119">
        <v>1</v>
      </c>
      <c r="BV119">
        <v>1</v>
      </c>
      <c r="BW119">
        <v>1</v>
      </c>
      <c r="BX119">
        <v>1</v>
      </c>
      <c r="BY119" t="s">
        <v>6</v>
      </c>
      <c r="BZ119">
        <v>0</v>
      </c>
      <c r="CA119">
        <v>0</v>
      </c>
      <c r="CB119" t="s">
        <v>6</v>
      </c>
      <c r="CE119">
        <v>0</v>
      </c>
      <c r="CF119">
        <v>0</v>
      </c>
      <c r="CG119">
        <v>0</v>
      </c>
      <c r="CM119">
        <v>0</v>
      </c>
      <c r="CN119" t="s">
        <v>6</v>
      </c>
      <c r="CO119">
        <v>0</v>
      </c>
      <c r="CP119">
        <f t="shared" si="138"/>
        <v>-1296.9100000000001</v>
      </c>
      <c r="CQ119">
        <f t="shared" si="139"/>
        <v>1662.7</v>
      </c>
      <c r="CR119">
        <f t="shared" si="140"/>
        <v>0</v>
      </c>
      <c r="CS119">
        <f t="shared" si="141"/>
        <v>0</v>
      </c>
      <c r="CT119">
        <f t="shared" si="142"/>
        <v>0</v>
      </c>
      <c r="CU119">
        <f t="shared" si="143"/>
        <v>0</v>
      </c>
      <c r="CV119">
        <f t="shared" si="144"/>
        <v>0</v>
      </c>
      <c r="CW119">
        <f t="shared" si="145"/>
        <v>0</v>
      </c>
      <c r="CX119">
        <f t="shared" si="146"/>
        <v>0</v>
      </c>
      <c r="CY119">
        <f t="shared" si="147"/>
        <v>0</v>
      </c>
      <c r="CZ119">
        <f t="shared" si="148"/>
        <v>0</v>
      </c>
      <c r="DC119" t="s">
        <v>6</v>
      </c>
      <c r="DD119" t="s">
        <v>6</v>
      </c>
      <c r="DE119" t="s">
        <v>6</v>
      </c>
      <c r="DF119" t="s">
        <v>6</v>
      </c>
      <c r="DG119" t="s">
        <v>6</v>
      </c>
      <c r="DH119" t="s">
        <v>6</v>
      </c>
      <c r="DI119" t="s">
        <v>6</v>
      </c>
      <c r="DJ119" t="s">
        <v>6</v>
      </c>
      <c r="DK119" t="s">
        <v>6</v>
      </c>
      <c r="DL119" t="s">
        <v>6</v>
      </c>
      <c r="DM119" t="s">
        <v>6</v>
      </c>
      <c r="DN119">
        <v>0</v>
      </c>
      <c r="DO119">
        <v>0</v>
      </c>
      <c r="DP119">
        <v>1</v>
      </c>
      <c r="DQ119">
        <v>1</v>
      </c>
      <c r="DU119">
        <v>1010</v>
      </c>
      <c r="DV119" t="s">
        <v>155</v>
      </c>
      <c r="DW119" t="s">
        <v>155</v>
      </c>
      <c r="DX119">
        <v>1000</v>
      </c>
      <c r="DZ119" t="s">
        <v>6</v>
      </c>
      <c r="EA119" t="s">
        <v>6</v>
      </c>
      <c r="EB119" t="s">
        <v>6</v>
      </c>
      <c r="EC119" t="s">
        <v>6</v>
      </c>
      <c r="EE119">
        <v>30852824</v>
      </c>
      <c r="EF119">
        <v>8</v>
      </c>
      <c r="EG119" t="s">
        <v>112</v>
      </c>
      <c r="EH119">
        <v>0</v>
      </c>
      <c r="EI119" t="s">
        <v>6</v>
      </c>
      <c r="EJ119">
        <v>1</v>
      </c>
      <c r="EK119">
        <v>500001</v>
      </c>
      <c r="EL119" t="s">
        <v>113</v>
      </c>
      <c r="EM119" t="s">
        <v>114</v>
      </c>
      <c r="EO119" t="s">
        <v>6</v>
      </c>
      <c r="EQ119">
        <v>32768</v>
      </c>
      <c r="ER119">
        <v>1662.7</v>
      </c>
      <c r="ES119">
        <v>1662.7</v>
      </c>
      <c r="ET119">
        <v>0</v>
      </c>
      <c r="EU119">
        <v>0</v>
      </c>
      <c r="EV119">
        <v>0</v>
      </c>
      <c r="EW119">
        <v>0</v>
      </c>
      <c r="EX119">
        <v>0</v>
      </c>
      <c r="EY119">
        <v>0</v>
      </c>
      <c r="FQ119">
        <v>0</v>
      </c>
      <c r="FR119">
        <f t="shared" si="149"/>
        <v>0</v>
      </c>
      <c r="FS119">
        <v>0</v>
      </c>
      <c r="FX119">
        <v>0</v>
      </c>
      <c r="FY119">
        <v>0</v>
      </c>
      <c r="GA119" t="s">
        <v>6</v>
      </c>
      <c r="GD119">
        <v>1</v>
      </c>
      <c r="GF119">
        <v>-1891761004</v>
      </c>
      <c r="GG119">
        <v>2</v>
      </c>
      <c r="GH119">
        <v>1</v>
      </c>
      <c r="GI119">
        <v>4</v>
      </c>
      <c r="GJ119">
        <v>0</v>
      </c>
      <c r="GK119">
        <v>0</v>
      </c>
      <c r="GL119">
        <f t="shared" si="150"/>
        <v>0</v>
      </c>
      <c r="GM119">
        <f t="shared" si="151"/>
        <v>-1296.9100000000001</v>
      </c>
      <c r="GN119">
        <f t="shared" si="152"/>
        <v>-1296.9100000000001</v>
      </c>
      <c r="GO119">
        <f t="shared" si="153"/>
        <v>0</v>
      </c>
      <c r="GP119">
        <f t="shared" si="154"/>
        <v>0</v>
      </c>
      <c r="GR119">
        <v>0</v>
      </c>
      <c r="GS119">
        <v>0</v>
      </c>
      <c r="GT119">
        <v>0</v>
      </c>
      <c r="GU119" t="s">
        <v>6</v>
      </c>
      <c r="GV119">
        <f t="shared" si="155"/>
        <v>0</v>
      </c>
      <c r="GW119">
        <v>1</v>
      </c>
      <c r="GX119">
        <f t="shared" si="156"/>
        <v>0</v>
      </c>
      <c r="HA119">
        <v>0</v>
      </c>
      <c r="HB119">
        <v>0</v>
      </c>
      <c r="HC119">
        <f t="shared" si="157"/>
        <v>0</v>
      </c>
      <c r="HE119" t="s">
        <v>6</v>
      </c>
      <c r="HF119" t="s">
        <v>6</v>
      </c>
      <c r="HI119">
        <f t="shared" si="158"/>
        <v>0</v>
      </c>
      <c r="HJ119">
        <f t="shared" si="159"/>
        <v>0</v>
      </c>
      <c r="HK119">
        <f t="shared" si="160"/>
        <v>0</v>
      </c>
      <c r="HL119">
        <f t="shared" si="161"/>
        <v>0</v>
      </c>
      <c r="HM119" t="s">
        <v>6</v>
      </c>
      <c r="HN119" t="s">
        <v>6</v>
      </c>
      <c r="HO119" t="s">
        <v>6</v>
      </c>
      <c r="HP119" t="s">
        <v>6</v>
      </c>
      <c r="HQ119" t="s">
        <v>6</v>
      </c>
      <c r="IK119">
        <v>0</v>
      </c>
    </row>
    <row r="120" spans="1:245">
      <c r="A120">
        <v>17</v>
      </c>
      <c r="B120">
        <v>1</v>
      </c>
      <c r="E120" t="s">
        <v>255</v>
      </c>
      <c r="F120" t="s">
        <v>158</v>
      </c>
      <c r="G120" t="s">
        <v>159</v>
      </c>
      <c r="H120" t="s">
        <v>109</v>
      </c>
      <c r="I120">
        <f>ROUND(I118*-24.2,7)</f>
        <v>-0.47189999999999999</v>
      </c>
      <c r="J120">
        <v>0</v>
      </c>
      <c r="K120">
        <f>ROUND(I118*-24.2,7)</f>
        <v>-0.47189999999999999</v>
      </c>
      <c r="O120">
        <f t="shared" si="123"/>
        <v>-202.05</v>
      </c>
      <c r="P120">
        <f t="shared" si="124"/>
        <v>-202.05</v>
      </c>
      <c r="Q120">
        <f t="shared" si="125"/>
        <v>0</v>
      </c>
      <c r="R120">
        <f t="shared" si="126"/>
        <v>0</v>
      </c>
      <c r="S120">
        <f t="shared" si="127"/>
        <v>0</v>
      </c>
      <c r="T120">
        <f t="shared" si="128"/>
        <v>0</v>
      </c>
      <c r="U120">
        <f t="shared" si="129"/>
        <v>0</v>
      </c>
      <c r="V120">
        <f t="shared" si="130"/>
        <v>0</v>
      </c>
      <c r="W120">
        <f t="shared" si="131"/>
        <v>0</v>
      </c>
      <c r="X120">
        <f t="shared" si="132"/>
        <v>0</v>
      </c>
      <c r="Y120">
        <f t="shared" si="133"/>
        <v>0</v>
      </c>
      <c r="AA120">
        <v>31028412</v>
      </c>
      <c r="AB120">
        <f t="shared" si="134"/>
        <v>428.17</v>
      </c>
      <c r="AC120">
        <f t="shared" si="135"/>
        <v>428.17</v>
      </c>
      <c r="AD120">
        <f t="shared" si="162"/>
        <v>0</v>
      </c>
      <c r="AE120">
        <f t="shared" si="163"/>
        <v>0</v>
      </c>
      <c r="AF120">
        <f t="shared" si="163"/>
        <v>0</v>
      </c>
      <c r="AG120">
        <f t="shared" si="136"/>
        <v>0</v>
      </c>
      <c r="AH120">
        <f t="shared" si="164"/>
        <v>0</v>
      </c>
      <c r="AI120">
        <f t="shared" si="164"/>
        <v>0</v>
      </c>
      <c r="AJ120">
        <f t="shared" si="137"/>
        <v>0</v>
      </c>
      <c r="AK120">
        <v>428.17</v>
      </c>
      <c r="AL120">
        <v>428.17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1</v>
      </c>
      <c r="AW120">
        <v>1</v>
      </c>
      <c r="AZ120">
        <v>1</v>
      </c>
      <c r="BA120">
        <v>1</v>
      </c>
      <c r="BB120">
        <v>1</v>
      </c>
      <c r="BC120">
        <v>1</v>
      </c>
      <c r="BD120" t="s">
        <v>6</v>
      </c>
      <c r="BE120" t="s">
        <v>6</v>
      </c>
      <c r="BF120" t="s">
        <v>6</v>
      </c>
      <c r="BG120" t="s">
        <v>6</v>
      </c>
      <c r="BH120">
        <v>3</v>
      </c>
      <c r="BI120">
        <v>1</v>
      </c>
      <c r="BJ120" t="s">
        <v>160</v>
      </c>
      <c r="BM120">
        <v>500001</v>
      </c>
      <c r="BN120">
        <v>0</v>
      </c>
      <c r="BO120" t="s">
        <v>111</v>
      </c>
      <c r="BP120">
        <v>1</v>
      </c>
      <c r="BQ120">
        <v>8</v>
      </c>
      <c r="BR120">
        <v>1</v>
      </c>
      <c r="BS120">
        <v>1</v>
      </c>
      <c r="BT120">
        <v>1</v>
      </c>
      <c r="BU120">
        <v>1</v>
      </c>
      <c r="BV120">
        <v>1</v>
      </c>
      <c r="BW120">
        <v>1</v>
      </c>
      <c r="BX120">
        <v>1</v>
      </c>
      <c r="BY120" t="s">
        <v>6</v>
      </c>
      <c r="BZ120">
        <v>0</v>
      </c>
      <c r="CA120">
        <v>0</v>
      </c>
      <c r="CB120" t="s">
        <v>6</v>
      </c>
      <c r="CE120">
        <v>0</v>
      </c>
      <c r="CF120">
        <v>0</v>
      </c>
      <c r="CG120">
        <v>0</v>
      </c>
      <c r="CM120">
        <v>0</v>
      </c>
      <c r="CN120" t="s">
        <v>6</v>
      </c>
      <c r="CO120">
        <v>0</v>
      </c>
      <c r="CP120">
        <f t="shared" si="138"/>
        <v>-202.05</v>
      </c>
      <c r="CQ120">
        <f t="shared" si="139"/>
        <v>428.17</v>
      </c>
      <c r="CR120">
        <f t="shared" si="140"/>
        <v>0</v>
      </c>
      <c r="CS120">
        <f t="shared" si="141"/>
        <v>0</v>
      </c>
      <c r="CT120">
        <f t="shared" si="142"/>
        <v>0</v>
      </c>
      <c r="CU120">
        <f t="shared" si="143"/>
        <v>0</v>
      </c>
      <c r="CV120">
        <f t="shared" si="144"/>
        <v>0</v>
      </c>
      <c r="CW120">
        <f t="shared" si="145"/>
        <v>0</v>
      </c>
      <c r="CX120">
        <f t="shared" si="146"/>
        <v>0</v>
      </c>
      <c r="CY120">
        <f t="shared" si="147"/>
        <v>0</v>
      </c>
      <c r="CZ120">
        <f t="shared" si="148"/>
        <v>0</v>
      </c>
      <c r="DC120" t="s">
        <v>6</v>
      </c>
      <c r="DD120" t="s">
        <v>6</v>
      </c>
      <c r="DE120" t="s">
        <v>6</v>
      </c>
      <c r="DF120" t="s">
        <v>6</v>
      </c>
      <c r="DG120" t="s">
        <v>6</v>
      </c>
      <c r="DH120" t="s">
        <v>6</v>
      </c>
      <c r="DI120" t="s">
        <v>6</v>
      </c>
      <c r="DJ120" t="s">
        <v>6</v>
      </c>
      <c r="DK120" t="s">
        <v>6</v>
      </c>
      <c r="DL120" t="s">
        <v>6</v>
      </c>
      <c r="DM120" t="s">
        <v>6</v>
      </c>
      <c r="DN120">
        <v>0</v>
      </c>
      <c r="DO120">
        <v>0</v>
      </c>
      <c r="DP120">
        <v>1</v>
      </c>
      <c r="DQ120">
        <v>1</v>
      </c>
      <c r="DU120">
        <v>1007</v>
      </c>
      <c r="DV120" t="s">
        <v>109</v>
      </c>
      <c r="DW120" t="s">
        <v>109</v>
      </c>
      <c r="DX120">
        <v>1</v>
      </c>
      <c r="DZ120" t="s">
        <v>6</v>
      </c>
      <c r="EA120" t="s">
        <v>6</v>
      </c>
      <c r="EB120" t="s">
        <v>6</v>
      </c>
      <c r="EC120" t="s">
        <v>6</v>
      </c>
      <c r="EE120">
        <v>30852824</v>
      </c>
      <c r="EF120">
        <v>8</v>
      </c>
      <c r="EG120" t="s">
        <v>112</v>
      </c>
      <c r="EH120">
        <v>0</v>
      </c>
      <c r="EI120" t="s">
        <v>6</v>
      </c>
      <c r="EJ120">
        <v>1</v>
      </c>
      <c r="EK120">
        <v>500001</v>
      </c>
      <c r="EL120" t="s">
        <v>113</v>
      </c>
      <c r="EM120" t="s">
        <v>114</v>
      </c>
      <c r="EO120" t="s">
        <v>6</v>
      </c>
      <c r="EQ120">
        <v>32768</v>
      </c>
      <c r="ER120">
        <v>428.17</v>
      </c>
      <c r="ES120">
        <v>428.17</v>
      </c>
      <c r="ET120">
        <v>0</v>
      </c>
      <c r="EU120">
        <v>0</v>
      </c>
      <c r="EV120">
        <v>0</v>
      </c>
      <c r="EW120">
        <v>0</v>
      </c>
      <c r="EX120">
        <v>0</v>
      </c>
      <c r="EY120">
        <v>0</v>
      </c>
      <c r="FQ120">
        <v>0</v>
      </c>
      <c r="FR120">
        <f t="shared" si="149"/>
        <v>0</v>
      </c>
      <c r="FS120">
        <v>0</v>
      </c>
      <c r="FX120">
        <v>0</v>
      </c>
      <c r="FY120">
        <v>0</v>
      </c>
      <c r="GA120" t="s">
        <v>6</v>
      </c>
      <c r="GD120">
        <v>1</v>
      </c>
      <c r="GF120">
        <v>2037766963</v>
      </c>
      <c r="GG120">
        <v>2</v>
      </c>
      <c r="GH120">
        <v>1</v>
      </c>
      <c r="GI120">
        <v>4</v>
      </c>
      <c r="GJ120">
        <v>0</v>
      </c>
      <c r="GK120">
        <v>0</v>
      </c>
      <c r="GL120">
        <f t="shared" si="150"/>
        <v>0</v>
      </c>
      <c r="GM120">
        <f t="shared" si="151"/>
        <v>-202.05</v>
      </c>
      <c r="GN120">
        <f t="shared" si="152"/>
        <v>-202.05</v>
      </c>
      <c r="GO120">
        <f t="shared" si="153"/>
        <v>0</v>
      </c>
      <c r="GP120">
        <f t="shared" si="154"/>
        <v>0</v>
      </c>
      <c r="GR120">
        <v>0</v>
      </c>
      <c r="GS120">
        <v>0</v>
      </c>
      <c r="GT120">
        <v>0</v>
      </c>
      <c r="GU120" t="s">
        <v>6</v>
      </c>
      <c r="GV120">
        <f t="shared" si="155"/>
        <v>0</v>
      </c>
      <c r="GW120">
        <v>1</v>
      </c>
      <c r="GX120">
        <f t="shared" si="156"/>
        <v>0</v>
      </c>
      <c r="HA120">
        <v>0</v>
      </c>
      <c r="HB120">
        <v>0</v>
      </c>
      <c r="HC120">
        <f t="shared" si="157"/>
        <v>0</v>
      </c>
      <c r="HE120" t="s">
        <v>6</v>
      </c>
      <c r="HF120" t="s">
        <v>6</v>
      </c>
      <c r="HI120">
        <f t="shared" si="158"/>
        <v>0</v>
      </c>
      <c r="HJ120">
        <f t="shared" si="159"/>
        <v>0</v>
      </c>
      <c r="HK120">
        <f t="shared" si="160"/>
        <v>0</v>
      </c>
      <c r="HL120">
        <f t="shared" si="161"/>
        <v>0</v>
      </c>
      <c r="HM120" t="s">
        <v>6</v>
      </c>
      <c r="HN120" t="s">
        <v>6</v>
      </c>
      <c r="HO120" t="s">
        <v>6</v>
      </c>
      <c r="HP120" t="s">
        <v>6</v>
      </c>
      <c r="HQ120" t="s">
        <v>6</v>
      </c>
      <c r="IK120">
        <v>0</v>
      </c>
    </row>
    <row r="121" spans="1:245">
      <c r="A121">
        <v>17</v>
      </c>
      <c r="B121">
        <v>1</v>
      </c>
      <c r="E121" t="s">
        <v>256</v>
      </c>
      <c r="F121" t="s">
        <v>166</v>
      </c>
      <c r="G121" t="s">
        <v>167</v>
      </c>
      <c r="H121" t="s">
        <v>109</v>
      </c>
      <c r="I121">
        <v>0.47189999999999999</v>
      </c>
      <c r="J121">
        <v>0</v>
      </c>
      <c r="K121">
        <v>0.47189999999999999</v>
      </c>
      <c r="O121">
        <f t="shared" si="123"/>
        <v>228.29</v>
      </c>
      <c r="P121">
        <f t="shared" si="124"/>
        <v>228.29</v>
      </c>
      <c r="Q121">
        <f t="shared" si="125"/>
        <v>0</v>
      </c>
      <c r="R121">
        <f t="shared" si="126"/>
        <v>0</v>
      </c>
      <c r="S121">
        <f t="shared" si="127"/>
        <v>0</v>
      </c>
      <c r="T121">
        <f t="shared" si="128"/>
        <v>0</v>
      </c>
      <c r="U121">
        <f t="shared" si="129"/>
        <v>0</v>
      </c>
      <c r="V121">
        <f t="shared" si="130"/>
        <v>0</v>
      </c>
      <c r="W121">
        <f t="shared" si="131"/>
        <v>0</v>
      </c>
      <c r="X121">
        <f t="shared" si="132"/>
        <v>0</v>
      </c>
      <c r="Y121">
        <f t="shared" si="133"/>
        <v>0</v>
      </c>
      <c r="AA121">
        <v>31028412</v>
      </c>
      <c r="AB121">
        <f t="shared" si="134"/>
        <v>483.76</v>
      </c>
      <c r="AC121">
        <f t="shared" si="135"/>
        <v>483.76</v>
      </c>
      <c r="AD121">
        <f t="shared" si="162"/>
        <v>0</v>
      </c>
      <c r="AE121">
        <f t="shared" si="163"/>
        <v>0</v>
      </c>
      <c r="AF121">
        <f t="shared" si="163"/>
        <v>0</v>
      </c>
      <c r="AG121">
        <f t="shared" si="136"/>
        <v>0</v>
      </c>
      <c r="AH121">
        <f t="shared" si="164"/>
        <v>0</v>
      </c>
      <c r="AI121">
        <f t="shared" si="164"/>
        <v>0</v>
      </c>
      <c r="AJ121">
        <f t="shared" si="137"/>
        <v>0</v>
      </c>
      <c r="AK121">
        <v>483.76</v>
      </c>
      <c r="AL121">
        <v>483.76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1</v>
      </c>
      <c r="AW121">
        <v>1</v>
      </c>
      <c r="AZ121">
        <v>1</v>
      </c>
      <c r="BA121">
        <v>1</v>
      </c>
      <c r="BB121">
        <v>1</v>
      </c>
      <c r="BC121">
        <v>1</v>
      </c>
      <c r="BD121" t="s">
        <v>6</v>
      </c>
      <c r="BE121" t="s">
        <v>6</v>
      </c>
      <c r="BF121" t="s">
        <v>6</v>
      </c>
      <c r="BG121" t="s">
        <v>6</v>
      </c>
      <c r="BH121">
        <v>3</v>
      </c>
      <c r="BI121">
        <v>1</v>
      </c>
      <c r="BJ121" t="s">
        <v>168</v>
      </c>
      <c r="BM121">
        <v>500001</v>
      </c>
      <c r="BN121">
        <v>0</v>
      </c>
      <c r="BO121" t="s">
        <v>111</v>
      </c>
      <c r="BP121">
        <v>1</v>
      </c>
      <c r="BQ121">
        <v>8</v>
      </c>
      <c r="BR121">
        <v>0</v>
      </c>
      <c r="BS121">
        <v>1</v>
      </c>
      <c r="BT121">
        <v>1</v>
      </c>
      <c r="BU121">
        <v>1</v>
      </c>
      <c r="BV121">
        <v>1</v>
      </c>
      <c r="BW121">
        <v>1</v>
      </c>
      <c r="BX121">
        <v>1</v>
      </c>
      <c r="BY121" t="s">
        <v>6</v>
      </c>
      <c r="BZ121">
        <v>0</v>
      </c>
      <c r="CA121">
        <v>0</v>
      </c>
      <c r="CB121" t="s">
        <v>6</v>
      </c>
      <c r="CE121">
        <v>0</v>
      </c>
      <c r="CF121">
        <v>0</v>
      </c>
      <c r="CG121">
        <v>0</v>
      </c>
      <c r="CM121">
        <v>0</v>
      </c>
      <c r="CN121" t="s">
        <v>6</v>
      </c>
      <c r="CO121">
        <v>0</v>
      </c>
      <c r="CP121">
        <f t="shared" si="138"/>
        <v>228.29</v>
      </c>
      <c r="CQ121">
        <f t="shared" si="139"/>
        <v>483.76</v>
      </c>
      <c r="CR121">
        <f t="shared" si="140"/>
        <v>0</v>
      </c>
      <c r="CS121">
        <f t="shared" si="141"/>
        <v>0</v>
      </c>
      <c r="CT121">
        <f t="shared" si="142"/>
        <v>0</v>
      </c>
      <c r="CU121">
        <f t="shared" si="143"/>
        <v>0</v>
      </c>
      <c r="CV121">
        <f t="shared" si="144"/>
        <v>0</v>
      </c>
      <c r="CW121">
        <f t="shared" si="145"/>
        <v>0</v>
      </c>
      <c r="CX121">
        <f t="shared" si="146"/>
        <v>0</v>
      </c>
      <c r="CY121">
        <f t="shared" si="147"/>
        <v>0</v>
      </c>
      <c r="CZ121">
        <f t="shared" si="148"/>
        <v>0</v>
      </c>
      <c r="DC121" t="s">
        <v>6</v>
      </c>
      <c r="DD121" t="s">
        <v>6</v>
      </c>
      <c r="DE121" t="s">
        <v>6</v>
      </c>
      <c r="DF121" t="s">
        <v>6</v>
      </c>
      <c r="DG121" t="s">
        <v>6</v>
      </c>
      <c r="DH121" t="s">
        <v>6</v>
      </c>
      <c r="DI121" t="s">
        <v>6</v>
      </c>
      <c r="DJ121" t="s">
        <v>6</v>
      </c>
      <c r="DK121" t="s">
        <v>6</v>
      </c>
      <c r="DL121" t="s">
        <v>6</v>
      </c>
      <c r="DM121" t="s">
        <v>6</v>
      </c>
      <c r="DN121">
        <v>0</v>
      </c>
      <c r="DO121">
        <v>0</v>
      </c>
      <c r="DP121">
        <v>1</v>
      </c>
      <c r="DQ121">
        <v>1</v>
      </c>
      <c r="DU121">
        <v>1007</v>
      </c>
      <c r="DV121" t="s">
        <v>109</v>
      </c>
      <c r="DW121" t="s">
        <v>109</v>
      </c>
      <c r="DX121">
        <v>1</v>
      </c>
      <c r="DZ121" t="s">
        <v>6</v>
      </c>
      <c r="EA121" t="s">
        <v>6</v>
      </c>
      <c r="EB121" t="s">
        <v>6</v>
      </c>
      <c r="EC121" t="s">
        <v>6</v>
      </c>
      <c r="EE121">
        <v>30852824</v>
      </c>
      <c r="EF121">
        <v>8</v>
      </c>
      <c r="EG121" t="s">
        <v>112</v>
      </c>
      <c r="EH121">
        <v>0</v>
      </c>
      <c r="EI121" t="s">
        <v>6</v>
      </c>
      <c r="EJ121">
        <v>1</v>
      </c>
      <c r="EK121">
        <v>500001</v>
      </c>
      <c r="EL121" t="s">
        <v>113</v>
      </c>
      <c r="EM121" t="s">
        <v>114</v>
      </c>
      <c r="EO121" t="s">
        <v>6</v>
      </c>
      <c r="EQ121">
        <v>131072</v>
      </c>
      <c r="ER121">
        <v>483.76</v>
      </c>
      <c r="ES121">
        <v>483.76</v>
      </c>
      <c r="ET121">
        <v>0</v>
      </c>
      <c r="EU121">
        <v>0</v>
      </c>
      <c r="EV121">
        <v>0</v>
      </c>
      <c r="EW121">
        <v>0</v>
      </c>
      <c r="EX121">
        <v>0</v>
      </c>
      <c r="EY121">
        <v>0</v>
      </c>
      <c r="FQ121">
        <v>0</v>
      </c>
      <c r="FR121">
        <f t="shared" si="149"/>
        <v>0</v>
      </c>
      <c r="FS121">
        <v>0</v>
      </c>
      <c r="FX121">
        <v>0</v>
      </c>
      <c r="FY121">
        <v>0</v>
      </c>
      <c r="GA121" t="s">
        <v>6</v>
      </c>
      <c r="GD121">
        <v>1</v>
      </c>
      <c r="GF121">
        <v>-216866240</v>
      </c>
      <c r="GG121">
        <v>2</v>
      </c>
      <c r="GH121">
        <v>1</v>
      </c>
      <c r="GI121">
        <v>4</v>
      </c>
      <c r="GJ121">
        <v>0</v>
      </c>
      <c r="GK121">
        <v>0</v>
      </c>
      <c r="GL121">
        <f t="shared" si="150"/>
        <v>0</v>
      </c>
      <c r="GM121">
        <f t="shared" si="151"/>
        <v>228.29</v>
      </c>
      <c r="GN121">
        <f t="shared" si="152"/>
        <v>228.29</v>
      </c>
      <c r="GO121">
        <f t="shared" si="153"/>
        <v>0</v>
      </c>
      <c r="GP121">
        <f t="shared" si="154"/>
        <v>0</v>
      </c>
      <c r="GR121">
        <v>0</v>
      </c>
      <c r="GS121">
        <v>0</v>
      </c>
      <c r="GT121">
        <v>0</v>
      </c>
      <c r="GU121" t="s">
        <v>6</v>
      </c>
      <c r="GV121">
        <f t="shared" si="155"/>
        <v>0</v>
      </c>
      <c r="GW121">
        <v>1</v>
      </c>
      <c r="GX121">
        <f t="shared" si="156"/>
        <v>0</v>
      </c>
      <c r="HA121">
        <v>0</v>
      </c>
      <c r="HB121">
        <v>0</v>
      </c>
      <c r="HC121">
        <f t="shared" si="157"/>
        <v>0</v>
      </c>
      <c r="HE121" t="s">
        <v>6</v>
      </c>
      <c r="HF121" t="s">
        <v>6</v>
      </c>
      <c r="HI121">
        <f t="shared" si="158"/>
        <v>0</v>
      </c>
      <c r="HJ121">
        <f t="shared" si="159"/>
        <v>0</v>
      </c>
      <c r="HK121">
        <f t="shared" si="160"/>
        <v>0</v>
      </c>
      <c r="HL121">
        <f t="shared" si="161"/>
        <v>0</v>
      </c>
      <c r="HM121" t="s">
        <v>6</v>
      </c>
      <c r="HN121" t="s">
        <v>6</v>
      </c>
      <c r="HO121" t="s">
        <v>6</v>
      </c>
      <c r="HP121" t="s">
        <v>6</v>
      </c>
      <c r="HQ121" t="s">
        <v>6</v>
      </c>
      <c r="IK121">
        <v>0</v>
      </c>
    </row>
    <row r="122" spans="1:245">
      <c r="A122">
        <v>17</v>
      </c>
      <c r="B122">
        <v>1</v>
      </c>
      <c r="E122" t="s">
        <v>257</v>
      </c>
      <c r="F122" t="s">
        <v>162</v>
      </c>
      <c r="G122" t="s">
        <v>163</v>
      </c>
      <c r="H122" t="s">
        <v>155</v>
      </c>
      <c r="I122">
        <f>ROUND((780)/1000,7)</f>
        <v>0.78</v>
      </c>
      <c r="J122">
        <v>0</v>
      </c>
      <c r="K122">
        <f>ROUND((780)/1000,7)</f>
        <v>0.78</v>
      </c>
      <c r="O122">
        <f t="shared" si="123"/>
        <v>1491.77</v>
      </c>
      <c r="P122">
        <f t="shared" si="124"/>
        <v>1491.77</v>
      </c>
      <c r="Q122">
        <f t="shared" si="125"/>
        <v>0</v>
      </c>
      <c r="R122">
        <f t="shared" si="126"/>
        <v>0</v>
      </c>
      <c r="S122">
        <f t="shared" si="127"/>
        <v>0</v>
      </c>
      <c r="T122">
        <f t="shared" si="128"/>
        <v>0</v>
      </c>
      <c r="U122">
        <f t="shared" si="129"/>
        <v>0</v>
      </c>
      <c r="V122">
        <f t="shared" si="130"/>
        <v>0</v>
      </c>
      <c r="W122">
        <f t="shared" si="131"/>
        <v>0</v>
      </c>
      <c r="X122">
        <f t="shared" si="132"/>
        <v>0</v>
      </c>
      <c r="Y122">
        <f t="shared" si="133"/>
        <v>0</v>
      </c>
      <c r="AA122">
        <v>31028412</v>
      </c>
      <c r="AB122">
        <f t="shared" si="134"/>
        <v>1912.53</v>
      </c>
      <c r="AC122">
        <f t="shared" si="135"/>
        <v>1912.53</v>
      </c>
      <c r="AD122">
        <f t="shared" si="162"/>
        <v>0</v>
      </c>
      <c r="AE122">
        <f t="shared" si="163"/>
        <v>0</v>
      </c>
      <c r="AF122">
        <f t="shared" si="163"/>
        <v>0</v>
      </c>
      <c r="AG122">
        <f t="shared" si="136"/>
        <v>0</v>
      </c>
      <c r="AH122">
        <f t="shared" si="164"/>
        <v>0</v>
      </c>
      <c r="AI122">
        <f t="shared" si="164"/>
        <v>0</v>
      </c>
      <c r="AJ122">
        <f t="shared" si="137"/>
        <v>0</v>
      </c>
      <c r="AK122">
        <v>1912.53</v>
      </c>
      <c r="AL122">
        <v>1912.53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1</v>
      </c>
      <c r="AW122">
        <v>1</v>
      </c>
      <c r="AZ122">
        <v>1</v>
      </c>
      <c r="BA122">
        <v>1</v>
      </c>
      <c r="BB122">
        <v>1</v>
      </c>
      <c r="BC122">
        <v>1</v>
      </c>
      <c r="BD122" t="s">
        <v>6</v>
      </c>
      <c r="BE122" t="s">
        <v>6</v>
      </c>
      <c r="BF122" t="s">
        <v>6</v>
      </c>
      <c r="BG122" t="s">
        <v>6</v>
      </c>
      <c r="BH122">
        <v>3</v>
      </c>
      <c r="BI122">
        <v>1</v>
      </c>
      <c r="BJ122" t="s">
        <v>164</v>
      </c>
      <c r="BM122">
        <v>500001</v>
      </c>
      <c r="BN122">
        <v>0</v>
      </c>
      <c r="BO122" t="s">
        <v>111</v>
      </c>
      <c r="BP122">
        <v>1</v>
      </c>
      <c r="BQ122">
        <v>8</v>
      </c>
      <c r="BR122">
        <v>0</v>
      </c>
      <c r="BS122">
        <v>1</v>
      </c>
      <c r="BT122">
        <v>1</v>
      </c>
      <c r="BU122">
        <v>1</v>
      </c>
      <c r="BV122">
        <v>1</v>
      </c>
      <c r="BW122">
        <v>1</v>
      </c>
      <c r="BX122">
        <v>1</v>
      </c>
      <c r="BY122" t="s">
        <v>6</v>
      </c>
      <c r="BZ122">
        <v>0</v>
      </c>
      <c r="CA122">
        <v>0</v>
      </c>
      <c r="CB122" t="s">
        <v>6</v>
      </c>
      <c r="CE122">
        <v>0</v>
      </c>
      <c r="CF122">
        <v>0</v>
      </c>
      <c r="CG122">
        <v>0</v>
      </c>
      <c r="CM122">
        <v>0</v>
      </c>
      <c r="CN122" t="s">
        <v>6</v>
      </c>
      <c r="CO122">
        <v>0</v>
      </c>
      <c r="CP122">
        <f t="shared" si="138"/>
        <v>1491.77</v>
      </c>
      <c r="CQ122">
        <f t="shared" si="139"/>
        <v>1912.53</v>
      </c>
      <c r="CR122">
        <f t="shared" si="140"/>
        <v>0</v>
      </c>
      <c r="CS122">
        <f t="shared" si="141"/>
        <v>0</v>
      </c>
      <c r="CT122">
        <f t="shared" si="142"/>
        <v>0</v>
      </c>
      <c r="CU122">
        <f t="shared" si="143"/>
        <v>0</v>
      </c>
      <c r="CV122">
        <f t="shared" si="144"/>
        <v>0</v>
      </c>
      <c r="CW122">
        <f t="shared" si="145"/>
        <v>0</v>
      </c>
      <c r="CX122">
        <f t="shared" si="146"/>
        <v>0</v>
      </c>
      <c r="CY122">
        <f t="shared" si="147"/>
        <v>0</v>
      </c>
      <c r="CZ122">
        <f t="shared" si="148"/>
        <v>0</v>
      </c>
      <c r="DC122" t="s">
        <v>6</v>
      </c>
      <c r="DD122" t="s">
        <v>6</v>
      </c>
      <c r="DE122" t="s">
        <v>6</v>
      </c>
      <c r="DF122" t="s">
        <v>6</v>
      </c>
      <c r="DG122" t="s">
        <v>6</v>
      </c>
      <c r="DH122" t="s">
        <v>6</v>
      </c>
      <c r="DI122" t="s">
        <v>6</v>
      </c>
      <c r="DJ122" t="s">
        <v>6</v>
      </c>
      <c r="DK122" t="s">
        <v>6</v>
      </c>
      <c r="DL122" t="s">
        <v>6</v>
      </c>
      <c r="DM122" t="s">
        <v>6</v>
      </c>
      <c r="DN122">
        <v>0</v>
      </c>
      <c r="DO122">
        <v>0</v>
      </c>
      <c r="DP122">
        <v>1</v>
      </c>
      <c r="DQ122">
        <v>1</v>
      </c>
      <c r="DU122">
        <v>1010</v>
      </c>
      <c r="DV122" t="s">
        <v>155</v>
      </c>
      <c r="DW122" t="s">
        <v>155</v>
      </c>
      <c r="DX122">
        <v>1000</v>
      </c>
      <c r="DZ122" t="s">
        <v>6</v>
      </c>
      <c r="EA122" t="s">
        <v>6</v>
      </c>
      <c r="EB122" t="s">
        <v>6</v>
      </c>
      <c r="EC122" t="s">
        <v>6</v>
      </c>
      <c r="EE122">
        <v>30852824</v>
      </c>
      <c r="EF122">
        <v>8</v>
      </c>
      <c r="EG122" t="s">
        <v>112</v>
      </c>
      <c r="EH122">
        <v>0</v>
      </c>
      <c r="EI122" t="s">
        <v>6</v>
      </c>
      <c r="EJ122">
        <v>1</v>
      </c>
      <c r="EK122">
        <v>500001</v>
      </c>
      <c r="EL122" t="s">
        <v>113</v>
      </c>
      <c r="EM122" t="s">
        <v>114</v>
      </c>
      <c r="EO122" t="s">
        <v>6</v>
      </c>
      <c r="EQ122">
        <v>0</v>
      </c>
      <c r="ER122">
        <v>1912.53</v>
      </c>
      <c r="ES122">
        <v>1912.53</v>
      </c>
      <c r="ET122">
        <v>0</v>
      </c>
      <c r="EU122">
        <v>0</v>
      </c>
      <c r="EV122">
        <v>0</v>
      </c>
      <c r="EW122">
        <v>0</v>
      </c>
      <c r="EX122">
        <v>0</v>
      </c>
      <c r="EY122">
        <v>0</v>
      </c>
      <c r="FQ122">
        <v>0</v>
      </c>
      <c r="FR122">
        <f t="shared" si="149"/>
        <v>0</v>
      </c>
      <c r="FS122">
        <v>0</v>
      </c>
      <c r="FX122">
        <v>0</v>
      </c>
      <c r="FY122">
        <v>0</v>
      </c>
      <c r="GA122" t="s">
        <v>6</v>
      </c>
      <c r="GD122">
        <v>1</v>
      </c>
      <c r="GF122">
        <v>-1674372488</v>
      </c>
      <c r="GG122">
        <v>2</v>
      </c>
      <c r="GH122">
        <v>1</v>
      </c>
      <c r="GI122">
        <v>4</v>
      </c>
      <c r="GJ122">
        <v>0</v>
      </c>
      <c r="GK122">
        <v>0</v>
      </c>
      <c r="GL122">
        <f t="shared" si="150"/>
        <v>0</v>
      </c>
      <c r="GM122">
        <f t="shared" si="151"/>
        <v>1491.77</v>
      </c>
      <c r="GN122">
        <f t="shared" si="152"/>
        <v>1491.77</v>
      </c>
      <c r="GO122">
        <f t="shared" si="153"/>
        <v>0</v>
      </c>
      <c r="GP122">
        <f t="shared" si="154"/>
        <v>0</v>
      </c>
      <c r="GR122">
        <v>0</v>
      </c>
      <c r="GS122">
        <v>3</v>
      </c>
      <c r="GT122">
        <v>0</v>
      </c>
      <c r="GU122" t="s">
        <v>6</v>
      </c>
      <c r="GV122">
        <f t="shared" si="155"/>
        <v>0</v>
      </c>
      <c r="GW122">
        <v>1</v>
      </c>
      <c r="GX122">
        <f t="shared" si="156"/>
        <v>0</v>
      </c>
      <c r="HA122">
        <v>0</v>
      </c>
      <c r="HB122">
        <v>0</v>
      </c>
      <c r="HC122">
        <f t="shared" si="157"/>
        <v>0</v>
      </c>
      <c r="HE122" t="s">
        <v>6</v>
      </c>
      <c r="HF122" t="s">
        <v>6</v>
      </c>
      <c r="HI122">
        <f t="shared" si="158"/>
        <v>0</v>
      </c>
      <c r="HJ122">
        <f t="shared" si="159"/>
        <v>0</v>
      </c>
      <c r="HK122">
        <f t="shared" si="160"/>
        <v>0</v>
      </c>
      <c r="HL122">
        <f t="shared" si="161"/>
        <v>0</v>
      </c>
      <c r="HM122" t="s">
        <v>6</v>
      </c>
      <c r="HN122" t="s">
        <v>6</v>
      </c>
      <c r="HO122" t="s">
        <v>6</v>
      </c>
      <c r="HP122" t="s">
        <v>6</v>
      </c>
      <c r="HQ122" t="s">
        <v>6</v>
      </c>
      <c r="IK122">
        <v>0</v>
      </c>
    </row>
    <row r="123" spans="1:245">
      <c r="A123">
        <v>17</v>
      </c>
      <c r="B123">
        <v>1</v>
      </c>
      <c r="C123">
        <f>ROW(SmtRes!A103)</f>
        <v>103</v>
      </c>
      <c r="D123">
        <f>ROW(EtalonRes!A123)</f>
        <v>123</v>
      </c>
      <c r="E123" t="s">
        <v>258</v>
      </c>
      <c r="F123" t="s">
        <v>259</v>
      </c>
      <c r="G123" t="s">
        <v>260</v>
      </c>
      <c r="H123" t="s">
        <v>148</v>
      </c>
      <c r="I123">
        <v>0.35</v>
      </c>
      <c r="J123">
        <v>0</v>
      </c>
      <c r="K123">
        <v>0.35</v>
      </c>
      <c r="O123">
        <f t="shared" si="123"/>
        <v>197.56</v>
      </c>
      <c r="P123">
        <f t="shared" si="124"/>
        <v>170.03</v>
      </c>
      <c r="Q123">
        <f t="shared" si="125"/>
        <v>10.53</v>
      </c>
      <c r="R123">
        <f t="shared" si="126"/>
        <v>1.6</v>
      </c>
      <c r="S123">
        <f t="shared" si="127"/>
        <v>17</v>
      </c>
      <c r="T123">
        <f t="shared" si="128"/>
        <v>0</v>
      </c>
      <c r="U123">
        <f t="shared" si="129"/>
        <v>2.1199675</v>
      </c>
      <c r="V123">
        <f t="shared" si="130"/>
        <v>0.12249999999999998</v>
      </c>
      <c r="W123">
        <f t="shared" si="131"/>
        <v>0</v>
      </c>
      <c r="X123">
        <f t="shared" si="132"/>
        <v>18.41</v>
      </c>
      <c r="Y123">
        <f t="shared" si="133"/>
        <v>10.91</v>
      </c>
      <c r="AA123">
        <v>31028412</v>
      </c>
      <c r="AB123">
        <f t="shared" si="134"/>
        <v>564.45542499999999</v>
      </c>
      <c r="AC123">
        <f t="shared" si="135"/>
        <v>485.8</v>
      </c>
      <c r="AD123">
        <f t="shared" si="162"/>
        <v>30.08</v>
      </c>
      <c r="AE123">
        <f>ROUND((EU123),6)</f>
        <v>4.5599999999999996</v>
      </c>
      <c r="AF123">
        <f>ROUND(((EV123*ROUND((1.15*1.15),7))),6)</f>
        <v>48.575425000000003</v>
      </c>
      <c r="AG123">
        <f t="shared" si="136"/>
        <v>0</v>
      </c>
      <c r="AH123">
        <f>((EW123*ROUND((1.15*1.15),7)))</f>
        <v>6.0570500000000003</v>
      </c>
      <c r="AI123">
        <f>(EX123)</f>
        <v>0.35</v>
      </c>
      <c r="AJ123">
        <f t="shared" si="137"/>
        <v>0</v>
      </c>
      <c r="AK123">
        <v>552.61</v>
      </c>
      <c r="AL123">
        <v>485.8</v>
      </c>
      <c r="AM123">
        <v>30.08</v>
      </c>
      <c r="AN123">
        <v>4.5599999999999996</v>
      </c>
      <c r="AO123">
        <v>36.729999999999997</v>
      </c>
      <c r="AP123">
        <v>0</v>
      </c>
      <c r="AQ123">
        <v>4.58</v>
      </c>
      <c r="AR123">
        <v>0.35</v>
      </c>
      <c r="AS123">
        <v>0</v>
      </c>
      <c r="AT123">
        <v>99</v>
      </c>
      <c r="AU123">
        <v>58.65</v>
      </c>
      <c r="AV123">
        <v>1</v>
      </c>
      <c r="AW123">
        <v>1</v>
      </c>
      <c r="AZ123">
        <v>1</v>
      </c>
      <c r="BA123">
        <v>24.22</v>
      </c>
      <c r="BB123">
        <v>1</v>
      </c>
      <c r="BC123">
        <v>1</v>
      </c>
      <c r="BD123" t="s">
        <v>6</v>
      </c>
      <c r="BE123" t="s">
        <v>6</v>
      </c>
      <c r="BF123" t="s">
        <v>6</v>
      </c>
      <c r="BG123" t="s">
        <v>6</v>
      </c>
      <c r="BH123">
        <v>0</v>
      </c>
      <c r="BI123">
        <v>1</v>
      </c>
      <c r="BJ123" t="s">
        <v>261</v>
      </c>
      <c r="BM123">
        <v>8001</v>
      </c>
      <c r="BN123">
        <v>0</v>
      </c>
      <c r="BO123" t="s">
        <v>1327</v>
      </c>
      <c r="BP123">
        <v>1</v>
      </c>
      <c r="BQ123">
        <v>2</v>
      </c>
      <c r="BR123">
        <v>0</v>
      </c>
      <c r="BS123">
        <v>24.22</v>
      </c>
      <c r="BT123">
        <v>1</v>
      </c>
      <c r="BU123">
        <v>1</v>
      </c>
      <c r="BV123">
        <v>1</v>
      </c>
      <c r="BW123">
        <v>1</v>
      </c>
      <c r="BX123">
        <v>1</v>
      </c>
      <c r="BY123" t="s">
        <v>6</v>
      </c>
      <c r="BZ123">
        <v>110</v>
      </c>
      <c r="CA123">
        <v>69</v>
      </c>
      <c r="CB123" t="s">
        <v>6</v>
      </c>
      <c r="CE123">
        <v>0</v>
      </c>
      <c r="CF123">
        <v>0</v>
      </c>
      <c r="CG123">
        <v>0</v>
      </c>
      <c r="CM123">
        <v>0</v>
      </c>
      <c r="CN123" t="s">
        <v>6</v>
      </c>
      <c r="CO123">
        <v>0</v>
      </c>
      <c r="CP123">
        <f t="shared" si="138"/>
        <v>197.56</v>
      </c>
      <c r="CQ123">
        <f t="shared" si="139"/>
        <v>485.8</v>
      </c>
      <c r="CR123">
        <f t="shared" si="140"/>
        <v>30.08</v>
      </c>
      <c r="CS123">
        <f t="shared" si="141"/>
        <v>4.5599999999999996</v>
      </c>
      <c r="CT123">
        <f t="shared" si="142"/>
        <v>48.575425000000003</v>
      </c>
      <c r="CU123">
        <f t="shared" si="143"/>
        <v>0</v>
      </c>
      <c r="CV123">
        <f t="shared" si="144"/>
        <v>6.0570500000000003</v>
      </c>
      <c r="CW123">
        <f t="shared" si="145"/>
        <v>0.35</v>
      </c>
      <c r="CX123">
        <f t="shared" si="146"/>
        <v>0</v>
      </c>
      <c r="CY123">
        <f t="shared" si="147"/>
        <v>18.414000000000001</v>
      </c>
      <c r="CZ123">
        <f t="shared" si="148"/>
        <v>10.908900000000001</v>
      </c>
      <c r="DC123" t="s">
        <v>6</v>
      </c>
      <c r="DD123" t="s">
        <v>6</v>
      </c>
      <c r="DE123" t="s">
        <v>6</v>
      </c>
      <c r="DF123" t="s">
        <v>6</v>
      </c>
      <c r="DG123" t="s">
        <v>127</v>
      </c>
      <c r="DH123" t="s">
        <v>6</v>
      </c>
      <c r="DI123" t="s">
        <v>127</v>
      </c>
      <c r="DJ123" t="s">
        <v>6</v>
      </c>
      <c r="DK123" t="s">
        <v>6</v>
      </c>
      <c r="DL123" t="s">
        <v>6</v>
      </c>
      <c r="DM123" t="s">
        <v>6</v>
      </c>
      <c r="DN123">
        <v>0</v>
      </c>
      <c r="DO123">
        <v>0</v>
      </c>
      <c r="DP123">
        <v>1</v>
      </c>
      <c r="DQ123">
        <v>1</v>
      </c>
      <c r="DU123">
        <v>1013</v>
      </c>
      <c r="DV123" t="s">
        <v>148</v>
      </c>
      <c r="DW123" t="s">
        <v>148</v>
      </c>
      <c r="DX123">
        <v>1</v>
      </c>
      <c r="DZ123" t="s">
        <v>6</v>
      </c>
      <c r="EA123" t="s">
        <v>6</v>
      </c>
      <c r="EB123" t="s">
        <v>6</v>
      </c>
      <c r="EC123" t="s">
        <v>6</v>
      </c>
      <c r="EE123">
        <v>30852902</v>
      </c>
      <c r="EF123">
        <v>2</v>
      </c>
      <c r="EG123" t="s">
        <v>26</v>
      </c>
      <c r="EH123">
        <v>0</v>
      </c>
      <c r="EI123" t="s">
        <v>6</v>
      </c>
      <c r="EJ123">
        <v>1</v>
      </c>
      <c r="EK123">
        <v>8001</v>
      </c>
      <c r="EL123" t="s">
        <v>211</v>
      </c>
      <c r="EM123" t="s">
        <v>212</v>
      </c>
      <c r="EO123" t="s">
        <v>6</v>
      </c>
      <c r="EQ123">
        <v>0</v>
      </c>
      <c r="ER123">
        <v>552.61</v>
      </c>
      <c r="ES123">
        <v>485.8</v>
      </c>
      <c r="ET123">
        <v>30.08</v>
      </c>
      <c r="EU123">
        <v>4.5599999999999996</v>
      </c>
      <c r="EV123">
        <v>36.729999999999997</v>
      </c>
      <c r="EW123">
        <v>4.58</v>
      </c>
      <c r="EX123">
        <v>0.35</v>
      </c>
      <c r="EY123">
        <v>0</v>
      </c>
      <c r="FQ123">
        <v>0</v>
      </c>
      <c r="FR123">
        <f t="shared" si="149"/>
        <v>0</v>
      </c>
      <c r="FS123">
        <v>0</v>
      </c>
      <c r="FT123" t="s">
        <v>29</v>
      </c>
      <c r="FU123" t="s">
        <v>30</v>
      </c>
      <c r="FX123">
        <v>99</v>
      </c>
      <c r="FY123">
        <v>58.65</v>
      </c>
      <c r="GA123" t="s">
        <v>6</v>
      </c>
      <c r="GD123">
        <v>1</v>
      </c>
      <c r="GF123">
        <v>1036274488</v>
      </c>
      <c r="GG123">
        <v>2</v>
      </c>
      <c r="GH123">
        <v>1</v>
      </c>
      <c r="GI123">
        <v>4</v>
      </c>
      <c r="GJ123">
        <v>0</v>
      </c>
      <c r="GK123">
        <v>0</v>
      </c>
      <c r="GL123">
        <f t="shared" si="150"/>
        <v>0</v>
      </c>
      <c r="GM123">
        <f t="shared" si="151"/>
        <v>226.88</v>
      </c>
      <c r="GN123">
        <f t="shared" si="152"/>
        <v>226.88</v>
      </c>
      <c r="GO123">
        <f t="shared" si="153"/>
        <v>0</v>
      </c>
      <c r="GP123">
        <f t="shared" si="154"/>
        <v>0</v>
      </c>
      <c r="GR123">
        <v>0</v>
      </c>
      <c r="GS123">
        <v>3</v>
      </c>
      <c r="GT123">
        <v>0</v>
      </c>
      <c r="GU123" t="s">
        <v>6</v>
      </c>
      <c r="GV123">
        <f t="shared" si="155"/>
        <v>0</v>
      </c>
      <c r="GW123">
        <v>1</v>
      </c>
      <c r="GX123">
        <f t="shared" si="156"/>
        <v>0</v>
      </c>
      <c r="HA123">
        <v>0</v>
      </c>
      <c r="HB123">
        <v>0</v>
      </c>
      <c r="HC123">
        <f t="shared" si="157"/>
        <v>0</v>
      </c>
      <c r="HE123" t="s">
        <v>6</v>
      </c>
      <c r="HF123" t="s">
        <v>6</v>
      </c>
      <c r="HI123">
        <f t="shared" si="158"/>
        <v>39</v>
      </c>
      <c r="HJ123">
        <f t="shared" si="159"/>
        <v>412</v>
      </c>
      <c r="HK123">
        <f t="shared" si="160"/>
        <v>446</v>
      </c>
      <c r="HL123">
        <f t="shared" si="161"/>
        <v>265</v>
      </c>
      <c r="HM123" t="s">
        <v>6</v>
      </c>
      <c r="HN123" t="s">
        <v>6</v>
      </c>
      <c r="HO123" t="s">
        <v>6</v>
      </c>
      <c r="HP123" t="s">
        <v>6</v>
      </c>
      <c r="HQ123" t="s">
        <v>6</v>
      </c>
      <c r="IK123">
        <v>0</v>
      </c>
    </row>
    <row r="124" spans="1:245">
      <c r="A124">
        <v>17</v>
      </c>
      <c r="B124">
        <v>1</v>
      </c>
      <c r="E124" t="s">
        <v>262</v>
      </c>
      <c r="F124" t="s">
        <v>263</v>
      </c>
      <c r="G124" t="s">
        <v>264</v>
      </c>
      <c r="H124" t="s">
        <v>155</v>
      </c>
      <c r="I124">
        <f>ROUND(I123*-0.195,7)</f>
        <v>-6.8250000000000005E-2</v>
      </c>
      <c r="J124">
        <v>0</v>
      </c>
      <c r="K124">
        <f>ROUND(I123*-0.195,7)</f>
        <v>-6.8250000000000005E-2</v>
      </c>
      <c r="O124">
        <f t="shared" si="123"/>
        <v>-138.75</v>
      </c>
      <c r="P124">
        <f t="shared" si="124"/>
        <v>-138.75</v>
      </c>
      <c r="Q124">
        <f t="shared" si="125"/>
        <v>0</v>
      </c>
      <c r="R124">
        <f t="shared" si="126"/>
        <v>0</v>
      </c>
      <c r="S124">
        <f t="shared" si="127"/>
        <v>0</v>
      </c>
      <c r="T124">
        <f t="shared" si="128"/>
        <v>0</v>
      </c>
      <c r="U124">
        <f t="shared" si="129"/>
        <v>0</v>
      </c>
      <c r="V124">
        <f t="shared" si="130"/>
        <v>0</v>
      </c>
      <c r="W124">
        <f t="shared" si="131"/>
        <v>0</v>
      </c>
      <c r="X124">
        <f t="shared" si="132"/>
        <v>0</v>
      </c>
      <c r="Y124">
        <f t="shared" si="133"/>
        <v>0</v>
      </c>
      <c r="AA124">
        <v>31028412</v>
      </c>
      <c r="AB124">
        <f t="shared" si="134"/>
        <v>2033</v>
      </c>
      <c r="AC124">
        <f t="shared" si="135"/>
        <v>2033</v>
      </c>
      <c r="AD124">
        <f t="shared" si="162"/>
        <v>0</v>
      </c>
      <c r="AE124">
        <f>ROUND((EU124),6)</f>
        <v>0</v>
      </c>
      <c r="AF124">
        <f>ROUND((EV124),6)</f>
        <v>0</v>
      </c>
      <c r="AG124">
        <f t="shared" si="136"/>
        <v>0</v>
      </c>
      <c r="AH124">
        <f>(EW124)</f>
        <v>0</v>
      </c>
      <c r="AI124">
        <f>(EX124)</f>
        <v>0</v>
      </c>
      <c r="AJ124">
        <f t="shared" si="137"/>
        <v>0</v>
      </c>
      <c r="AK124">
        <v>2033</v>
      </c>
      <c r="AL124">
        <v>2033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1</v>
      </c>
      <c r="AW124">
        <v>1</v>
      </c>
      <c r="AZ124">
        <v>1</v>
      </c>
      <c r="BA124">
        <v>1</v>
      </c>
      <c r="BB124">
        <v>1</v>
      </c>
      <c r="BC124">
        <v>1</v>
      </c>
      <c r="BD124" t="s">
        <v>6</v>
      </c>
      <c r="BE124" t="s">
        <v>6</v>
      </c>
      <c r="BF124" t="s">
        <v>6</v>
      </c>
      <c r="BG124" t="s">
        <v>6</v>
      </c>
      <c r="BH124">
        <v>3</v>
      </c>
      <c r="BI124">
        <v>1</v>
      </c>
      <c r="BJ124" t="s">
        <v>265</v>
      </c>
      <c r="BM124">
        <v>500001</v>
      </c>
      <c r="BN124">
        <v>0</v>
      </c>
      <c r="BO124" t="s">
        <v>111</v>
      </c>
      <c r="BP124">
        <v>1</v>
      </c>
      <c r="BQ124">
        <v>8</v>
      </c>
      <c r="BR124">
        <v>1</v>
      </c>
      <c r="BS124">
        <v>1</v>
      </c>
      <c r="BT124">
        <v>1</v>
      </c>
      <c r="BU124">
        <v>1</v>
      </c>
      <c r="BV124">
        <v>1</v>
      </c>
      <c r="BW124">
        <v>1</v>
      </c>
      <c r="BX124">
        <v>1</v>
      </c>
      <c r="BY124" t="s">
        <v>6</v>
      </c>
      <c r="BZ124">
        <v>0</v>
      </c>
      <c r="CA124">
        <v>0</v>
      </c>
      <c r="CB124" t="s">
        <v>6</v>
      </c>
      <c r="CE124">
        <v>0</v>
      </c>
      <c r="CF124">
        <v>0</v>
      </c>
      <c r="CG124">
        <v>0</v>
      </c>
      <c r="CM124">
        <v>0</v>
      </c>
      <c r="CN124" t="s">
        <v>6</v>
      </c>
      <c r="CO124">
        <v>0</v>
      </c>
      <c r="CP124">
        <f t="shared" si="138"/>
        <v>-138.75</v>
      </c>
      <c r="CQ124">
        <f t="shared" si="139"/>
        <v>2033</v>
      </c>
      <c r="CR124">
        <f t="shared" si="140"/>
        <v>0</v>
      </c>
      <c r="CS124">
        <f t="shared" si="141"/>
        <v>0</v>
      </c>
      <c r="CT124">
        <f t="shared" si="142"/>
        <v>0</v>
      </c>
      <c r="CU124">
        <f t="shared" si="143"/>
        <v>0</v>
      </c>
      <c r="CV124">
        <f t="shared" si="144"/>
        <v>0</v>
      </c>
      <c r="CW124">
        <f t="shared" si="145"/>
        <v>0</v>
      </c>
      <c r="CX124">
        <f t="shared" si="146"/>
        <v>0</v>
      </c>
      <c r="CY124">
        <f t="shared" si="147"/>
        <v>0</v>
      </c>
      <c r="CZ124">
        <f t="shared" si="148"/>
        <v>0</v>
      </c>
      <c r="DC124" t="s">
        <v>6</v>
      </c>
      <c r="DD124" t="s">
        <v>6</v>
      </c>
      <c r="DE124" t="s">
        <v>6</v>
      </c>
      <c r="DF124" t="s">
        <v>6</v>
      </c>
      <c r="DG124" t="s">
        <v>6</v>
      </c>
      <c r="DH124" t="s">
        <v>6</v>
      </c>
      <c r="DI124" t="s">
        <v>6</v>
      </c>
      <c r="DJ124" t="s">
        <v>6</v>
      </c>
      <c r="DK124" t="s">
        <v>6</v>
      </c>
      <c r="DL124" t="s">
        <v>6</v>
      </c>
      <c r="DM124" t="s">
        <v>6</v>
      </c>
      <c r="DN124">
        <v>0</v>
      </c>
      <c r="DO124">
        <v>0</v>
      </c>
      <c r="DP124">
        <v>1</v>
      </c>
      <c r="DQ124">
        <v>1</v>
      </c>
      <c r="DU124">
        <v>1010</v>
      </c>
      <c r="DV124" t="s">
        <v>155</v>
      </c>
      <c r="DW124" t="s">
        <v>155</v>
      </c>
      <c r="DX124">
        <v>1000</v>
      </c>
      <c r="DZ124" t="s">
        <v>6</v>
      </c>
      <c r="EA124" t="s">
        <v>6</v>
      </c>
      <c r="EB124" t="s">
        <v>6</v>
      </c>
      <c r="EC124" t="s">
        <v>6</v>
      </c>
      <c r="EE124">
        <v>30852824</v>
      </c>
      <c r="EF124">
        <v>8</v>
      </c>
      <c r="EG124" t="s">
        <v>112</v>
      </c>
      <c r="EH124">
        <v>0</v>
      </c>
      <c r="EI124" t="s">
        <v>6</v>
      </c>
      <c r="EJ124">
        <v>1</v>
      </c>
      <c r="EK124">
        <v>500001</v>
      </c>
      <c r="EL124" t="s">
        <v>113</v>
      </c>
      <c r="EM124" t="s">
        <v>114</v>
      </c>
      <c r="EO124" t="s">
        <v>6</v>
      </c>
      <c r="EQ124">
        <v>32768</v>
      </c>
      <c r="ER124">
        <v>2033</v>
      </c>
      <c r="ES124">
        <v>2033</v>
      </c>
      <c r="ET124">
        <v>0</v>
      </c>
      <c r="EU124">
        <v>0</v>
      </c>
      <c r="EV124">
        <v>0</v>
      </c>
      <c r="EW124">
        <v>0</v>
      </c>
      <c r="EX124">
        <v>0</v>
      </c>
      <c r="EY124">
        <v>0</v>
      </c>
      <c r="FQ124">
        <v>0</v>
      </c>
      <c r="FR124">
        <f t="shared" si="149"/>
        <v>0</v>
      </c>
      <c r="FS124">
        <v>0</v>
      </c>
      <c r="FX124">
        <v>0</v>
      </c>
      <c r="FY124">
        <v>0</v>
      </c>
      <c r="GA124" t="s">
        <v>6</v>
      </c>
      <c r="GD124">
        <v>1</v>
      </c>
      <c r="GF124">
        <v>-233868361</v>
      </c>
      <c r="GG124">
        <v>2</v>
      </c>
      <c r="GH124">
        <v>1</v>
      </c>
      <c r="GI124">
        <v>4</v>
      </c>
      <c r="GJ124">
        <v>0</v>
      </c>
      <c r="GK124">
        <v>0</v>
      </c>
      <c r="GL124">
        <f t="shared" si="150"/>
        <v>0</v>
      </c>
      <c r="GM124">
        <f t="shared" si="151"/>
        <v>-138.75</v>
      </c>
      <c r="GN124">
        <f t="shared" si="152"/>
        <v>-138.75</v>
      </c>
      <c r="GO124">
        <f t="shared" si="153"/>
        <v>0</v>
      </c>
      <c r="GP124">
        <f t="shared" si="154"/>
        <v>0</v>
      </c>
      <c r="GR124">
        <v>0</v>
      </c>
      <c r="GS124">
        <v>3</v>
      </c>
      <c r="GT124">
        <v>0</v>
      </c>
      <c r="GU124" t="s">
        <v>6</v>
      </c>
      <c r="GV124">
        <f t="shared" si="155"/>
        <v>0</v>
      </c>
      <c r="GW124">
        <v>1</v>
      </c>
      <c r="GX124">
        <f t="shared" si="156"/>
        <v>0</v>
      </c>
      <c r="HA124">
        <v>0</v>
      </c>
      <c r="HB124">
        <v>0</v>
      </c>
      <c r="HC124">
        <f t="shared" si="157"/>
        <v>0</v>
      </c>
      <c r="HE124" t="s">
        <v>6</v>
      </c>
      <c r="HF124" t="s">
        <v>6</v>
      </c>
      <c r="HI124">
        <f t="shared" si="158"/>
        <v>0</v>
      </c>
      <c r="HJ124">
        <f t="shared" si="159"/>
        <v>0</v>
      </c>
      <c r="HK124">
        <f t="shared" si="160"/>
        <v>0</v>
      </c>
      <c r="HL124">
        <f t="shared" si="161"/>
        <v>0</v>
      </c>
      <c r="HM124" t="s">
        <v>6</v>
      </c>
      <c r="HN124" t="s">
        <v>6</v>
      </c>
      <c r="HO124" t="s">
        <v>6</v>
      </c>
      <c r="HP124" t="s">
        <v>6</v>
      </c>
      <c r="HQ124" t="s">
        <v>6</v>
      </c>
      <c r="IK124">
        <v>0</v>
      </c>
    </row>
    <row r="125" spans="1:245">
      <c r="A125">
        <v>17</v>
      </c>
      <c r="B125">
        <v>1</v>
      </c>
      <c r="E125" t="s">
        <v>266</v>
      </c>
      <c r="F125" t="s">
        <v>267</v>
      </c>
      <c r="G125" t="s">
        <v>268</v>
      </c>
      <c r="H125" t="s">
        <v>109</v>
      </c>
      <c r="I125">
        <v>0.35</v>
      </c>
      <c r="J125">
        <v>0</v>
      </c>
      <c r="K125">
        <v>0.35</v>
      </c>
      <c r="O125">
        <f t="shared" si="123"/>
        <v>527.70000000000005</v>
      </c>
      <c r="P125">
        <f t="shared" si="124"/>
        <v>527.70000000000005</v>
      </c>
      <c r="Q125">
        <f t="shared" si="125"/>
        <v>0</v>
      </c>
      <c r="R125">
        <f t="shared" si="126"/>
        <v>0</v>
      </c>
      <c r="S125">
        <f t="shared" si="127"/>
        <v>0</v>
      </c>
      <c r="T125">
        <f t="shared" si="128"/>
        <v>0</v>
      </c>
      <c r="U125">
        <f t="shared" si="129"/>
        <v>0</v>
      </c>
      <c r="V125">
        <f t="shared" si="130"/>
        <v>0</v>
      </c>
      <c r="W125">
        <f t="shared" si="131"/>
        <v>0</v>
      </c>
      <c r="X125">
        <f t="shared" si="132"/>
        <v>0</v>
      </c>
      <c r="Y125">
        <f t="shared" si="133"/>
        <v>0</v>
      </c>
      <c r="AA125">
        <v>31028412</v>
      </c>
      <c r="AB125">
        <f t="shared" si="134"/>
        <v>1507.71</v>
      </c>
      <c r="AC125">
        <f t="shared" si="135"/>
        <v>1507.71</v>
      </c>
      <c r="AD125">
        <f t="shared" si="162"/>
        <v>0</v>
      </c>
      <c r="AE125">
        <f>ROUND((EU125),6)</f>
        <v>0</v>
      </c>
      <c r="AF125">
        <f>ROUND((EV125),6)</f>
        <v>0</v>
      </c>
      <c r="AG125">
        <f t="shared" si="136"/>
        <v>0</v>
      </c>
      <c r="AH125">
        <f>(EW125)</f>
        <v>0</v>
      </c>
      <c r="AI125">
        <f>(EX125)</f>
        <v>0</v>
      </c>
      <c r="AJ125">
        <f t="shared" si="137"/>
        <v>0</v>
      </c>
      <c r="AK125">
        <v>1507.71</v>
      </c>
      <c r="AL125">
        <v>1507.71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1</v>
      </c>
      <c r="AW125">
        <v>1</v>
      </c>
      <c r="AZ125">
        <v>1</v>
      </c>
      <c r="BA125">
        <v>1</v>
      </c>
      <c r="BB125">
        <v>1</v>
      </c>
      <c r="BC125">
        <v>1</v>
      </c>
      <c r="BD125" t="s">
        <v>6</v>
      </c>
      <c r="BE125" t="s">
        <v>6</v>
      </c>
      <c r="BF125" t="s">
        <v>6</v>
      </c>
      <c r="BG125" t="s">
        <v>6</v>
      </c>
      <c r="BH125">
        <v>3</v>
      </c>
      <c r="BI125">
        <v>1</v>
      </c>
      <c r="BJ125" t="s">
        <v>269</v>
      </c>
      <c r="BM125">
        <v>500001</v>
      </c>
      <c r="BN125">
        <v>0</v>
      </c>
      <c r="BO125" t="s">
        <v>111</v>
      </c>
      <c r="BP125">
        <v>1</v>
      </c>
      <c r="BQ125">
        <v>8</v>
      </c>
      <c r="BR125">
        <v>0</v>
      </c>
      <c r="BS125">
        <v>1</v>
      </c>
      <c r="BT125">
        <v>1</v>
      </c>
      <c r="BU125">
        <v>1</v>
      </c>
      <c r="BV125">
        <v>1</v>
      </c>
      <c r="BW125">
        <v>1</v>
      </c>
      <c r="BX125">
        <v>1</v>
      </c>
      <c r="BY125" t="s">
        <v>6</v>
      </c>
      <c r="BZ125">
        <v>0</v>
      </c>
      <c r="CA125">
        <v>0</v>
      </c>
      <c r="CB125" t="s">
        <v>6</v>
      </c>
      <c r="CE125">
        <v>0</v>
      </c>
      <c r="CF125">
        <v>0</v>
      </c>
      <c r="CG125">
        <v>0</v>
      </c>
      <c r="CM125">
        <v>0</v>
      </c>
      <c r="CN125" t="s">
        <v>6</v>
      </c>
      <c r="CO125">
        <v>0</v>
      </c>
      <c r="CP125">
        <f t="shared" si="138"/>
        <v>527.70000000000005</v>
      </c>
      <c r="CQ125">
        <f t="shared" si="139"/>
        <v>1507.71</v>
      </c>
      <c r="CR125">
        <f t="shared" si="140"/>
        <v>0</v>
      </c>
      <c r="CS125">
        <f t="shared" si="141"/>
        <v>0</v>
      </c>
      <c r="CT125">
        <f t="shared" si="142"/>
        <v>0</v>
      </c>
      <c r="CU125">
        <f t="shared" si="143"/>
        <v>0</v>
      </c>
      <c r="CV125">
        <f t="shared" si="144"/>
        <v>0</v>
      </c>
      <c r="CW125">
        <f t="shared" si="145"/>
        <v>0</v>
      </c>
      <c r="CX125">
        <f t="shared" si="146"/>
        <v>0</v>
      </c>
      <c r="CY125">
        <f t="shared" si="147"/>
        <v>0</v>
      </c>
      <c r="CZ125">
        <f t="shared" si="148"/>
        <v>0</v>
      </c>
      <c r="DC125" t="s">
        <v>6</v>
      </c>
      <c r="DD125" t="s">
        <v>6</v>
      </c>
      <c r="DE125" t="s">
        <v>6</v>
      </c>
      <c r="DF125" t="s">
        <v>6</v>
      </c>
      <c r="DG125" t="s">
        <v>6</v>
      </c>
      <c r="DH125" t="s">
        <v>6</v>
      </c>
      <c r="DI125" t="s">
        <v>6</v>
      </c>
      <c r="DJ125" t="s">
        <v>6</v>
      </c>
      <c r="DK125" t="s">
        <v>6</v>
      </c>
      <c r="DL125" t="s">
        <v>6</v>
      </c>
      <c r="DM125" t="s">
        <v>6</v>
      </c>
      <c r="DN125">
        <v>0</v>
      </c>
      <c r="DO125">
        <v>0</v>
      </c>
      <c r="DP125">
        <v>1</v>
      </c>
      <c r="DQ125">
        <v>1</v>
      </c>
      <c r="DU125">
        <v>1007</v>
      </c>
      <c r="DV125" t="s">
        <v>109</v>
      </c>
      <c r="DW125" t="s">
        <v>109</v>
      </c>
      <c r="DX125">
        <v>1</v>
      </c>
      <c r="DZ125" t="s">
        <v>6</v>
      </c>
      <c r="EA125" t="s">
        <v>6</v>
      </c>
      <c r="EB125" t="s">
        <v>6</v>
      </c>
      <c r="EC125" t="s">
        <v>6</v>
      </c>
      <c r="EE125">
        <v>30852824</v>
      </c>
      <c r="EF125">
        <v>8</v>
      </c>
      <c r="EG125" t="s">
        <v>112</v>
      </c>
      <c r="EH125">
        <v>0</v>
      </c>
      <c r="EI125" t="s">
        <v>6</v>
      </c>
      <c r="EJ125">
        <v>1</v>
      </c>
      <c r="EK125">
        <v>500001</v>
      </c>
      <c r="EL125" t="s">
        <v>113</v>
      </c>
      <c r="EM125" t="s">
        <v>114</v>
      </c>
      <c r="EO125" t="s">
        <v>6</v>
      </c>
      <c r="EQ125">
        <v>0</v>
      </c>
      <c r="ER125">
        <v>1507.71</v>
      </c>
      <c r="ES125">
        <v>1507.71</v>
      </c>
      <c r="ET125">
        <v>0</v>
      </c>
      <c r="EU125">
        <v>0</v>
      </c>
      <c r="EV125">
        <v>0</v>
      </c>
      <c r="EW125">
        <v>0</v>
      </c>
      <c r="EX125">
        <v>0</v>
      </c>
      <c r="EY125">
        <v>0</v>
      </c>
      <c r="FQ125">
        <v>0</v>
      </c>
      <c r="FR125">
        <f t="shared" si="149"/>
        <v>0</v>
      </c>
      <c r="FS125">
        <v>0</v>
      </c>
      <c r="FX125">
        <v>0</v>
      </c>
      <c r="FY125">
        <v>0</v>
      </c>
      <c r="GA125" t="s">
        <v>6</v>
      </c>
      <c r="GD125">
        <v>1</v>
      </c>
      <c r="GF125">
        <v>610647451</v>
      </c>
      <c r="GG125">
        <v>2</v>
      </c>
      <c r="GH125">
        <v>1</v>
      </c>
      <c r="GI125">
        <v>4</v>
      </c>
      <c r="GJ125">
        <v>0</v>
      </c>
      <c r="GK125">
        <v>0</v>
      </c>
      <c r="GL125">
        <f t="shared" si="150"/>
        <v>0</v>
      </c>
      <c r="GM125">
        <f t="shared" si="151"/>
        <v>527.70000000000005</v>
      </c>
      <c r="GN125">
        <f t="shared" si="152"/>
        <v>527.70000000000005</v>
      </c>
      <c r="GO125">
        <f t="shared" si="153"/>
        <v>0</v>
      </c>
      <c r="GP125">
        <f t="shared" si="154"/>
        <v>0</v>
      </c>
      <c r="GR125">
        <v>0</v>
      </c>
      <c r="GS125">
        <v>3</v>
      </c>
      <c r="GT125">
        <v>0</v>
      </c>
      <c r="GU125" t="s">
        <v>6</v>
      </c>
      <c r="GV125">
        <f t="shared" si="155"/>
        <v>0</v>
      </c>
      <c r="GW125">
        <v>1</v>
      </c>
      <c r="GX125">
        <f t="shared" si="156"/>
        <v>0</v>
      </c>
      <c r="HA125">
        <v>0</v>
      </c>
      <c r="HB125">
        <v>0</v>
      </c>
      <c r="HC125">
        <f t="shared" si="157"/>
        <v>0</v>
      </c>
      <c r="HE125" t="s">
        <v>6</v>
      </c>
      <c r="HF125" t="s">
        <v>6</v>
      </c>
      <c r="HI125">
        <f t="shared" si="158"/>
        <v>0</v>
      </c>
      <c r="HJ125">
        <f t="shared" si="159"/>
        <v>0</v>
      </c>
      <c r="HK125">
        <f t="shared" si="160"/>
        <v>0</v>
      </c>
      <c r="HL125">
        <f t="shared" si="161"/>
        <v>0</v>
      </c>
      <c r="HM125" t="s">
        <v>6</v>
      </c>
      <c r="HN125" t="s">
        <v>6</v>
      </c>
      <c r="HO125" t="s">
        <v>6</v>
      </c>
      <c r="HP125" t="s">
        <v>6</v>
      </c>
      <c r="HQ125" t="s">
        <v>6</v>
      </c>
      <c r="IK125">
        <v>0</v>
      </c>
    </row>
    <row r="126" spans="1:245">
      <c r="A126">
        <v>17</v>
      </c>
      <c r="B126">
        <v>1</v>
      </c>
      <c r="C126">
        <f>ROW(SmtRes!A107)</f>
        <v>107</v>
      </c>
      <c r="D126">
        <f>ROW(EtalonRes!A128)</f>
        <v>128</v>
      </c>
      <c r="E126" t="s">
        <v>270</v>
      </c>
      <c r="F126" t="s">
        <v>271</v>
      </c>
      <c r="G126" t="s">
        <v>272</v>
      </c>
      <c r="H126" t="s">
        <v>273</v>
      </c>
      <c r="I126">
        <v>10.199999999999999</v>
      </c>
      <c r="J126">
        <v>0</v>
      </c>
      <c r="K126">
        <v>10.199999999999999</v>
      </c>
      <c r="O126">
        <f t="shared" si="123"/>
        <v>1172.1199999999999</v>
      </c>
      <c r="P126">
        <f t="shared" si="124"/>
        <v>828.55</v>
      </c>
      <c r="Q126">
        <f t="shared" si="125"/>
        <v>10.56</v>
      </c>
      <c r="R126">
        <f t="shared" si="126"/>
        <v>1.52</v>
      </c>
      <c r="S126">
        <f t="shared" si="127"/>
        <v>333.01</v>
      </c>
      <c r="T126">
        <f t="shared" si="128"/>
        <v>0</v>
      </c>
      <c r="U126">
        <f t="shared" si="129"/>
        <v>40.468499999999992</v>
      </c>
      <c r="V126">
        <f t="shared" si="130"/>
        <v>0.11729999999999999</v>
      </c>
      <c r="W126">
        <f t="shared" si="131"/>
        <v>0</v>
      </c>
      <c r="X126">
        <f t="shared" si="132"/>
        <v>307.77</v>
      </c>
      <c r="Y126">
        <f t="shared" si="133"/>
        <v>173.96</v>
      </c>
      <c r="AA126">
        <v>31028412</v>
      </c>
      <c r="AB126">
        <f t="shared" si="134"/>
        <v>114.9135</v>
      </c>
      <c r="AC126">
        <f t="shared" si="135"/>
        <v>81.23</v>
      </c>
      <c r="AD126">
        <f>ROUND(((((ET126*ROUND(1.15,7)))-((EU126*ROUND(1.15,7))))+AE126),6)</f>
        <v>1.0349999999999999</v>
      </c>
      <c r="AE126">
        <f>ROUND(((EU126*ROUND(1.15,7))),6)</f>
        <v>0.14949999999999999</v>
      </c>
      <c r="AF126">
        <f>ROUND(((EV126*ROUND(1.15,7))),6)</f>
        <v>32.648499999999999</v>
      </c>
      <c r="AG126">
        <f t="shared" si="136"/>
        <v>0</v>
      </c>
      <c r="AH126">
        <f>((EW126*ROUND(1.15,7)))</f>
        <v>3.9674999999999998</v>
      </c>
      <c r="AI126">
        <f>((EX126*ROUND(1.15,7)))</f>
        <v>1.15E-2</v>
      </c>
      <c r="AJ126">
        <f t="shared" si="137"/>
        <v>0</v>
      </c>
      <c r="AK126">
        <v>110.52</v>
      </c>
      <c r="AL126">
        <v>81.23</v>
      </c>
      <c r="AM126">
        <v>0.9</v>
      </c>
      <c r="AN126">
        <v>0.13</v>
      </c>
      <c r="AO126">
        <v>28.39</v>
      </c>
      <c r="AP126">
        <v>0</v>
      </c>
      <c r="AQ126">
        <v>3.45</v>
      </c>
      <c r="AR126">
        <v>0.01</v>
      </c>
      <c r="AS126">
        <v>0</v>
      </c>
      <c r="AT126">
        <v>92</v>
      </c>
      <c r="AU126">
        <v>52</v>
      </c>
      <c r="AV126">
        <v>1</v>
      </c>
      <c r="AW126">
        <v>1</v>
      </c>
      <c r="AZ126">
        <v>1</v>
      </c>
      <c r="BA126">
        <v>24.22</v>
      </c>
      <c r="BB126">
        <v>1</v>
      </c>
      <c r="BC126">
        <v>1</v>
      </c>
      <c r="BD126" t="s">
        <v>6</v>
      </c>
      <c r="BE126" t="s">
        <v>6</v>
      </c>
      <c r="BF126" t="s">
        <v>6</v>
      </c>
      <c r="BG126" t="s">
        <v>6</v>
      </c>
      <c r="BH126">
        <v>0</v>
      </c>
      <c r="BI126">
        <v>1</v>
      </c>
      <c r="BJ126" t="s">
        <v>274</v>
      </c>
      <c r="BM126">
        <v>53001</v>
      </c>
      <c r="BN126">
        <v>0</v>
      </c>
      <c r="BO126" t="s">
        <v>1327</v>
      </c>
      <c r="BP126">
        <v>1</v>
      </c>
      <c r="BQ126">
        <v>6</v>
      </c>
      <c r="BR126">
        <v>0</v>
      </c>
      <c r="BS126">
        <v>24.22</v>
      </c>
      <c r="BT126">
        <v>1</v>
      </c>
      <c r="BU126">
        <v>1</v>
      </c>
      <c r="BV126">
        <v>1</v>
      </c>
      <c r="BW126">
        <v>1</v>
      </c>
      <c r="BX126">
        <v>1</v>
      </c>
      <c r="BY126" t="s">
        <v>6</v>
      </c>
      <c r="BZ126">
        <v>92</v>
      </c>
      <c r="CA126">
        <v>52</v>
      </c>
      <c r="CB126" t="s">
        <v>6</v>
      </c>
      <c r="CE126">
        <v>0</v>
      </c>
      <c r="CF126">
        <v>0</v>
      </c>
      <c r="CG126">
        <v>0</v>
      </c>
      <c r="CM126">
        <v>0</v>
      </c>
      <c r="CN126" t="s">
        <v>6</v>
      </c>
      <c r="CO126">
        <v>0</v>
      </c>
      <c r="CP126">
        <f t="shared" si="138"/>
        <v>1172.1199999999999</v>
      </c>
      <c r="CQ126">
        <f t="shared" si="139"/>
        <v>81.23</v>
      </c>
      <c r="CR126">
        <f t="shared" si="140"/>
        <v>1.0349999999999999</v>
      </c>
      <c r="CS126">
        <f t="shared" si="141"/>
        <v>0.14949999999999999</v>
      </c>
      <c r="CT126">
        <f t="shared" si="142"/>
        <v>32.648499999999999</v>
      </c>
      <c r="CU126">
        <f t="shared" si="143"/>
        <v>0</v>
      </c>
      <c r="CV126">
        <f t="shared" si="144"/>
        <v>3.9674999999999998</v>
      </c>
      <c r="CW126">
        <f t="shared" si="145"/>
        <v>1.15E-2</v>
      </c>
      <c r="CX126">
        <f t="shared" si="146"/>
        <v>0</v>
      </c>
      <c r="CY126">
        <f t="shared" si="147"/>
        <v>307.76759999999996</v>
      </c>
      <c r="CZ126">
        <f t="shared" si="148"/>
        <v>173.95559999999998</v>
      </c>
      <c r="DC126" t="s">
        <v>6</v>
      </c>
      <c r="DD126" t="s">
        <v>6</v>
      </c>
      <c r="DE126" t="s">
        <v>36</v>
      </c>
      <c r="DF126" t="s">
        <v>36</v>
      </c>
      <c r="DG126" t="s">
        <v>36</v>
      </c>
      <c r="DH126" t="s">
        <v>6</v>
      </c>
      <c r="DI126" t="s">
        <v>36</v>
      </c>
      <c r="DJ126" t="s">
        <v>36</v>
      </c>
      <c r="DK126" t="s">
        <v>6</v>
      </c>
      <c r="DL126" t="s">
        <v>6</v>
      </c>
      <c r="DM126" t="s">
        <v>6</v>
      </c>
      <c r="DN126">
        <v>0</v>
      </c>
      <c r="DO126">
        <v>0</v>
      </c>
      <c r="DP126">
        <v>1</v>
      </c>
      <c r="DQ126">
        <v>1</v>
      </c>
      <c r="DU126">
        <v>1013</v>
      </c>
      <c r="DV126" t="s">
        <v>273</v>
      </c>
      <c r="DW126" t="s">
        <v>273</v>
      </c>
      <c r="DX126">
        <v>1</v>
      </c>
      <c r="DZ126" t="s">
        <v>6</v>
      </c>
      <c r="EA126" t="s">
        <v>6</v>
      </c>
      <c r="EB126" t="s">
        <v>6</v>
      </c>
      <c r="EC126" t="s">
        <v>6</v>
      </c>
      <c r="EE126">
        <v>30853005</v>
      </c>
      <c r="EF126">
        <v>6</v>
      </c>
      <c r="EG126" t="s">
        <v>37</v>
      </c>
      <c r="EH126">
        <v>0</v>
      </c>
      <c r="EI126" t="s">
        <v>6</v>
      </c>
      <c r="EJ126">
        <v>1</v>
      </c>
      <c r="EK126">
        <v>53001</v>
      </c>
      <c r="EL126" t="s">
        <v>150</v>
      </c>
      <c r="EM126" t="s">
        <v>151</v>
      </c>
      <c r="EO126" t="s">
        <v>6</v>
      </c>
      <c r="EQ126">
        <v>131072</v>
      </c>
      <c r="ER126">
        <v>110.52</v>
      </c>
      <c r="ES126">
        <v>81.23</v>
      </c>
      <c r="ET126">
        <v>0.9</v>
      </c>
      <c r="EU126">
        <v>0.13</v>
      </c>
      <c r="EV126">
        <v>28.39</v>
      </c>
      <c r="EW126">
        <v>3.45</v>
      </c>
      <c r="EX126">
        <v>0.01</v>
      </c>
      <c r="EY126">
        <v>0</v>
      </c>
      <c r="FQ126">
        <v>0</v>
      </c>
      <c r="FR126">
        <f t="shared" si="149"/>
        <v>0</v>
      </c>
      <c r="FS126">
        <v>0</v>
      </c>
      <c r="FX126">
        <v>92</v>
      </c>
      <c r="FY126">
        <v>52</v>
      </c>
      <c r="GA126" t="s">
        <v>6</v>
      </c>
      <c r="GD126">
        <v>1</v>
      </c>
      <c r="GF126">
        <v>1283856247</v>
      </c>
      <c r="GG126">
        <v>2</v>
      </c>
      <c r="GH126">
        <v>1</v>
      </c>
      <c r="GI126">
        <v>4</v>
      </c>
      <c r="GJ126">
        <v>0</v>
      </c>
      <c r="GK126">
        <v>0</v>
      </c>
      <c r="GL126">
        <f t="shared" si="150"/>
        <v>0</v>
      </c>
      <c r="GM126">
        <f t="shared" si="151"/>
        <v>1653.85</v>
      </c>
      <c r="GN126">
        <f t="shared" si="152"/>
        <v>1653.85</v>
      </c>
      <c r="GO126">
        <f t="shared" si="153"/>
        <v>0</v>
      </c>
      <c r="GP126">
        <f t="shared" si="154"/>
        <v>0</v>
      </c>
      <c r="GR126">
        <v>0</v>
      </c>
      <c r="GS126">
        <v>0</v>
      </c>
      <c r="GT126">
        <v>0</v>
      </c>
      <c r="GU126" t="s">
        <v>6</v>
      </c>
      <c r="GV126">
        <f t="shared" si="155"/>
        <v>0</v>
      </c>
      <c r="GW126">
        <v>1</v>
      </c>
      <c r="GX126">
        <f t="shared" si="156"/>
        <v>0</v>
      </c>
      <c r="HA126">
        <v>0</v>
      </c>
      <c r="HB126">
        <v>0</v>
      </c>
      <c r="HC126">
        <f t="shared" si="157"/>
        <v>0</v>
      </c>
      <c r="HE126" t="s">
        <v>6</v>
      </c>
      <c r="HF126" t="s">
        <v>6</v>
      </c>
      <c r="HI126">
        <f t="shared" si="158"/>
        <v>37</v>
      </c>
      <c r="HJ126">
        <f t="shared" si="159"/>
        <v>8066</v>
      </c>
      <c r="HK126">
        <f t="shared" si="160"/>
        <v>7455</v>
      </c>
      <c r="HL126">
        <f t="shared" si="161"/>
        <v>4214</v>
      </c>
      <c r="HM126" t="s">
        <v>6</v>
      </c>
      <c r="HN126" t="s">
        <v>6</v>
      </c>
      <c r="HO126" t="s">
        <v>6</v>
      </c>
      <c r="HP126" t="s">
        <v>6</v>
      </c>
      <c r="HQ126" t="s">
        <v>6</v>
      </c>
      <c r="IK126">
        <v>0</v>
      </c>
    </row>
    <row r="127" spans="1:245">
      <c r="A127">
        <v>17</v>
      </c>
      <c r="B127">
        <v>1</v>
      </c>
      <c r="E127" t="s">
        <v>275</v>
      </c>
      <c r="F127" t="s">
        <v>153</v>
      </c>
      <c r="G127" t="s">
        <v>154</v>
      </c>
      <c r="H127" t="s">
        <v>155</v>
      </c>
      <c r="I127">
        <f>ROUND(I126*-0.04,7)</f>
        <v>-0.40799999999999997</v>
      </c>
      <c r="J127">
        <v>0</v>
      </c>
      <c r="K127">
        <f>ROUND(I126*-0.04,7)</f>
        <v>-0.40799999999999997</v>
      </c>
      <c r="O127">
        <f t="shared" si="123"/>
        <v>-678.38</v>
      </c>
      <c r="P127">
        <f t="shared" si="124"/>
        <v>-678.38</v>
      </c>
      <c r="Q127">
        <f t="shared" si="125"/>
        <v>0</v>
      </c>
      <c r="R127">
        <f t="shared" si="126"/>
        <v>0</v>
      </c>
      <c r="S127">
        <f t="shared" si="127"/>
        <v>0</v>
      </c>
      <c r="T127">
        <f t="shared" si="128"/>
        <v>0</v>
      </c>
      <c r="U127">
        <f t="shared" si="129"/>
        <v>0</v>
      </c>
      <c r="V127">
        <f t="shared" si="130"/>
        <v>0</v>
      </c>
      <c r="W127">
        <f t="shared" si="131"/>
        <v>0</v>
      </c>
      <c r="X127">
        <f t="shared" si="132"/>
        <v>0</v>
      </c>
      <c r="Y127">
        <f t="shared" si="133"/>
        <v>0</v>
      </c>
      <c r="AA127">
        <v>31028412</v>
      </c>
      <c r="AB127">
        <f t="shared" si="134"/>
        <v>1662.7</v>
      </c>
      <c r="AC127">
        <f t="shared" si="135"/>
        <v>1662.7</v>
      </c>
      <c r="AD127">
        <f>ROUND((((ET127)-(EU127))+AE127),6)</f>
        <v>0</v>
      </c>
      <c r="AE127">
        <f>ROUND((EU127),6)</f>
        <v>0</v>
      </c>
      <c r="AF127">
        <f>ROUND((EV127),6)</f>
        <v>0</v>
      </c>
      <c r="AG127">
        <f t="shared" si="136"/>
        <v>0</v>
      </c>
      <c r="AH127">
        <f>(EW127)</f>
        <v>0</v>
      </c>
      <c r="AI127">
        <f>(EX127)</f>
        <v>0</v>
      </c>
      <c r="AJ127">
        <f t="shared" si="137"/>
        <v>0</v>
      </c>
      <c r="AK127">
        <v>1662.7</v>
      </c>
      <c r="AL127">
        <v>1662.7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1</v>
      </c>
      <c r="AW127">
        <v>1</v>
      </c>
      <c r="AZ127">
        <v>1</v>
      </c>
      <c r="BA127">
        <v>1</v>
      </c>
      <c r="BB127">
        <v>1</v>
      </c>
      <c r="BC127">
        <v>1</v>
      </c>
      <c r="BD127" t="s">
        <v>6</v>
      </c>
      <c r="BE127" t="s">
        <v>6</v>
      </c>
      <c r="BF127" t="s">
        <v>6</v>
      </c>
      <c r="BG127" t="s">
        <v>6</v>
      </c>
      <c r="BH127">
        <v>3</v>
      </c>
      <c r="BI127">
        <v>1</v>
      </c>
      <c r="BJ127" t="s">
        <v>156</v>
      </c>
      <c r="BM127">
        <v>500001</v>
      </c>
      <c r="BN127">
        <v>0</v>
      </c>
      <c r="BO127" t="s">
        <v>111</v>
      </c>
      <c r="BP127">
        <v>1</v>
      </c>
      <c r="BQ127">
        <v>8</v>
      </c>
      <c r="BR127">
        <v>1</v>
      </c>
      <c r="BS127">
        <v>1</v>
      </c>
      <c r="BT127">
        <v>1</v>
      </c>
      <c r="BU127">
        <v>1</v>
      </c>
      <c r="BV127">
        <v>1</v>
      </c>
      <c r="BW127">
        <v>1</v>
      </c>
      <c r="BX127">
        <v>1</v>
      </c>
      <c r="BY127" t="s">
        <v>6</v>
      </c>
      <c r="BZ127">
        <v>0</v>
      </c>
      <c r="CA127">
        <v>0</v>
      </c>
      <c r="CB127" t="s">
        <v>6</v>
      </c>
      <c r="CE127">
        <v>0</v>
      </c>
      <c r="CF127">
        <v>0</v>
      </c>
      <c r="CG127">
        <v>0</v>
      </c>
      <c r="CM127">
        <v>0</v>
      </c>
      <c r="CN127" t="s">
        <v>6</v>
      </c>
      <c r="CO127">
        <v>0</v>
      </c>
      <c r="CP127">
        <f t="shared" si="138"/>
        <v>-678.38</v>
      </c>
      <c r="CQ127">
        <f t="shared" si="139"/>
        <v>1662.7</v>
      </c>
      <c r="CR127">
        <f t="shared" si="140"/>
        <v>0</v>
      </c>
      <c r="CS127">
        <f t="shared" si="141"/>
        <v>0</v>
      </c>
      <c r="CT127">
        <f t="shared" si="142"/>
        <v>0</v>
      </c>
      <c r="CU127">
        <f t="shared" si="143"/>
        <v>0</v>
      </c>
      <c r="CV127">
        <f t="shared" si="144"/>
        <v>0</v>
      </c>
      <c r="CW127">
        <f t="shared" si="145"/>
        <v>0</v>
      </c>
      <c r="CX127">
        <f t="shared" si="146"/>
        <v>0</v>
      </c>
      <c r="CY127">
        <f t="shared" si="147"/>
        <v>0</v>
      </c>
      <c r="CZ127">
        <f t="shared" si="148"/>
        <v>0</v>
      </c>
      <c r="DC127" t="s">
        <v>6</v>
      </c>
      <c r="DD127" t="s">
        <v>6</v>
      </c>
      <c r="DE127" t="s">
        <v>6</v>
      </c>
      <c r="DF127" t="s">
        <v>6</v>
      </c>
      <c r="DG127" t="s">
        <v>6</v>
      </c>
      <c r="DH127" t="s">
        <v>6</v>
      </c>
      <c r="DI127" t="s">
        <v>6</v>
      </c>
      <c r="DJ127" t="s">
        <v>6</v>
      </c>
      <c r="DK127" t="s">
        <v>6</v>
      </c>
      <c r="DL127" t="s">
        <v>6</v>
      </c>
      <c r="DM127" t="s">
        <v>6</v>
      </c>
      <c r="DN127">
        <v>0</v>
      </c>
      <c r="DO127">
        <v>0</v>
      </c>
      <c r="DP127">
        <v>1</v>
      </c>
      <c r="DQ127">
        <v>1</v>
      </c>
      <c r="DU127">
        <v>1010</v>
      </c>
      <c r="DV127" t="s">
        <v>155</v>
      </c>
      <c r="DW127" t="s">
        <v>155</v>
      </c>
      <c r="DX127">
        <v>1000</v>
      </c>
      <c r="DZ127" t="s">
        <v>6</v>
      </c>
      <c r="EA127" t="s">
        <v>6</v>
      </c>
      <c r="EB127" t="s">
        <v>6</v>
      </c>
      <c r="EC127" t="s">
        <v>6</v>
      </c>
      <c r="EE127">
        <v>30852824</v>
      </c>
      <c r="EF127">
        <v>8</v>
      </c>
      <c r="EG127" t="s">
        <v>112</v>
      </c>
      <c r="EH127">
        <v>0</v>
      </c>
      <c r="EI127" t="s">
        <v>6</v>
      </c>
      <c r="EJ127">
        <v>1</v>
      </c>
      <c r="EK127">
        <v>500001</v>
      </c>
      <c r="EL127" t="s">
        <v>113</v>
      </c>
      <c r="EM127" t="s">
        <v>114</v>
      </c>
      <c r="EO127" t="s">
        <v>6</v>
      </c>
      <c r="EQ127">
        <v>32768</v>
      </c>
      <c r="ER127">
        <v>1662.7</v>
      </c>
      <c r="ES127">
        <v>1662.7</v>
      </c>
      <c r="ET127">
        <v>0</v>
      </c>
      <c r="EU127">
        <v>0</v>
      </c>
      <c r="EV127">
        <v>0</v>
      </c>
      <c r="EW127">
        <v>0</v>
      </c>
      <c r="EX127">
        <v>0</v>
      </c>
      <c r="EY127">
        <v>0</v>
      </c>
      <c r="FQ127">
        <v>0</v>
      </c>
      <c r="FR127">
        <f t="shared" si="149"/>
        <v>0</v>
      </c>
      <c r="FS127">
        <v>0</v>
      </c>
      <c r="FX127">
        <v>0</v>
      </c>
      <c r="FY127">
        <v>0</v>
      </c>
      <c r="GA127" t="s">
        <v>6</v>
      </c>
      <c r="GD127">
        <v>1</v>
      </c>
      <c r="GF127">
        <v>-1891761004</v>
      </c>
      <c r="GG127">
        <v>2</v>
      </c>
      <c r="GH127">
        <v>1</v>
      </c>
      <c r="GI127">
        <v>4</v>
      </c>
      <c r="GJ127">
        <v>0</v>
      </c>
      <c r="GK127">
        <v>0</v>
      </c>
      <c r="GL127">
        <f t="shared" si="150"/>
        <v>0</v>
      </c>
      <c r="GM127">
        <f t="shared" si="151"/>
        <v>-678.38</v>
      </c>
      <c r="GN127">
        <f t="shared" si="152"/>
        <v>-678.38</v>
      </c>
      <c r="GO127">
        <f t="shared" si="153"/>
        <v>0</v>
      </c>
      <c r="GP127">
        <f t="shared" si="154"/>
        <v>0</v>
      </c>
      <c r="GR127">
        <v>0</v>
      </c>
      <c r="GS127">
        <v>0</v>
      </c>
      <c r="GT127">
        <v>0</v>
      </c>
      <c r="GU127" t="s">
        <v>6</v>
      </c>
      <c r="GV127">
        <f t="shared" si="155"/>
        <v>0</v>
      </c>
      <c r="GW127">
        <v>1</v>
      </c>
      <c r="GX127">
        <f t="shared" si="156"/>
        <v>0</v>
      </c>
      <c r="HA127">
        <v>0</v>
      </c>
      <c r="HB127">
        <v>0</v>
      </c>
      <c r="HC127">
        <f t="shared" si="157"/>
        <v>0</v>
      </c>
      <c r="HE127" t="s">
        <v>6</v>
      </c>
      <c r="HF127" t="s">
        <v>6</v>
      </c>
      <c r="HI127">
        <f t="shared" si="158"/>
        <v>0</v>
      </c>
      <c r="HJ127">
        <f t="shared" si="159"/>
        <v>0</v>
      </c>
      <c r="HK127">
        <f t="shared" si="160"/>
        <v>0</v>
      </c>
      <c r="HL127">
        <f t="shared" si="161"/>
        <v>0</v>
      </c>
      <c r="HM127" t="s">
        <v>6</v>
      </c>
      <c r="HN127" t="s">
        <v>6</v>
      </c>
      <c r="HO127" t="s">
        <v>6</v>
      </c>
      <c r="HP127" t="s">
        <v>6</v>
      </c>
      <c r="HQ127" t="s">
        <v>6</v>
      </c>
      <c r="IK127">
        <v>0</v>
      </c>
    </row>
    <row r="128" spans="1:245">
      <c r="A128">
        <v>17</v>
      </c>
      <c r="B128">
        <v>1</v>
      </c>
      <c r="E128" t="s">
        <v>276</v>
      </c>
      <c r="F128" t="s">
        <v>162</v>
      </c>
      <c r="G128" t="s">
        <v>163</v>
      </c>
      <c r="H128" t="s">
        <v>155</v>
      </c>
      <c r="I128">
        <f>ROUND((408)/1000,7)</f>
        <v>0.40799999999999997</v>
      </c>
      <c r="J128">
        <v>0</v>
      </c>
      <c r="K128">
        <f>ROUND((408)/1000,7)</f>
        <v>0.40799999999999997</v>
      </c>
      <c r="O128">
        <f t="shared" si="123"/>
        <v>780.31</v>
      </c>
      <c r="P128">
        <f t="shared" si="124"/>
        <v>780.31</v>
      </c>
      <c r="Q128">
        <f t="shared" si="125"/>
        <v>0</v>
      </c>
      <c r="R128">
        <f t="shared" si="126"/>
        <v>0</v>
      </c>
      <c r="S128">
        <f t="shared" si="127"/>
        <v>0</v>
      </c>
      <c r="T128">
        <f t="shared" si="128"/>
        <v>0</v>
      </c>
      <c r="U128">
        <f t="shared" si="129"/>
        <v>0</v>
      </c>
      <c r="V128">
        <f t="shared" si="130"/>
        <v>0</v>
      </c>
      <c r="W128">
        <f t="shared" si="131"/>
        <v>0</v>
      </c>
      <c r="X128">
        <f t="shared" si="132"/>
        <v>0</v>
      </c>
      <c r="Y128">
        <f t="shared" si="133"/>
        <v>0</v>
      </c>
      <c r="AA128">
        <v>31028412</v>
      </c>
      <c r="AB128">
        <f t="shared" si="134"/>
        <v>1912.53</v>
      </c>
      <c r="AC128">
        <f t="shared" si="135"/>
        <v>1912.53</v>
      </c>
      <c r="AD128">
        <f>ROUND((((ET128)-(EU128))+AE128),6)</f>
        <v>0</v>
      </c>
      <c r="AE128">
        <f>ROUND((EU128),6)</f>
        <v>0</v>
      </c>
      <c r="AF128">
        <f>ROUND((EV128),6)</f>
        <v>0</v>
      </c>
      <c r="AG128">
        <f t="shared" si="136"/>
        <v>0</v>
      </c>
      <c r="AH128">
        <f>(EW128)</f>
        <v>0</v>
      </c>
      <c r="AI128">
        <f>(EX128)</f>
        <v>0</v>
      </c>
      <c r="AJ128">
        <f t="shared" si="137"/>
        <v>0</v>
      </c>
      <c r="AK128">
        <v>1912.53</v>
      </c>
      <c r="AL128">
        <v>1912.53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1</v>
      </c>
      <c r="AW128">
        <v>1</v>
      </c>
      <c r="AZ128">
        <v>1</v>
      </c>
      <c r="BA128">
        <v>1</v>
      </c>
      <c r="BB128">
        <v>1</v>
      </c>
      <c r="BC128">
        <v>1</v>
      </c>
      <c r="BD128" t="s">
        <v>6</v>
      </c>
      <c r="BE128" t="s">
        <v>6</v>
      </c>
      <c r="BF128" t="s">
        <v>6</v>
      </c>
      <c r="BG128" t="s">
        <v>6</v>
      </c>
      <c r="BH128">
        <v>3</v>
      </c>
      <c r="BI128">
        <v>1</v>
      </c>
      <c r="BJ128" t="s">
        <v>164</v>
      </c>
      <c r="BM128">
        <v>500001</v>
      </c>
      <c r="BN128">
        <v>0</v>
      </c>
      <c r="BO128" t="s">
        <v>111</v>
      </c>
      <c r="BP128">
        <v>1</v>
      </c>
      <c r="BQ128">
        <v>8</v>
      </c>
      <c r="BR128">
        <v>0</v>
      </c>
      <c r="BS128">
        <v>1</v>
      </c>
      <c r="BT128">
        <v>1</v>
      </c>
      <c r="BU128">
        <v>1</v>
      </c>
      <c r="BV128">
        <v>1</v>
      </c>
      <c r="BW128">
        <v>1</v>
      </c>
      <c r="BX128">
        <v>1</v>
      </c>
      <c r="BY128" t="s">
        <v>6</v>
      </c>
      <c r="BZ128">
        <v>0</v>
      </c>
      <c r="CA128">
        <v>0</v>
      </c>
      <c r="CB128" t="s">
        <v>6</v>
      </c>
      <c r="CE128">
        <v>0</v>
      </c>
      <c r="CF128">
        <v>0</v>
      </c>
      <c r="CG128">
        <v>0</v>
      </c>
      <c r="CM128">
        <v>0</v>
      </c>
      <c r="CN128" t="s">
        <v>6</v>
      </c>
      <c r="CO128">
        <v>0</v>
      </c>
      <c r="CP128">
        <f t="shared" si="138"/>
        <v>780.31</v>
      </c>
      <c r="CQ128">
        <f t="shared" si="139"/>
        <v>1912.53</v>
      </c>
      <c r="CR128">
        <f t="shared" si="140"/>
        <v>0</v>
      </c>
      <c r="CS128">
        <f t="shared" si="141"/>
        <v>0</v>
      </c>
      <c r="CT128">
        <f t="shared" si="142"/>
        <v>0</v>
      </c>
      <c r="CU128">
        <f t="shared" si="143"/>
        <v>0</v>
      </c>
      <c r="CV128">
        <f t="shared" si="144"/>
        <v>0</v>
      </c>
      <c r="CW128">
        <f t="shared" si="145"/>
        <v>0</v>
      </c>
      <c r="CX128">
        <f t="shared" si="146"/>
        <v>0</v>
      </c>
      <c r="CY128">
        <f t="shared" si="147"/>
        <v>0</v>
      </c>
      <c r="CZ128">
        <f t="shared" si="148"/>
        <v>0</v>
      </c>
      <c r="DC128" t="s">
        <v>6</v>
      </c>
      <c r="DD128" t="s">
        <v>6</v>
      </c>
      <c r="DE128" t="s">
        <v>6</v>
      </c>
      <c r="DF128" t="s">
        <v>6</v>
      </c>
      <c r="DG128" t="s">
        <v>6</v>
      </c>
      <c r="DH128" t="s">
        <v>6</v>
      </c>
      <c r="DI128" t="s">
        <v>6</v>
      </c>
      <c r="DJ128" t="s">
        <v>6</v>
      </c>
      <c r="DK128" t="s">
        <v>6</v>
      </c>
      <c r="DL128" t="s">
        <v>6</v>
      </c>
      <c r="DM128" t="s">
        <v>6</v>
      </c>
      <c r="DN128">
        <v>0</v>
      </c>
      <c r="DO128">
        <v>0</v>
      </c>
      <c r="DP128">
        <v>1</v>
      </c>
      <c r="DQ128">
        <v>1</v>
      </c>
      <c r="DU128">
        <v>1010</v>
      </c>
      <c r="DV128" t="s">
        <v>155</v>
      </c>
      <c r="DW128" t="s">
        <v>155</v>
      </c>
      <c r="DX128">
        <v>1000</v>
      </c>
      <c r="DZ128" t="s">
        <v>6</v>
      </c>
      <c r="EA128" t="s">
        <v>6</v>
      </c>
      <c r="EB128" t="s">
        <v>6</v>
      </c>
      <c r="EC128" t="s">
        <v>6</v>
      </c>
      <c r="EE128">
        <v>30852824</v>
      </c>
      <c r="EF128">
        <v>8</v>
      </c>
      <c r="EG128" t="s">
        <v>112</v>
      </c>
      <c r="EH128">
        <v>0</v>
      </c>
      <c r="EI128" t="s">
        <v>6</v>
      </c>
      <c r="EJ128">
        <v>1</v>
      </c>
      <c r="EK128">
        <v>500001</v>
      </c>
      <c r="EL128" t="s">
        <v>113</v>
      </c>
      <c r="EM128" t="s">
        <v>114</v>
      </c>
      <c r="EO128" t="s">
        <v>6</v>
      </c>
      <c r="EQ128">
        <v>0</v>
      </c>
      <c r="ER128">
        <v>1912.53</v>
      </c>
      <c r="ES128">
        <v>1912.53</v>
      </c>
      <c r="ET128">
        <v>0</v>
      </c>
      <c r="EU128">
        <v>0</v>
      </c>
      <c r="EV128">
        <v>0</v>
      </c>
      <c r="EW128">
        <v>0</v>
      </c>
      <c r="EX128">
        <v>0</v>
      </c>
      <c r="EY128">
        <v>0</v>
      </c>
      <c r="FQ128">
        <v>0</v>
      </c>
      <c r="FR128">
        <f t="shared" si="149"/>
        <v>0</v>
      </c>
      <c r="FS128">
        <v>0</v>
      </c>
      <c r="FX128">
        <v>0</v>
      </c>
      <c r="FY128">
        <v>0</v>
      </c>
      <c r="GA128" t="s">
        <v>6</v>
      </c>
      <c r="GD128">
        <v>1</v>
      </c>
      <c r="GF128">
        <v>-1674372488</v>
      </c>
      <c r="GG128">
        <v>2</v>
      </c>
      <c r="GH128">
        <v>1</v>
      </c>
      <c r="GI128">
        <v>4</v>
      </c>
      <c r="GJ128">
        <v>0</v>
      </c>
      <c r="GK128">
        <v>0</v>
      </c>
      <c r="GL128">
        <f t="shared" si="150"/>
        <v>0</v>
      </c>
      <c r="GM128">
        <f t="shared" si="151"/>
        <v>780.31</v>
      </c>
      <c r="GN128">
        <f t="shared" si="152"/>
        <v>780.31</v>
      </c>
      <c r="GO128">
        <f t="shared" si="153"/>
        <v>0</v>
      </c>
      <c r="GP128">
        <f t="shared" si="154"/>
        <v>0</v>
      </c>
      <c r="GR128">
        <v>0</v>
      </c>
      <c r="GS128">
        <v>3</v>
      </c>
      <c r="GT128">
        <v>0</v>
      </c>
      <c r="GU128" t="s">
        <v>6</v>
      </c>
      <c r="GV128">
        <f t="shared" si="155"/>
        <v>0</v>
      </c>
      <c r="GW128">
        <v>1</v>
      </c>
      <c r="GX128">
        <f t="shared" si="156"/>
        <v>0</v>
      </c>
      <c r="HA128">
        <v>0</v>
      </c>
      <c r="HB128">
        <v>0</v>
      </c>
      <c r="HC128">
        <f t="shared" si="157"/>
        <v>0</v>
      </c>
      <c r="HE128" t="s">
        <v>6</v>
      </c>
      <c r="HF128" t="s">
        <v>6</v>
      </c>
      <c r="HI128">
        <f t="shared" si="158"/>
        <v>0</v>
      </c>
      <c r="HJ128">
        <f t="shared" si="159"/>
        <v>0</v>
      </c>
      <c r="HK128">
        <f t="shared" si="160"/>
        <v>0</v>
      </c>
      <c r="HL128">
        <f t="shared" si="161"/>
        <v>0</v>
      </c>
      <c r="HM128" t="s">
        <v>6</v>
      </c>
      <c r="HN128" t="s">
        <v>6</v>
      </c>
      <c r="HO128" t="s">
        <v>6</v>
      </c>
      <c r="HP128" t="s">
        <v>6</v>
      </c>
      <c r="HQ128" t="s">
        <v>6</v>
      </c>
      <c r="IK128">
        <v>0</v>
      </c>
    </row>
    <row r="129" spans="1:245">
      <c r="A129">
        <v>17</v>
      </c>
      <c r="B129">
        <v>1</v>
      </c>
      <c r="C129">
        <f>ROW(SmtRes!A123)</f>
        <v>123</v>
      </c>
      <c r="D129">
        <f>ROW(EtalonRes!A145)</f>
        <v>145</v>
      </c>
      <c r="E129" t="s">
        <v>277</v>
      </c>
      <c r="F129" t="s">
        <v>278</v>
      </c>
      <c r="G129" t="s">
        <v>279</v>
      </c>
      <c r="H129" t="s">
        <v>22</v>
      </c>
      <c r="I129">
        <f>ROUND(3.4/100,7)</f>
        <v>3.4000000000000002E-2</v>
      </c>
      <c r="J129">
        <v>0</v>
      </c>
      <c r="K129">
        <f>ROUND(3.4/100,7)</f>
        <v>3.4000000000000002E-2</v>
      </c>
      <c r="O129">
        <f t="shared" si="123"/>
        <v>1753.06</v>
      </c>
      <c r="P129">
        <f t="shared" si="124"/>
        <v>1594.75</v>
      </c>
      <c r="Q129">
        <f t="shared" si="125"/>
        <v>54.41</v>
      </c>
      <c r="R129">
        <f t="shared" si="126"/>
        <v>5.03</v>
      </c>
      <c r="S129">
        <f t="shared" si="127"/>
        <v>103.9</v>
      </c>
      <c r="T129">
        <f t="shared" si="128"/>
        <v>0</v>
      </c>
      <c r="U129">
        <f t="shared" si="129"/>
        <v>12.15179125</v>
      </c>
      <c r="V129">
        <f t="shared" si="130"/>
        <v>0.38611250000000008</v>
      </c>
      <c r="W129">
        <f t="shared" si="131"/>
        <v>0</v>
      </c>
      <c r="X129">
        <f t="shared" si="132"/>
        <v>105.88</v>
      </c>
      <c r="Y129">
        <f t="shared" si="133"/>
        <v>50.92</v>
      </c>
      <c r="AA129">
        <v>31028412</v>
      </c>
      <c r="AB129">
        <f t="shared" si="134"/>
        <v>51560.511400000003</v>
      </c>
      <c r="AC129">
        <f t="shared" si="135"/>
        <v>46904.35</v>
      </c>
      <c r="AD129">
        <f>ROUND(((((ET129*ROUND((1.25*1.15),7)))-((EU129*ROUND((1.25*1.15),7))))+AE129),6)</f>
        <v>1600.34</v>
      </c>
      <c r="AE129">
        <f>ROUND(((EU129*ROUND((1.25*1.15),7))),6)</f>
        <v>147.97624999999999</v>
      </c>
      <c r="AF129">
        <f>ROUND(((EV129*ROUND((1.15*1.15),7))),6)</f>
        <v>3055.8213999999998</v>
      </c>
      <c r="AG129">
        <f t="shared" si="136"/>
        <v>0</v>
      </c>
      <c r="AH129">
        <f>((EW129*ROUND((1.15*1.15),7)))</f>
        <v>357.40562499999999</v>
      </c>
      <c r="AI129">
        <f>((EX129*ROUND((1.25*1.15),7)))</f>
        <v>11.356250000000001</v>
      </c>
      <c r="AJ129">
        <f t="shared" si="137"/>
        <v>0</v>
      </c>
      <c r="AK129">
        <v>50328.27</v>
      </c>
      <c r="AL129">
        <v>46904.35</v>
      </c>
      <c r="AM129">
        <v>1113.28</v>
      </c>
      <c r="AN129">
        <v>102.94</v>
      </c>
      <c r="AO129">
        <v>2310.64</v>
      </c>
      <c r="AP129">
        <v>0</v>
      </c>
      <c r="AQ129">
        <v>270.25</v>
      </c>
      <c r="AR129">
        <v>7.9</v>
      </c>
      <c r="AS129">
        <v>0</v>
      </c>
      <c r="AT129">
        <v>97.2</v>
      </c>
      <c r="AU129">
        <v>46.75</v>
      </c>
      <c r="AV129">
        <v>1</v>
      </c>
      <c r="AW129">
        <v>1</v>
      </c>
      <c r="AZ129">
        <v>1</v>
      </c>
      <c r="BA129">
        <v>24.22</v>
      </c>
      <c r="BB129">
        <v>1</v>
      </c>
      <c r="BC129">
        <v>1</v>
      </c>
      <c r="BD129" t="s">
        <v>6</v>
      </c>
      <c r="BE129" t="s">
        <v>6</v>
      </c>
      <c r="BF129" t="s">
        <v>6</v>
      </c>
      <c r="BG129" t="s">
        <v>6</v>
      </c>
      <c r="BH129">
        <v>0</v>
      </c>
      <c r="BI129">
        <v>1</v>
      </c>
      <c r="BJ129" t="s">
        <v>280</v>
      </c>
      <c r="BM129">
        <v>10001</v>
      </c>
      <c r="BN129">
        <v>0</v>
      </c>
      <c r="BO129" t="s">
        <v>1327</v>
      </c>
      <c r="BP129">
        <v>1</v>
      </c>
      <c r="BQ129">
        <v>2</v>
      </c>
      <c r="BR129">
        <v>0</v>
      </c>
      <c r="BS129">
        <v>24.22</v>
      </c>
      <c r="BT129">
        <v>1</v>
      </c>
      <c r="BU129">
        <v>1</v>
      </c>
      <c r="BV129">
        <v>1</v>
      </c>
      <c r="BW129">
        <v>1</v>
      </c>
      <c r="BX129">
        <v>1</v>
      </c>
      <c r="BY129" t="s">
        <v>6</v>
      </c>
      <c r="BZ129">
        <v>108</v>
      </c>
      <c r="CA129">
        <v>55</v>
      </c>
      <c r="CB129" t="s">
        <v>6</v>
      </c>
      <c r="CE129">
        <v>0</v>
      </c>
      <c r="CF129">
        <v>0</v>
      </c>
      <c r="CG129">
        <v>0</v>
      </c>
      <c r="CM129">
        <v>0</v>
      </c>
      <c r="CN129" t="s">
        <v>6</v>
      </c>
      <c r="CO129">
        <v>0</v>
      </c>
      <c r="CP129">
        <f t="shared" si="138"/>
        <v>1753.0600000000002</v>
      </c>
      <c r="CQ129">
        <f t="shared" si="139"/>
        <v>46904.35</v>
      </c>
      <c r="CR129">
        <f t="shared" si="140"/>
        <v>1600.34</v>
      </c>
      <c r="CS129">
        <f t="shared" si="141"/>
        <v>147.97624999999999</v>
      </c>
      <c r="CT129">
        <f t="shared" si="142"/>
        <v>3055.8213999999998</v>
      </c>
      <c r="CU129">
        <f t="shared" si="143"/>
        <v>0</v>
      </c>
      <c r="CV129">
        <f t="shared" si="144"/>
        <v>357.40562499999999</v>
      </c>
      <c r="CW129">
        <f t="shared" si="145"/>
        <v>11.356250000000001</v>
      </c>
      <c r="CX129">
        <f t="shared" si="146"/>
        <v>0</v>
      </c>
      <c r="CY129">
        <f t="shared" si="147"/>
        <v>105.87996000000001</v>
      </c>
      <c r="CZ129">
        <f t="shared" si="148"/>
        <v>50.924774999999997</v>
      </c>
      <c r="DC129" t="s">
        <v>6</v>
      </c>
      <c r="DD129" t="s">
        <v>6</v>
      </c>
      <c r="DE129" t="s">
        <v>126</v>
      </c>
      <c r="DF129" t="s">
        <v>126</v>
      </c>
      <c r="DG129" t="s">
        <v>127</v>
      </c>
      <c r="DH129" t="s">
        <v>6</v>
      </c>
      <c r="DI129" t="s">
        <v>127</v>
      </c>
      <c r="DJ129" t="s">
        <v>126</v>
      </c>
      <c r="DK129" t="s">
        <v>6</v>
      </c>
      <c r="DL129" t="s">
        <v>6</v>
      </c>
      <c r="DM129" t="s">
        <v>6</v>
      </c>
      <c r="DN129">
        <v>0</v>
      </c>
      <c r="DO129">
        <v>0</v>
      </c>
      <c r="DP129">
        <v>1</v>
      </c>
      <c r="DQ129">
        <v>1</v>
      </c>
      <c r="DU129">
        <v>1013</v>
      </c>
      <c r="DV129" t="s">
        <v>22</v>
      </c>
      <c r="DW129" t="s">
        <v>22</v>
      </c>
      <c r="DX129">
        <v>1</v>
      </c>
      <c r="DZ129" t="s">
        <v>6</v>
      </c>
      <c r="EA129" t="s">
        <v>6</v>
      </c>
      <c r="EB129" t="s">
        <v>6</v>
      </c>
      <c r="EC129" t="s">
        <v>6</v>
      </c>
      <c r="EE129">
        <v>30852905</v>
      </c>
      <c r="EF129">
        <v>2</v>
      </c>
      <c r="EG129" t="s">
        <v>26</v>
      </c>
      <c r="EH129">
        <v>0</v>
      </c>
      <c r="EI129" t="s">
        <v>6</v>
      </c>
      <c r="EJ129">
        <v>1</v>
      </c>
      <c r="EK129">
        <v>10001</v>
      </c>
      <c r="EL129" t="s">
        <v>27</v>
      </c>
      <c r="EM129" t="s">
        <v>28</v>
      </c>
      <c r="EO129" t="s">
        <v>6</v>
      </c>
      <c r="EQ129">
        <v>131072</v>
      </c>
      <c r="ER129">
        <v>50328.27</v>
      </c>
      <c r="ES129">
        <v>46904.35</v>
      </c>
      <c r="ET129">
        <v>1113.28</v>
      </c>
      <c r="EU129">
        <v>102.94</v>
      </c>
      <c r="EV129">
        <v>2310.64</v>
      </c>
      <c r="EW129">
        <v>270.25</v>
      </c>
      <c r="EX129">
        <v>7.9</v>
      </c>
      <c r="EY129">
        <v>0</v>
      </c>
      <c r="FQ129">
        <v>0</v>
      </c>
      <c r="FR129">
        <f t="shared" si="149"/>
        <v>0</v>
      </c>
      <c r="FS129">
        <v>0</v>
      </c>
      <c r="FT129" t="s">
        <v>29</v>
      </c>
      <c r="FU129" t="s">
        <v>30</v>
      </c>
      <c r="FX129">
        <v>97.2</v>
      </c>
      <c r="FY129">
        <v>46.75</v>
      </c>
      <c r="GA129" t="s">
        <v>6</v>
      </c>
      <c r="GD129">
        <v>1</v>
      </c>
      <c r="GF129">
        <v>855016349</v>
      </c>
      <c r="GG129">
        <v>2</v>
      </c>
      <c r="GH129">
        <v>1</v>
      </c>
      <c r="GI129">
        <v>4</v>
      </c>
      <c r="GJ129">
        <v>0</v>
      </c>
      <c r="GK129">
        <v>0</v>
      </c>
      <c r="GL129">
        <f t="shared" si="150"/>
        <v>0</v>
      </c>
      <c r="GM129">
        <f t="shared" si="151"/>
        <v>1909.86</v>
      </c>
      <c r="GN129">
        <f t="shared" si="152"/>
        <v>1909.86</v>
      </c>
      <c r="GO129">
        <f t="shared" si="153"/>
        <v>0</v>
      </c>
      <c r="GP129">
        <f t="shared" si="154"/>
        <v>0</v>
      </c>
      <c r="GR129">
        <v>0</v>
      </c>
      <c r="GS129">
        <v>0</v>
      </c>
      <c r="GT129">
        <v>0</v>
      </c>
      <c r="GU129" t="s">
        <v>6</v>
      </c>
      <c r="GV129">
        <f t="shared" si="155"/>
        <v>0</v>
      </c>
      <c r="GW129">
        <v>1</v>
      </c>
      <c r="GX129">
        <f t="shared" si="156"/>
        <v>0</v>
      </c>
      <c r="HA129">
        <v>0</v>
      </c>
      <c r="HB129">
        <v>0</v>
      </c>
      <c r="HC129">
        <f t="shared" si="157"/>
        <v>0</v>
      </c>
      <c r="HE129" t="s">
        <v>6</v>
      </c>
      <c r="HF129" t="s">
        <v>6</v>
      </c>
      <c r="HI129">
        <f t="shared" si="158"/>
        <v>122</v>
      </c>
      <c r="HJ129">
        <f t="shared" si="159"/>
        <v>2516</v>
      </c>
      <c r="HK129">
        <f t="shared" si="160"/>
        <v>2564</v>
      </c>
      <c r="HL129">
        <f t="shared" si="161"/>
        <v>1233</v>
      </c>
      <c r="HM129" t="s">
        <v>6</v>
      </c>
      <c r="HN129" t="s">
        <v>6</v>
      </c>
      <c r="HO129" t="s">
        <v>6</v>
      </c>
      <c r="HP129" t="s">
        <v>6</v>
      </c>
      <c r="HQ129" t="s">
        <v>6</v>
      </c>
      <c r="IK129">
        <v>0</v>
      </c>
    </row>
    <row r="130" spans="1:245">
      <c r="A130">
        <v>17</v>
      </c>
      <c r="B130">
        <v>1</v>
      </c>
      <c r="E130" t="s">
        <v>281</v>
      </c>
      <c r="F130" t="s">
        <v>282</v>
      </c>
      <c r="G130" t="s">
        <v>283</v>
      </c>
      <c r="H130" t="s">
        <v>284</v>
      </c>
      <c r="I130">
        <f>ROUND(I129*-100,7)</f>
        <v>-3.4</v>
      </c>
      <c r="J130">
        <v>0</v>
      </c>
      <c r="K130">
        <f>ROUND(I129*-100,7)</f>
        <v>-3.4</v>
      </c>
      <c r="O130">
        <f t="shared" si="123"/>
        <v>-1412.6</v>
      </c>
      <c r="P130">
        <f t="shared" si="124"/>
        <v>-1412.6</v>
      </c>
      <c r="Q130">
        <f t="shared" si="125"/>
        <v>0</v>
      </c>
      <c r="R130">
        <f t="shared" si="126"/>
        <v>0</v>
      </c>
      <c r="S130">
        <f t="shared" si="127"/>
        <v>0</v>
      </c>
      <c r="T130">
        <f t="shared" si="128"/>
        <v>0</v>
      </c>
      <c r="U130">
        <f t="shared" si="129"/>
        <v>0</v>
      </c>
      <c r="V130">
        <f t="shared" si="130"/>
        <v>0</v>
      </c>
      <c r="W130">
        <f t="shared" si="131"/>
        <v>0</v>
      </c>
      <c r="X130">
        <f t="shared" si="132"/>
        <v>0</v>
      </c>
      <c r="Y130">
        <f t="shared" si="133"/>
        <v>0</v>
      </c>
      <c r="AA130">
        <v>31028412</v>
      </c>
      <c r="AB130">
        <f t="shared" si="134"/>
        <v>415.47</v>
      </c>
      <c r="AC130">
        <f t="shared" si="135"/>
        <v>415.47</v>
      </c>
      <c r="AD130">
        <f>ROUND((((ET130)-(EU130))+AE130),6)</f>
        <v>0</v>
      </c>
      <c r="AE130">
        <f t="shared" ref="AE130:AF132" si="165">ROUND((EU130),6)</f>
        <v>0</v>
      </c>
      <c r="AF130">
        <f t="shared" si="165"/>
        <v>0</v>
      </c>
      <c r="AG130">
        <f t="shared" si="136"/>
        <v>0</v>
      </c>
      <c r="AH130">
        <f t="shared" ref="AH130:AI132" si="166">(EW130)</f>
        <v>0</v>
      </c>
      <c r="AI130">
        <f t="shared" si="166"/>
        <v>0</v>
      </c>
      <c r="AJ130">
        <f t="shared" si="137"/>
        <v>0</v>
      </c>
      <c r="AK130">
        <v>415.47</v>
      </c>
      <c r="AL130">
        <v>415.47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1</v>
      </c>
      <c r="AW130">
        <v>1</v>
      </c>
      <c r="AZ130">
        <v>1</v>
      </c>
      <c r="BA130">
        <v>1</v>
      </c>
      <c r="BB130">
        <v>1</v>
      </c>
      <c r="BC130">
        <v>1</v>
      </c>
      <c r="BD130" t="s">
        <v>6</v>
      </c>
      <c r="BE130" t="s">
        <v>6</v>
      </c>
      <c r="BF130" t="s">
        <v>6</v>
      </c>
      <c r="BG130" t="s">
        <v>6</v>
      </c>
      <c r="BH130">
        <v>3</v>
      </c>
      <c r="BI130">
        <v>1</v>
      </c>
      <c r="BJ130" t="s">
        <v>285</v>
      </c>
      <c r="BM130">
        <v>500001</v>
      </c>
      <c r="BN130">
        <v>0</v>
      </c>
      <c r="BO130" t="s">
        <v>111</v>
      </c>
      <c r="BP130">
        <v>1</v>
      </c>
      <c r="BQ130">
        <v>8</v>
      </c>
      <c r="BR130">
        <v>1</v>
      </c>
      <c r="BS130">
        <v>1</v>
      </c>
      <c r="BT130">
        <v>1</v>
      </c>
      <c r="BU130">
        <v>1</v>
      </c>
      <c r="BV130">
        <v>1</v>
      </c>
      <c r="BW130">
        <v>1</v>
      </c>
      <c r="BX130">
        <v>1</v>
      </c>
      <c r="BY130" t="s">
        <v>6</v>
      </c>
      <c r="BZ130">
        <v>0</v>
      </c>
      <c r="CA130">
        <v>0</v>
      </c>
      <c r="CB130" t="s">
        <v>6</v>
      </c>
      <c r="CE130">
        <v>0</v>
      </c>
      <c r="CF130">
        <v>0</v>
      </c>
      <c r="CG130">
        <v>0</v>
      </c>
      <c r="CM130">
        <v>0</v>
      </c>
      <c r="CN130" t="s">
        <v>6</v>
      </c>
      <c r="CO130">
        <v>0</v>
      </c>
      <c r="CP130">
        <f t="shared" si="138"/>
        <v>-1412.6</v>
      </c>
      <c r="CQ130">
        <f t="shared" si="139"/>
        <v>415.47</v>
      </c>
      <c r="CR130">
        <f t="shared" si="140"/>
        <v>0</v>
      </c>
      <c r="CS130">
        <f t="shared" si="141"/>
        <v>0</v>
      </c>
      <c r="CT130">
        <f t="shared" si="142"/>
        <v>0</v>
      </c>
      <c r="CU130">
        <f t="shared" si="143"/>
        <v>0</v>
      </c>
      <c r="CV130">
        <f t="shared" si="144"/>
        <v>0</v>
      </c>
      <c r="CW130">
        <f t="shared" si="145"/>
        <v>0</v>
      </c>
      <c r="CX130">
        <f t="shared" si="146"/>
        <v>0</v>
      </c>
      <c r="CY130">
        <f t="shared" si="147"/>
        <v>0</v>
      </c>
      <c r="CZ130">
        <f t="shared" si="148"/>
        <v>0</v>
      </c>
      <c r="DC130" t="s">
        <v>6</v>
      </c>
      <c r="DD130" t="s">
        <v>6</v>
      </c>
      <c r="DE130" t="s">
        <v>6</v>
      </c>
      <c r="DF130" t="s">
        <v>6</v>
      </c>
      <c r="DG130" t="s">
        <v>6</v>
      </c>
      <c r="DH130" t="s">
        <v>6</v>
      </c>
      <c r="DI130" t="s">
        <v>6</v>
      </c>
      <c r="DJ130" t="s">
        <v>6</v>
      </c>
      <c r="DK130" t="s">
        <v>6</v>
      </c>
      <c r="DL130" t="s">
        <v>6</v>
      </c>
      <c r="DM130" t="s">
        <v>6</v>
      </c>
      <c r="DN130">
        <v>0</v>
      </c>
      <c r="DO130">
        <v>0</v>
      </c>
      <c r="DP130">
        <v>1</v>
      </c>
      <c r="DQ130">
        <v>1</v>
      </c>
      <c r="DU130">
        <v>1005</v>
      </c>
      <c r="DV130" t="s">
        <v>284</v>
      </c>
      <c r="DW130" t="s">
        <v>284</v>
      </c>
      <c r="DX130">
        <v>1</v>
      </c>
      <c r="DZ130" t="s">
        <v>6</v>
      </c>
      <c r="EA130" t="s">
        <v>6</v>
      </c>
      <c r="EB130" t="s">
        <v>6</v>
      </c>
      <c r="EC130" t="s">
        <v>6</v>
      </c>
      <c r="EE130">
        <v>30852824</v>
      </c>
      <c r="EF130">
        <v>8</v>
      </c>
      <c r="EG130" t="s">
        <v>112</v>
      </c>
      <c r="EH130">
        <v>0</v>
      </c>
      <c r="EI130" t="s">
        <v>6</v>
      </c>
      <c r="EJ130">
        <v>1</v>
      </c>
      <c r="EK130">
        <v>500001</v>
      </c>
      <c r="EL130" t="s">
        <v>113</v>
      </c>
      <c r="EM130" t="s">
        <v>114</v>
      </c>
      <c r="EO130" t="s">
        <v>6</v>
      </c>
      <c r="EQ130">
        <v>32768</v>
      </c>
      <c r="ER130">
        <v>415.47</v>
      </c>
      <c r="ES130">
        <v>415.47</v>
      </c>
      <c r="ET130">
        <v>0</v>
      </c>
      <c r="EU130">
        <v>0</v>
      </c>
      <c r="EV130">
        <v>0</v>
      </c>
      <c r="EW130">
        <v>0</v>
      </c>
      <c r="EX130">
        <v>0</v>
      </c>
      <c r="EY130">
        <v>0</v>
      </c>
      <c r="FQ130">
        <v>0</v>
      </c>
      <c r="FR130">
        <f t="shared" si="149"/>
        <v>0</v>
      </c>
      <c r="FS130">
        <v>0</v>
      </c>
      <c r="FX130">
        <v>0</v>
      </c>
      <c r="FY130">
        <v>0</v>
      </c>
      <c r="GA130" t="s">
        <v>6</v>
      </c>
      <c r="GD130">
        <v>1</v>
      </c>
      <c r="GF130">
        <v>283430101</v>
      </c>
      <c r="GG130">
        <v>2</v>
      </c>
      <c r="GH130">
        <v>1</v>
      </c>
      <c r="GI130">
        <v>4</v>
      </c>
      <c r="GJ130">
        <v>0</v>
      </c>
      <c r="GK130">
        <v>0</v>
      </c>
      <c r="GL130">
        <f t="shared" si="150"/>
        <v>0</v>
      </c>
      <c r="GM130">
        <f t="shared" si="151"/>
        <v>-1412.6</v>
      </c>
      <c r="GN130">
        <f t="shared" si="152"/>
        <v>-1412.6</v>
      </c>
      <c r="GO130">
        <f t="shared" si="153"/>
        <v>0</v>
      </c>
      <c r="GP130">
        <f t="shared" si="154"/>
        <v>0</v>
      </c>
      <c r="GR130">
        <v>0</v>
      </c>
      <c r="GS130">
        <v>0</v>
      </c>
      <c r="GT130">
        <v>0</v>
      </c>
      <c r="GU130" t="s">
        <v>6</v>
      </c>
      <c r="GV130">
        <f t="shared" si="155"/>
        <v>0</v>
      </c>
      <c r="GW130">
        <v>1</v>
      </c>
      <c r="GX130">
        <f t="shared" si="156"/>
        <v>0</v>
      </c>
      <c r="HA130">
        <v>0</v>
      </c>
      <c r="HB130">
        <v>0</v>
      </c>
      <c r="HC130">
        <f t="shared" si="157"/>
        <v>0</v>
      </c>
      <c r="HE130" t="s">
        <v>6</v>
      </c>
      <c r="HF130" t="s">
        <v>6</v>
      </c>
      <c r="HI130">
        <f t="shared" si="158"/>
        <v>0</v>
      </c>
      <c r="HJ130">
        <f t="shared" si="159"/>
        <v>0</v>
      </c>
      <c r="HK130">
        <f t="shared" si="160"/>
        <v>0</v>
      </c>
      <c r="HL130">
        <f t="shared" si="161"/>
        <v>0</v>
      </c>
      <c r="HM130" t="s">
        <v>6</v>
      </c>
      <c r="HN130" t="s">
        <v>6</v>
      </c>
      <c r="HO130" t="s">
        <v>6</v>
      </c>
      <c r="HP130" t="s">
        <v>6</v>
      </c>
      <c r="HQ130" t="s">
        <v>6</v>
      </c>
      <c r="IK130">
        <v>0</v>
      </c>
    </row>
    <row r="131" spans="1:245">
      <c r="A131">
        <v>17</v>
      </c>
      <c r="B131">
        <v>1</v>
      </c>
      <c r="E131" t="s">
        <v>286</v>
      </c>
      <c r="F131" t="s">
        <v>287</v>
      </c>
      <c r="G131" t="s">
        <v>288</v>
      </c>
      <c r="H131" t="s">
        <v>284</v>
      </c>
      <c r="I131">
        <v>3.4</v>
      </c>
      <c r="J131">
        <v>0</v>
      </c>
      <c r="K131">
        <v>3.4</v>
      </c>
      <c r="O131">
        <f t="shared" si="123"/>
        <v>23590.6</v>
      </c>
      <c r="P131">
        <f>ROUND(ROUND(CQ131*I131,0)/BC131,2)</f>
        <v>23590.6</v>
      </c>
      <c r="Q131">
        <f t="shared" si="125"/>
        <v>0</v>
      </c>
      <c r="R131">
        <f t="shared" si="126"/>
        <v>0</v>
      </c>
      <c r="S131">
        <f t="shared" si="127"/>
        <v>0</v>
      </c>
      <c r="T131">
        <f t="shared" si="128"/>
        <v>0</v>
      </c>
      <c r="U131">
        <f t="shared" si="129"/>
        <v>0</v>
      </c>
      <c r="V131">
        <f t="shared" si="130"/>
        <v>0</v>
      </c>
      <c r="W131">
        <f t="shared" si="131"/>
        <v>0</v>
      </c>
      <c r="X131">
        <f t="shared" si="132"/>
        <v>0</v>
      </c>
      <c r="Y131">
        <f t="shared" si="133"/>
        <v>0</v>
      </c>
      <c r="AA131">
        <v>31028412</v>
      </c>
      <c r="AB131">
        <f t="shared" si="134"/>
        <v>42810</v>
      </c>
      <c r="AC131">
        <f t="shared" si="135"/>
        <v>42810</v>
      </c>
      <c r="AD131">
        <f>ROUND((((ET131)-(EU131))+AE131),6)</f>
        <v>0</v>
      </c>
      <c r="AE131">
        <f t="shared" si="165"/>
        <v>0</v>
      </c>
      <c r="AF131">
        <f t="shared" si="165"/>
        <v>0</v>
      </c>
      <c r="AG131">
        <f t="shared" si="136"/>
        <v>0</v>
      </c>
      <c r="AH131">
        <f t="shared" si="166"/>
        <v>0</v>
      </c>
      <c r="AI131">
        <f t="shared" si="166"/>
        <v>0</v>
      </c>
      <c r="AJ131">
        <f t="shared" si="137"/>
        <v>0</v>
      </c>
      <c r="AK131">
        <v>42810</v>
      </c>
      <c r="AL131">
        <v>42810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1</v>
      </c>
      <c r="AW131">
        <v>1</v>
      </c>
      <c r="AZ131">
        <v>1</v>
      </c>
      <c r="BA131">
        <v>1</v>
      </c>
      <c r="BB131">
        <v>1</v>
      </c>
      <c r="BC131">
        <v>6.17</v>
      </c>
      <c r="BD131" t="s">
        <v>6</v>
      </c>
      <c r="BE131" t="s">
        <v>6</v>
      </c>
      <c r="BF131" t="s">
        <v>6</v>
      </c>
      <c r="BG131" t="s">
        <v>6</v>
      </c>
      <c r="BH131">
        <v>3</v>
      </c>
      <c r="BI131">
        <v>1</v>
      </c>
      <c r="BJ131" t="s">
        <v>6</v>
      </c>
      <c r="BM131">
        <v>1100</v>
      </c>
      <c r="BN131">
        <v>0</v>
      </c>
      <c r="BO131" t="s">
        <v>111</v>
      </c>
      <c r="BP131">
        <v>1</v>
      </c>
      <c r="BQ131">
        <v>8</v>
      </c>
      <c r="BR131">
        <v>0</v>
      </c>
      <c r="BS131">
        <v>1</v>
      </c>
      <c r="BT131">
        <v>1</v>
      </c>
      <c r="BU131">
        <v>1</v>
      </c>
      <c r="BV131">
        <v>1</v>
      </c>
      <c r="BW131">
        <v>1</v>
      </c>
      <c r="BX131">
        <v>1</v>
      </c>
      <c r="BY131" t="s">
        <v>6</v>
      </c>
      <c r="BZ131">
        <v>0</v>
      </c>
      <c r="CA131">
        <v>0</v>
      </c>
      <c r="CB131" t="s">
        <v>6</v>
      </c>
      <c r="CE131">
        <v>0</v>
      </c>
      <c r="CF131">
        <v>0</v>
      </c>
      <c r="CG131">
        <v>0</v>
      </c>
      <c r="CM131">
        <v>0</v>
      </c>
      <c r="CN131" t="s">
        <v>6</v>
      </c>
      <c r="CO131">
        <v>0</v>
      </c>
      <c r="CP131">
        <f t="shared" si="138"/>
        <v>23590.6</v>
      </c>
      <c r="CQ131">
        <f>AC131</f>
        <v>42810</v>
      </c>
      <c r="CR131">
        <f t="shared" si="140"/>
        <v>0</v>
      </c>
      <c r="CS131">
        <f t="shared" si="141"/>
        <v>0</v>
      </c>
      <c r="CT131">
        <f t="shared" si="142"/>
        <v>0</v>
      </c>
      <c r="CU131">
        <f t="shared" si="143"/>
        <v>0</v>
      </c>
      <c r="CV131">
        <f t="shared" si="144"/>
        <v>0</v>
      </c>
      <c r="CW131">
        <f t="shared" si="145"/>
        <v>0</v>
      </c>
      <c r="CX131">
        <f t="shared" si="146"/>
        <v>0</v>
      </c>
      <c r="CY131">
        <f t="shared" si="147"/>
        <v>0</v>
      </c>
      <c r="CZ131">
        <f t="shared" si="148"/>
        <v>0</v>
      </c>
      <c r="DC131" t="s">
        <v>6</v>
      </c>
      <c r="DD131" t="s">
        <v>6</v>
      </c>
      <c r="DE131" t="s">
        <v>6</v>
      </c>
      <c r="DF131" t="s">
        <v>6</v>
      </c>
      <c r="DG131" t="s">
        <v>6</v>
      </c>
      <c r="DH131" t="s">
        <v>6</v>
      </c>
      <c r="DI131" t="s">
        <v>6</v>
      </c>
      <c r="DJ131" t="s">
        <v>6</v>
      </c>
      <c r="DK131" t="s">
        <v>6</v>
      </c>
      <c r="DL131" t="s">
        <v>6</v>
      </c>
      <c r="DM131" t="s">
        <v>6</v>
      </c>
      <c r="DN131">
        <v>0</v>
      </c>
      <c r="DO131">
        <v>0</v>
      </c>
      <c r="DP131">
        <v>1</v>
      </c>
      <c r="DQ131">
        <v>1</v>
      </c>
      <c r="DU131">
        <v>1005</v>
      </c>
      <c r="DV131" t="s">
        <v>284</v>
      </c>
      <c r="DW131" t="s">
        <v>284</v>
      </c>
      <c r="DX131">
        <v>1</v>
      </c>
      <c r="DZ131" t="s">
        <v>6</v>
      </c>
      <c r="EA131" t="s">
        <v>6</v>
      </c>
      <c r="EB131" t="s">
        <v>6</v>
      </c>
      <c r="EC131" t="s">
        <v>6</v>
      </c>
      <c r="EE131">
        <v>30853118</v>
      </c>
      <c r="EF131">
        <v>8</v>
      </c>
      <c r="EG131" t="s">
        <v>112</v>
      </c>
      <c r="EH131">
        <v>0</v>
      </c>
      <c r="EI131" t="s">
        <v>6</v>
      </c>
      <c r="EJ131">
        <v>1</v>
      </c>
      <c r="EK131">
        <v>1100</v>
      </c>
      <c r="EL131" t="s">
        <v>119</v>
      </c>
      <c r="EM131" t="s">
        <v>120</v>
      </c>
      <c r="EO131" t="s">
        <v>6</v>
      </c>
      <c r="EQ131">
        <v>0</v>
      </c>
      <c r="ER131">
        <v>42810</v>
      </c>
      <c r="ES131">
        <v>42810</v>
      </c>
      <c r="ET131">
        <v>0</v>
      </c>
      <c r="EU131">
        <v>0</v>
      </c>
      <c r="EV131">
        <v>0</v>
      </c>
      <c r="EW131">
        <v>0</v>
      </c>
      <c r="EX131">
        <v>0</v>
      </c>
      <c r="EY131">
        <v>0</v>
      </c>
      <c r="EZ131">
        <v>5</v>
      </c>
      <c r="FC131">
        <v>0</v>
      </c>
      <c r="FD131">
        <v>18</v>
      </c>
      <c r="FF131">
        <v>42810</v>
      </c>
      <c r="FQ131">
        <v>0</v>
      </c>
      <c r="FR131">
        <f t="shared" si="149"/>
        <v>0</v>
      </c>
      <c r="FS131">
        <v>0</v>
      </c>
      <c r="FX131">
        <v>0</v>
      </c>
      <c r="FY131">
        <v>0</v>
      </c>
      <c r="GA131" t="s">
        <v>6</v>
      </c>
      <c r="GD131">
        <v>1</v>
      </c>
      <c r="GF131">
        <v>121289876</v>
      </c>
      <c r="GG131">
        <v>2</v>
      </c>
      <c r="GH131">
        <v>3</v>
      </c>
      <c r="GI131">
        <v>4</v>
      </c>
      <c r="GJ131">
        <v>0</v>
      </c>
      <c r="GK131">
        <v>0</v>
      </c>
      <c r="GL131">
        <f t="shared" si="150"/>
        <v>0</v>
      </c>
      <c r="GM131">
        <f t="shared" si="151"/>
        <v>23590.6</v>
      </c>
      <c r="GN131">
        <f t="shared" si="152"/>
        <v>23590.6</v>
      </c>
      <c r="GO131">
        <f t="shared" si="153"/>
        <v>0</v>
      </c>
      <c r="GP131">
        <f t="shared" si="154"/>
        <v>0</v>
      </c>
      <c r="GR131">
        <v>1</v>
      </c>
      <c r="GS131">
        <v>1</v>
      </c>
      <c r="GT131">
        <v>0</v>
      </c>
      <c r="GU131" t="s">
        <v>6</v>
      </c>
      <c r="GV131">
        <f t="shared" si="155"/>
        <v>0</v>
      </c>
      <c r="GW131">
        <v>1</v>
      </c>
      <c r="GX131">
        <f t="shared" si="156"/>
        <v>0</v>
      </c>
      <c r="HA131">
        <v>0</v>
      </c>
      <c r="HB131">
        <v>0</v>
      </c>
      <c r="HC131">
        <f t="shared" si="157"/>
        <v>0</v>
      </c>
      <c r="HE131" t="s">
        <v>6</v>
      </c>
      <c r="HF131" t="s">
        <v>6</v>
      </c>
      <c r="HG131">
        <f>ROUND(AC131*I131,0)</f>
        <v>145554</v>
      </c>
      <c r="HI131">
        <f t="shared" si="158"/>
        <v>0</v>
      </c>
      <c r="HJ131">
        <f t="shared" si="159"/>
        <v>0</v>
      </c>
      <c r="HK131">
        <f t="shared" si="160"/>
        <v>0</v>
      </c>
      <c r="HL131">
        <f t="shared" si="161"/>
        <v>0</v>
      </c>
      <c r="HM131" t="s">
        <v>6</v>
      </c>
      <c r="HN131" t="s">
        <v>6</v>
      </c>
      <c r="HO131" t="s">
        <v>6</v>
      </c>
      <c r="HP131" t="s">
        <v>6</v>
      </c>
      <c r="HQ131" t="s">
        <v>6</v>
      </c>
      <c r="IK131">
        <v>0</v>
      </c>
    </row>
    <row r="132" spans="1:245">
      <c r="A132">
        <v>17</v>
      </c>
      <c r="B132">
        <v>1</v>
      </c>
      <c r="E132" t="s">
        <v>289</v>
      </c>
      <c r="F132" t="s">
        <v>290</v>
      </c>
      <c r="G132" t="s">
        <v>291</v>
      </c>
      <c r="H132" t="s">
        <v>292</v>
      </c>
      <c r="I132">
        <v>4</v>
      </c>
      <c r="J132">
        <v>0</v>
      </c>
      <c r="K132">
        <v>4</v>
      </c>
      <c r="O132">
        <f t="shared" si="123"/>
        <v>80.680000000000007</v>
      </c>
      <c r="P132">
        <f>ROUND(CQ132*I132,2)</f>
        <v>80.680000000000007</v>
      </c>
      <c r="Q132">
        <f t="shared" si="125"/>
        <v>0</v>
      </c>
      <c r="R132">
        <f t="shared" si="126"/>
        <v>0</v>
      </c>
      <c r="S132">
        <f t="shared" si="127"/>
        <v>0</v>
      </c>
      <c r="T132">
        <f t="shared" si="128"/>
        <v>0</v>
      </c>
      <c r="U132">
        <f t="shared" si="129"/>
        <v>0</v>
      </c>
      <c r="V132">
        <f t="shared" si="130"/>
        <v>0</v>
      </c>
      <c r="W132">
        <f t="shared" si="131"/>
        <v>0</v>
      </c>
      <c r="X132">
        <f t="shared" si="132"/>
        <v>0</v>
      </c>
      <c r="Y132">
        <f t="shared" si="133"/>
        <v>0</v>
      </c>
      <c r="AA132">
        <v>31028412</v>
      </c>
      <c r="AB132">
        <f t="shared" si="134"/>
        <v>20.170000000000002</v>
      </c>
      <c r="AC132">
        <f t="shared" si="135"/>
        <v>20.170000000000002</v>
      </c>
      <c r="AD132">
        <f>ROUND((((ET132)-(EU132))+AE132),6)</f>
        <v>0</v>
      </c>
      <c r="AE132">
        <f t="shared" si="165"/>
        <v>0</v>
      </c>
      <c r="AF132">
        <f t="shared" si="165"/>
        <v>0</v>
      </c>
      <c r="AG132">
        <f t="shared" si="136"/>
        <v>0</v>
      </c>
      <c r="AH132">
        <f t="shared" si="166"/>
        <v>0</v>
      </c>
      <c r="AI132">
        <f t="shared" si="166"/>
        <v>0</v>
      </c>
      <c r="AJ132">
        <f t="shared" si="137"/>
        <v>0</v>
      </c>
      <c r="AK132">
        <v>20.170000000000002</v>
      </c>
      <c r="AL132">
        <v>20.170000000000002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1</v>
      </c>
      <c r="AW132">
        <v>1</v>
      </c>
      <c r="AZ132">
        <v>1</v>
      </c>
      <c r="BA132">
        <v>1</v>
      </c>
      <c r="BB132">
        <v>1</v>
      </c>
      <c r="BC132">
        <v>1</v>
      </c>
      <c r="BD132" t="s">
        <v>6</v>
      </c>
      <c r="BE132" t="s">
        <v>6</v>
      </c>
      <c r="BF132" t="s">
        <v>6</v>
      </c>
      <c r="BG132" t="s">
        <v>6</v>
      </c>
      <c r="BH132">
        <v>3</v>
      </c>
      <c r="BI132">
        <v>1</v>
      </c>
      <c r="BJ132" t="s">
        <v>293</v>
      </c>
      <c r="BM132">
        <v>500001</v>
      </c>
      <c r="BN132">
        <v>0</v>
      </c>
      <c r="BO132" t="s">
        <v>111</v>
      </c>
      <c r="BP132">
        <v>1</v>
      </c>
      <c r="BQ132">
        <v>8</v>
      </c>
      <c r="BR132">
        <v>0</v>
      </c>
      <c r="BS132">
        <v>1</v>
      </c>
      <c r="BT132">
        <v>1</v>
      </c>
      <c r="BU132">
        <v>1</v>
      </c>
      <c r="BV132">
        <v>1</v>
      </c>
      <c r="BW132">
        <v>1</v>
      </c>
      <c r="BX132">
        <v>1</v>
      </c>
      <c r="BY132" t="s">
        <v>6</v>
      </c>
      <c r="BZ132">
        <v>0</v>
      </c>
      <c r="CA132">
        <v>0</v>
      </c>
      <c r="CB132" t="s">
        <v>6</v>
      </c>
      <c r="CE132">
        <v>0</v>
      </c>
      <c r="CF132">
        <v>0</v>
      </c>
      <c r="CG132">
        <v>0</v>
      </c>
      <c r="CM132">
        <v>0</v>
      </c>
      <c r="CN132" t="s">
        <v>6</v>
      </c>
      <c r="CO132">
        <v>0</v>
      </c>
      <c r="CP132">
        <f t="shared" si="138"/>
        <v>80.680000000000007</v>
      </c>
      <c r="CQ132">
        <f>AC132*BC132</f>
        <v>20.170000000000002</v>
      </c>
      <c r="CR132">
        <f t="shared" si="140"/>
        <v>0</v>
      </c>
      <c r="CS132">
        <f t="shared" si="141"/>
        <v>0</v>
      </c>
      <c r="CT132">
        <f t="shared" si="142"/>
        <v>0</v>
      </c>
      <c r="CU132">
        <f t="shared" si="143"/>
        <v>0</v>
      </c>
      <c r="CV132">
        <f t="shared" si="144"/>
        <v>0</v>
      </c>
      <c r="CW132">
        <f t="shared" si="145"/>
        <v>0</v>
      </c>
      <c r="CX132">
        <f t="shared" si="146"/>
        <v>0</v>
      </c>
      <c r="CY132">
        <f t="shared" si="147"/>
        <v>0</v>
      </c>
      <c r="CZ132">
        <f t="shared" si="148"/>
        <v>0</v>
      </c>
      <c r="DC132" t="s">
        <v>6</v>
      </c>
      <c r="DD132" t="s">
        <v>6</v>
      </c>
      <c r="DE132" t="s">
        <v>6</v>
      </c>
      <c r="DF132" t="s">
        <v>6</v>
      </c>
      <c r="DG132" t="s">
        <v>6</v>
      </c>
      <c r="DH132" t="s">
        <v>6</v>
      </c>
      <c r="DI132" t="s">
        <v>6</v>
      </c>
      <c r="DJ132" t="s">
        <v>6</v>
      </c>
      <c r="DK132" t="s">
        <v>6</v>
      </c>
      <c r="DL132" t="s">
        <v>6</v>
      </c>
      <c r="DM132" t="s">
        <v>6</v>
      </c>
      <c r="DN132">
        <v>0</v>
      </c>
      <c r="DO132">
        <v>0</v>
      </c>
      <c r="DP132">
        <v>1</v>
      </c>
      <c r="DQ132">
        <v>1</v>
      </c>
      <c r="DU132">
        <v>1013</v>
      </c>
      <c r="DV132" t="s">
        <v>292</v>
      </c>
      <c r="DW132" t="s">
        <v>292</v>
      </c>
      <c r="DX132">
        <v>1</v>
      </c>
      <c r="DZ132" t="s">
        <v>6</v>
      </c>
      <c r="EA132" t="s">
        <v>6</v>
      </c>
      <c r="EB132" t="s">
        <v>6</v>
      </c>
      <c r="EC132" t="s">
        <v>6</v>
      </c>
      <c r="EE132">
        <v>30852824</v>
      </c>
      <c r="EF132">
        <v>8</v>
      </c>
      <c r="EG132" t="s">
        <v>112</v>
      </c>
      <c r="EH132">
        <v>0</v>
      </c>
      <c r="EI132" t="s">
        <v>6</v>
      </c>
      <c r="EJ132">
        <v>1</v>
      </c>
      <c r="EK132">
        <v>500001</v>
      </c>
      <c r="EL132" t="s">
        <v>113</v>
      </c>
      <c r="EM132" t="s">
        <v>114</v>
      </c>
      <c r="EO132" t="s">
        <v>6</v>
      </c>
      <c r="EQ132">
        <v>131072</v>
      </c>
      <c r="ER132">
        <v>20.170000000000002</v>
      </c>
      <c r="ES132">
        <v>20.170000000000002</v>
      </c>
      <c r="ET132">
        <v>0</v>
      </c>
      <c r="EU132">
        <v>0</v>
      </c>
      <c r="EV132">
        <v>0</v>
      </c>
      <c r="EW132">
        <v>0</v>
      </c>
      <c r="EX132">
        <v>0</v>
      </c>
      <c r="EY132">
        <v>0</v>
      </c>
      <c r="FQ132">
        <v>0</v>
      </c>
      <c r="FR132">
        <f t="shared" si="149"/>
        <v>0</v>
      </c>
      <c r="FS132">
        <v>0</v>
      </c>
      <c r="FX132">
        <v>0</v>
      </c>
      <c r="FY132">
        <v>0</v>
      </c>
      <c r="GA132" t="s">
        <v>6</v>
      </c>
      <c r="GD132">
        <v>1</v>
      </c>
      <c r="GF132">
        <v>9776588</v>
      </c>
      <c r="GG132">
        <v>2</v>
      </c>
      <c r="GH132">
        <v>1</v>
      </c>
      <c r="GI132">
        <v>4</v>
      </c>
      <c r="GJ132">
        <v>0</v>
      </c>
      <c r="GK132">
        <v>0</v>
      </c>
      <c r="GL132">
        <f t="shared" si="150"/>
        <v>0</v>
      </c>
      <c r="GM132">
        <f t="shared" si="151"/>
        <v>80.680000000000007</v>
      </c>
      <c r="GN132">
        <f t="shared" si="152"/>
        <v>80.680000000000007</v>
      </c>
      <c r="GO132">
        <f t="shared" si="153"/>
        <v>0</v>
      </c>
      <c r="GP132">
        <f t="shared" si="154"/>
        <v>0</v>
      </c>
      <c r="GR132">
        <v>0</v>
      </c>
      <c r="GS132">
        <v>0</v>
      </c>
      <c r="GT132">
        <v>0</v>
      </c>
      <c r="GU132" t="s">
        <v>6</v>
      </c>
      <c r="GV132">
        <f t="shared" si="155"/>
        <v>0</v>
      </c>
      <c r="GW132">
        <v>1</v>
      </c>
      <c r="GX132">
        <f t="shared" si="156"/>
        <v>0</v>
      </c>
      <c r="HA132">
        <v>0</v>
      </c>
      <c r="HB132">
        <v>0</v>
      </c>
      <c r="HC132">
        <f t="shared" si="157"/>
        <v>0</v>
      </c>
      <c r="HE132" t="s">
        <v>6</v>
      </c>
      <c r="HF132" t="s">
        <v>6</v>
      </c>
      <c r="HI132">
        <f t="shared" si="158"/>
        <v>0</v>
      </c>
      <c r="HJ132">
        <f t="shared" si="159"/>
        <v>0</v>
      </c>
      <c r="HK132">
        <f t="shared" si="160"/>
        <v>0</v>
      </c>
      <c r="HL132">
        <f t="shared" si="161"/>
        <v>0</v>
      </c>
      <c r="HM132" t="s">
        <v>6</v>
      </c>
      <c r="HN132" t="s">
        <v>6</v>
      </c>
      <c r="HO132" t="s">
        <v>6</v>
      </c>
      <c r="HP132" t="s">
        <v>6</v>
      </c>
      <c r="HQ132" t="s">
        <v>6</v>
      </c>
      <c r="IK132">
        <v>0</v>
      </c>
    </row>
    <row r="133" spans="1:245">
      <c r="A133">
        <v>17</v>
      </c>
      <c r="B133">
        <v>1</v>
      </c>
      <c r="C133">
        <f>ROW(SmtRes!A139)</f>
        <v>139</v>
      </c>
      <c r="D133">
        <f>ROW(EtalonRes!A162)</f>
        <v>162</v>
      </c>
      <c r="E133" t="s">
        <v>294</v>
      </c>
      <c r="F133" t="s">
        <v>20</v>
      </c>
      <c r="G133" t="s">
        <v>295</v>
      </c>
      <c r="H133" t="s">
        <v>22</v>
      </c>
      <c r="I133">
        <f>ROUND(59.88/100,7)</f>
        <v>0.5988</v>
      </c>
      <c r="J133">
        <v>0</v>
      </c>
      <c r="K133">
        <f>ROUND(59.88/100,7)</f>
        <v>0.5988</v>
      </c>
      <c r="O133">
        <f t="shared" si="123"/>
        <v>29094.27</v>
      </c>
      <c r="P133">
        <f>ROUND(CQ133*I133,2)</f>
        <v>27095.98</v>
      </c>
      <c r="Q133">
        <f t="shared" si="125"/>
        <v>763.29</v>
      </c>
      <c r="R133">
        <f t="shared" si="126"/>
        <v>67.63</v>
      </c>
      <c r="S133">
        <f t="shared" si="127"/>
        <v>1235</v>
      </c>
      <c r="T133">
        <f t="shared" si="128"/>
        <v>0</v>
      </c>
      <c r="U133">
        <f t="shared" si="129"/>
        <v>144.44493120000001</v>
      </c>
      <c r="V133">
        <f t="shared" si="130"/>
        <v>5.1904732500000001</v>
      </c>
      <c r="W133">
        <f t="shared" si="131"/>
        <v>0</v>
      </c>
      <c r="X133">
        <f t="shared" si="132"/>
        <v>1266.1600000000001</v>
      </c>
      <c r="Y133">
        <f t="shared" si="133"/>
        <v>608.98</v>
      </c>
      <c r="AA133">
        <v>31028412</v>
      </c>
      <c r="AB133">
        <f t="shared" si="134"/>
        <v>48587.628324999998</v>
      </c>
      <c r="AC133">
        <f t="shared" si="135"/>
        <v>45250.46</v>
      </c>
      <c r="AD133">
        <f>ROUND(((((ET133*ROUND((1.25*1.15),7)))-((EU133*ROUND((1.25*1.15),7))))+AE133),6)</f>
        <v>1274.703125</v>
      </c>
      <c r="AE133">
        <f>ROUND(((EU133*ROUND((1.25*1.15),7))),6)</f>
        <v>112.94437499999999</v>
      </c>
      <c r="AF133">
        <f>ROUND(((EV133*ROUND((1.15*1.15),7))),6)</f>
        <v>2062.4652000000001</v>
      </c>
      <c r="AG133">
        <f t="shared" si="136"/>
        <v>0</v>
      </c>
      <c r="AH133">
        <f>((EW133*ROUND((1.15*1.15),7)))</f>
        <v>241.22400000000002</v>
      </c>
      <c r="AI133">
        <f>((EX133*ROUND((1.25*1.15),7)))</f>
        <v>8.6681249999999999</v>
      </c>
      <c r="AJ133">
        <f t="shared" si="137"/>
        <v>0</v>
      </c>
      <c r="AK133">
        <v>47696.73</v>
      </c>
      <c r="AL133">
        <v>45250.46</v>
      </c>
      <c r="AM133">
        <v>886.75</v>
      </c>
      <c r="AN133">
        <v>78.569999999999993</v>
      </c>
      <c r="AO133">
        <v>1559.52</v>
      </c>
      <c r="AP133">
        <v>0</v>
      </c>
      <c r="AQ133">
        <v>182.4</v>
      </c>
      <c r="AR133">
        <v>6.03</v>
      </c>
      <c r="AS133">
        <v>0</v>
      </c>
      <c r="AT133">
        <v>97.2</v>
      </c>
      <c r="AU133">
        <v>46.75</v>
      </c>
      <c r="AV133">
        <v>1</v>
      </c>
      <c r="AW133">
        <v>1</v>
      </c>
      <c r="AZ133">
        <v>1</v>
      </c>
      <c r="BA133">
        <v>24.22</v>
      </c>
      <c r="BB133">
        <v>1</v>
      </c>
      <c r="BC133">
        <v>1</v>
      </c>
      <c r="BD133" t="s">
        <v>6</v>
      </c>
      <c r="BE133" t="s">
        <v>6</v>
      </c>
      <c r="BF133" t="s">
        <v>6</v>
      </c>
      <c r="BG133" t="s">
        <v>6</v>
      </c>
      <c r="BH133">
        <v>0</v>
      </c>
      <c r="BI133">
        <v>1</v>
      </c>
      <c r="BJ133" t="s">
        <v>23</v>
      </c>
      <c r="BM133">
        <v>10001</v>
      </c>
      <c r="BN133">
        <v>0</v>
      </c>
      <c r="BO133" t="s">
        <v>1327</v>
      </c>
      <c r="BP133">
        <v>1</v>
      </c>
      <c r="BQ133">
        <v>2</v>
      </c>
      <c r="BR133">
        <v>0</v>
      </c>
      <c r="BS133">
        <v>24.22</v>
      </c>
      <c r="BT133">
        <v>1</v>
      </c>
      <c r="BU133">
        <v>1</v>
      </c>
      <c r="BV133">
        <v>1</v>
      </c>
      <c r="BW133">
        <v>1</v>
      </c>
      <c r="BX133">
        <v>1</v>
      </c>
      <c r="BY133" t="s">
        <v>6</v>
      </c>
      <c r="BZ133">
        <v>108</v>
      </c>
      <c r="CA133">
        <v>55</v>
      </c>
      <c r="CB133" t="s">
        <v>6</v>
      </c>
      <c r="CE133">
        <v>0</v>
      </c>
      <c r="CF133">
        <v>0</v>
      </c>
      <c r="CG133">
        <v>0</v>
      </c>
      <c r="CM133">
        <v>0</v>
      </c>
      <c r="CN133" t="s">
        <v>6</v>
      </c>
      <c r="CO133">
        <v>0</v>
      </c>
      <c r="CP133">
        <f t="shared" si="138"/>
        <v>29094.27</v>
      </c>
      <c r="CQ133">
        <f>AC133*BC133</f>
        <v>45250.46</v>
      </c>
      <c r="CR133">
        <f t="shared" si="140"/>
        <v>1274.703125</v>
      </c>
      <c r="CS133">
        <f t="shared" si="141"/>
        <v>112.94437499999999</v>
      </c>
      <c r="CT133">
        <f t="shared" si="142"/>
        <v>2062.4652000000001</v>
      </c>
      <c r="CU133">
        <f t="shared" si="143"/>
        <v>0</v>
      </c>
      <c r="CV133">
        <f t="shared" si="144"/>
        <v>241.22400000000002</v>
      </c>
      <c r="CW133">
        <f t="shared" si="145"/>
        <v>8.6681249999999999</v>
      </c>
      <c r="CX133">
        <f t="shared" si="146"/>
        <v>0</v>
      </c>
      <c r="CY133">
        <f t="shared" si="147"/>
        <v>1266.1563600000002</v>
      </c>
      <c r="CZ133">
        <f t="shared" si="148"/>
        <v>608.97952500000008</v>
      </c>
      <c r="DC133" t="s">
        <v>6</v>
      </c>
      <c r="DD133" t="s">
        <v>6</v>
      </c>
      <c r="DE133" t="s">
        <v>126</v>
      </c>
      <c r="DF133" t="s">
        <v>126</v>
      </c>
      <c r="DG133" t="s">
        <v>127</v>
      </c>
      <c r="DH133" t="s">
        <v>6</v>
      </c>
      <c r="DI133" t="s">
        <v>127</v>
      </c>
      <c r="DJ133" t="s">
        <v>126</v>
      </c>
      <c r="DK133" t="s">
        <v>6</v>
      </c>
      <c r="DL133" t="s">
        <v>6</v>
      </c>
      <c r="DM133" t="s">
        <v>6</v>
      </c>
      <c r="DN133">
        <v>0</v>
      </c>
      <c r="DO133">
        <v>0</v>
      </c>
      <c r="DP133">
        <v>1</v>
      </c>
      <c r="DQ133">
        <v>1</v>
      </c>
      <c r="DU133">
        <v>1013</v>
      </c>
      <c r="DV133" t="s">
        <v>22</v>
      </c>
      <c r="DW133" t="s">
        <v>22</v>
      </c>
      <c r="DX133">
        <v>1</v>
      </c>
      <c r="DZ133" t="s">
        <v>6</v>
      </c>
      <c r="EA133" t="s">
        <v>6</v>
      </c>
      <c r="EB133" t="s">
        <v>6</v>
      </c>
      <c r="EC133" t="s">
        <v>6</v>
      </c>
      <c r="EE133">
        <v>30852905</v>
      </c>
      <c r="EF133">
        <v>2</v>
      </c>
      <c r="EG133" t="s">
        <v>26</v>
      </c>
      <c r="EH133">
        <v>0</v>
      </c>
      <c r="EI133" t="s">
        <v>6</v>
      </c>
      <c r="EJ133">
        <v>1</v>
      </c>
      <c r="EK133">
        <v>10001</v>
      </c>
      <c r="EL133" t="s">
        <v>27</v>
      </c>
      <c r="EM133" t="s">
        <v>28</v>
      </c>
      <c r="EO133" t="s">
        <v>6</v>
      </c>
      <c r="EQ133">
        <v>131072</v>
      </c>
      <c r="ER133">
        <v>47696.73</v>
      </c>
      <c r="ES133">
        <v>45250.46</v>
      </c>
      <c r="ET133">
        <v>886.75</v>
      </c>
      <c r="EU133">
        <v>78.569999999999993</v>
      </c>
      <c r="EV133">
        <v>1559.52</v>
      </c>
      <c r="EW133">
        <v>182.4</v>
      </c>
      <c r="EX133">
        <v>6.03</v>
      </c>
      <c r="EY133">
        <v>0</v>
      </c>
      <c r="FQ133">
        <v>0</v>
      </c>
      <c r="FR133">
        <f t="shared" si="149"/>
        <v>0</v>
      </c>
      <c r="FS133">
        <v>0</v>
      </c>
      <c r="FT133" t="s">
        <v>29</v>
      </c>
      <c r="FU133" t="s">
        <v>30</v>
      </c>
      <c r="FX133">
        <v>97.2</v>
      </c>
      <c r="FY133">
        <v>46.75</v>
      </c>
      <c r="GA133" t="s">
        <v>6</v>
      </c>
      <c r="GD133">
        <v>1</v>
      </c>
      <c r="GF133">
        <v>-1646800413</v>
      </c>
      <c r="GG133">
        <v>2</v>
      </c>
      <c r="GH133">
        <v>1</v>
      </c>
      <c r="GI133">
        <v>4</v>
      </c>
      <c r="GJ133">
        <v>0</v>
      </c>
      <c r="GK133">
        <v>0</v>
      </c>
      <c r="GL133">
        <f t="shared" si="150"/>
        <v>0</v>
      </c>
      <c r="GM133">
        <f t="shared" si="151"/>
        <v>30969.41</v>
      </c>
      <c r="GN133">
        <f t="shared" si="152"/>
        <v>30969.41</v>
      </c>
      <c r="GO133">
        <f t="shared" si="153"/>
        <v>0</v>
      </c>
      <c r="GP133">
        <f t="shared" si="154"/>
        <v>0</v>
      </c>
      <c r="GR133">
        <v>0</v>
      </c>
      <c r="GS133">
        <v>0</v>
      </c>
      <c r="GT133">
        <v>0</v>
      </c>
      <c r="GU133" t="s">
        <v>6</v>
      </c>
      <c r="GV133">
        <f t="shared" si="155"/>
        <v>0</v>
      </c>
      <c r="GW133">
        <v>1</v>
      </c>
      <c r="GX133">
        <f t="shared" si="156"/>
        <v>0</v>
      </c>
      <c r="HA133">
        <v>0</v>
      </c>
      <c r="HB133">
        <v>0</v>
      </c>
      <c r="HC133">
        <f t="shared" si="157"/>
        <v>0</v>
      </c>
      <c r="HE133" t="s">
        <v>6</v>
      </c>
      <c r="HF133" t="s">
        <v>6</v>
      </c>
      <c r="HI133">
        <f t="shared" si="158"/>
        <v>1638</v>
      </c>
      <c r="HJ133">
        <f t="shared" si="159"/>
        <v>29912</v>
      </c>
      <c r="HK133">
        <f t="shared" si="160"/>
        <v>30667</v>
      </c>
      <c r="HL133">
        <f t="shared" si="161"/>
        <v>14750</v>
      </c>
      <c r="HM133" t="s">
        <v>6</v>
      </c>
      <c r="HN133" t="s">
        <v>6</v>
      </c>
      <c r="HO133" t="s">
        <v>6</v>
      </c>
      <c r="HP133" t="s">
        <v>6</v>
      </c>
      <c r="HQ133" t="s">
        <v>6</v>
      </c>
      <c r="IK133">
        <v>0</v>
      </c>
    </row>
    <row r="134" spans="1:245">
      <c r="A134">
        <v>17</v>
      </c>
      <c r="B134">
        <v>1</v>
      </c>
      <c r="E134" t="s">
        <v>296</v>
      </c>
      <c r="F134" t="s">
        <v>297</v>
      </c>
      <c r="G134" t="s">
        <v>298</v>
      </c>
      <c r="H134" t="s">
        <v>284</v>
      </c>
      <c r="I134">
        <f>ROUND(I133*-100,7)</f>
        <v>-59.88</v>
      </c>
      <c r="J134">
        <v>0</v>
      </c>
      <c r="K134">
        <f>ROUND(I133*-100,7)</f>
        <v>-59.88</v>
      </c>
      <c r="O134">
        <f t="shared" si="123"/>
        <v>-24878.34</v>
      </c>
      <c r="P134">
        <f>ROUND(CQ134*I134,2)</f>
        <v>-24878.34</v>
      </c>
      <c r="Q134">
        <f t="shared" si="125"/>
        <v>0</v>
      </c>
      <c r="R134">
        <f t="shared" si="126"/>
        <v>0</v>
      </c>
      <c r="S134">
        <f t="shared" si="127"/>
        <v>0</v>
      </c>
      <c r="T134">
        <f t="shared" si="128"/>
        <v>0</v>
      </c>
      <c r="U134">
        <f t="shared" si="129"/>
        <v>0</v>
      </c>
      <c r="V134">
        <f t="shared" si="130"/>
        <v>0</v>
      </c>
      <c r="W134">
        <f t="shared" si="131"/>
        <v>0</v>
      </c>
      <c r="X134">
        <f t="shared" si="132"/>
        <v>0</v>
      </c>
      <c r="Y134">
        <f t="shared" si="133"/>
        <v>0</v>
      </c>
      <c r="AA134">
        <v>31028412</v>
      </c>
      <c r="AB134">
        <f t="shared" si="134"/>
        <v>415.47</v>
      </c>
      <c r="AC134">
        <f t="shared" si="135"/>
        <v>415.47</v>
      </c>
      <c r="AD134">
        <f>ROUND((((ET134)-(EU134))+AE134),6)</f>
        <v>0</v>
      </c>
      <c r="AE134">
        <f t="shared" ref="AE134:AF137" si="167">ROUND((EU134),6)</f>
        <v>0</v>
      </c>
      <c r="AF134">
        <f t="shared" si="167"/>
        <v>0</v>
      </c>
      <c r="AG134">
        <f t="shared" si="136"/>
        <v>0</v>
      </c>
      <c r="AH134">
        <f t="shared" ref="AH134:AI137" si="168">(EW134)</f>
        <v>0</v>
      </c>
      <c r="AI134">
        <f t="shared" si="168"/>
        <v>0</v>
      </c>
      <c r="AJ134">
        <f t="shared" si="137"/>
        <v>0</v>
      </c>
      <c r="AK134">
        <v>415.47</v>
      </c>
      <c r="AL134">
        <v>415.47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1</v>
      </c>
      <c r="AW134">
        <v>1</v>
      </c>
      <c r="AZ134">
        <v>1</v>
      </c>
      <c r="BA134">
        <v>1</v>
      </c>
      <c r="BB134">
        <v>1</v>
      </c>
      <c r="BC134">
        <v>1</v>
      </c>
      <c r="BD134" t="s">
        <v>6</v>
      </c>
      <c r="BE134" t="s">
        <v>6</v>
      </c>
      <c r="BF134" t="s">
        <v>6</v>
      </c>
      <c r="BG134" t="s">
        <v>6</v>
      </c>
      <c r="BH134">
        <v>3</v>
      </c>
      <c r="BI134">
        <v>1</v>
      </c>
      <c r="BJ134" t="s">
        <v>299</v>
      </c>
      <c r="BM134">
        <v>500001</v>
      </c>
      <c r="BN134">
        <v>0</v>
      </c>
      <c r="BO134" t="s">
        <v>111</v>
      </c>
      <c r="BP134">
        <v>1</v>
      </c>
      <c r="BQ134">
        <v>8</v>
      </c>
      <c r="BR134">
        <v>1</v>
      </c>
      <c r="BS134">
        <v>1</v>
      </c>
      <c r="BT134">
        <v>1</v>
      </c>
      <c r="BU134">
        <v>1</v>
      </c>
      <c r="BV134">
        <v>1</v>
      </c>
      <c r="BW134">
        <v>1</v>
      </c>
      <c r="BX134">
        <v>1</v>
      </c>
      <c r="BY134" t="s">
        <v>6</v>
      </c>
      <c r="BZ134">
        <v>0</v>
      </c>
      <c r="CA134">
        <v>0</v>
      </c>
      <c r="CB134" t="s">
        <v>6</v>
      </c>
      <c r="CE134">
        <v>0</v>
      </c>
      <c r="CF134">
        <v>0</v>
      </c>
      <c r="CG134">
        <v>0</v>
      </c>
      <c r="CM134">
        <v>0</v>
      </c>
      <c r="CN134" t="s">
        <v>6</v>
      </c>
      <c r="CO134">
        <v>0</v>
      </c>
      <c r="CP134">
        <f t="shared" si="138"/>
        <v>-24878.34</v>
      </c>
      <c r="CQ134">
        <f>AC134*BC134</f>
        <v>415.47</v>
      </c>
      <c r="CR134">
        <f t="shared" si="140"/>
        <v>0</v>
      </c>
      <c r="CS134">
        <f t="shared" si="141"/>
        <v>0</v>
      </c>
      <c r="CT134">
        <f t="shared" si="142"/>
        <v>0</v>
      </c>
      <c r="CU134">
        <f t="shared" si="143"/>
        <v>0</v>
      </c>
      <c r="CV134">
        <f t="shared" si="144"/>
        <v>0</v>
      </c>
      <c r="CW134">
        <f t="shared" si="145"/>
        <v>0</v>
      </c>
      <c r="CX134">
        <f t="shared" si="146"/>
        <v>0</v>
      </c>
      <c r="CY134">
        <f t="shared" si="147"/>
        <v>0</v>
      </c>
      <c r="CZ134">
        <f t="shared" si="148"/>
        <v>0</v>
      </c>
      <c r="DC134" t="s">
        <v>6</v>
      </c>
      <c r="DD134" t="s">
        <v>6</v>
      </c>
      <c r="DE134" t="s">
        <v>6</v>
      </c>
      <c r="DF134" t="s">
        <v>6</v>
      </c>
      <c r="DG134" t="s">
        <v>6</v>
      </c>
      <c r="DH134" t="s">
        <v>6</v>
      </c>
      <c r="DI134" t="s">
        <v>6</v>
      </c>
      <c r="DJ134" t="s">
        <v>6</v>
      </c>
      <c r="DK134" t="s">
        <v>6</v>
      </c>
      <c r="DL134" t="s">
        <v>6</v>
      </c>
      <c r="DM134" t="s">
        <v>6</v>
      </c>
      <c r="DN134">
        <v>0</v>
      </c>
      <c r="DO134">
        <v>0</v>
      </c>
      <c r="DP134">
        <v>1</v>
      </c>
      <c r="DQ134">
        <v>1</v>
      </c>
      <c r="DU134">
        <v>1005</v>
      </c>
      <c r="DV134" t="s">
        <v>284</v>
      </c>
      <c r="DW134" t="s">
        <v>284</v>
      </c>
      <c r="DX134">
        <v>1</v>
      </c>
      <c r="DZ134" t="s">
        <v>6</v>
      </c>
      <c r="EA134" t="s">
        <v>6</v>
      </c>
      <c r="EB134" t="s">
        <v>6</v>
      </c>
      <c r="EC134" t="s">
        <v>6</v>
      </c>
      <c r="EE134">
        <v>30852824</v>
      </c>
      <c r="EF134">
        <v>8</v>
      </c>
      <c r="EG134" t="s">
        <v>112</v>
      </c>
      <c r="EH134">
        <v>0</v>
      </c>
      <c r="EI134" t="s">
        <v>6</v>
      </c>
      <c r="EJ134">
        <v>1</v>
      </c>
      <c r="EK134">
        <v>500001</v>
      </c>
      <c r="EL134" t="s">
        <v>113</v>
      </c>
      <c r="EM134" t="s">
        <v>114</v>
      </c>
      <c r="EO134" t="s">
        <v>6</v>
      </c>
      <c r="EQ134">
        <v>32768</v>
      </c>
      <c r="ER134">
        <v>415.47</v>
      </c>
      <c r="ES134">
        <v>415.47</v>
      </c>
      <c r="ET134">
        <v>0</v>
      </c>
      <c r="EU134">
        <v>0</v>
      </c>
      <c r="EV134">
        <v>0</v>
      </c>
      <c r="EW134">
        <v>0</v>
      </c>
      <c r="EX134">
        <v>0</v>
      </c>
      <c r="EY134">
        <v>0</v>
      </c>
      <c r="FQ134">
        <v>0</v>
      </c>
      <c r="FR134">
        <f t="shared" si="149"/>
        <v>0</v>
      </c>
      <c r="FS134">
        <v>0</v>
      </c>
      <c r="FX134">
        <v>0</v>
      </c>
      <c r="FY134">
        <v>0</v>
      </c>
      <c r="GA134" t="s">
        <v>6</v>
      </c>
      <c r="GD134">
        <v>1</v>
      </c>
      <c r="GF134">
        <v>-1359235157</v>
      </c>
      <c r="GG134">
        <v>2</v>
      </c>
      <c r="GH134">
        <v>1</v>
      </c>
      <c r="GI134">
        <v>4</v>
      </c>
      <c r="GJ134">
        <v>0</v>
      </c>
      <c r="GK134">
        <v>0</v>
      </c>
      <c r="GL134">
        <f t="shared" si="150"/>
        <v>0</v>
      </c>
      <c r="GM134">
        <f t="shared" si="151"/>
        <v>-24878.34</v>
      </c>
      <c r="GN134">
        <f t="shared" si="152"/>
        <v>-24878.34</v>
      </c>
      <c r="GO134">
        <f t="shared" si="153"/>
        <v>0</v>
      </c>
      <c r="GP134">
        <f t="shared" si="154"/>
        <v>0</v>
      </c>
      <c r="GR134">
        <v>0</v>
      </c>
      <c r="GS134">
        <v>0</v>
      </c>
      <c r="GT134">
        <v>0</v>
      </c>
      <c r="GU134" t="s">
        <v>6</v>
      </c>
      <c r="GV134">
        <f t="shared" si="155"/>
        <v>0</v>
      </c>
      <c r="GW134">
        <v>1</v>
      </c>
      <c r="GX134">
        <f t="shared" si="156"/>
        <v>0</v>
      </c>
      <c r="HA134">
        <v>0</v>
      </c>
      <c r="HB134">
        <v>0</v>
      </c>
      <c r="HC134">
        <f t="shared" si="157"/>
        <v>0</v>
      </c>
      <c r="HE134" t="s">
        <v>6</v>
      </c>
      <c r="HF134" t="s">
        <v>6</v>
      </c>
      <c r="HI134">
        <f t="shared" si="158"/>
        <v>0</v>
      </c>
      <c r="HJ134">
        <f t="shared" si="159"/>
        <v>0</v>
      </c>
      <c r="HK134">
        <f t="shared" si="160"/>
        <v>0</v>
      </c>
      <c r="HL134">
        <f t="shared" si="161"/>
        <v>0</v>
      </c>
      <c r="HM134" t="s">
        <v>6</v>
      </c>
      <c r="HN134" t="s">
        <v>6</v>
      </c>
      <c r="HO134" t="s">
        <v>6</v>
      </c>
      <c r="HP134" t="s">
        <v>6</v>
      </c>
      <c r="HQ134" t="s">
        <v>6</v>
      </c>
      <c r="IK134">
        <v>0</v>
      </c>
    </row>
    <row r="135" spans="1:245">
      <c r="A135">
        <v>17</v>
      </c>
      <c r="B135">
        <v>1</v>
      </c>
      <c r="E135" t="s">
        <v>300</v>
      </c>
      <c r="F135" t="s">
        <v>287</v>
      </c>
      <c r="G135" t="s">
        <v>301</v>
      </c>
      <c r="H135" t="s">
        <v>284</v>
      </c>
      <c r="I135">
        <v>31.8</v>
      </c>
      <c r="J135">
        <v>0</v>
      </c>
      <c r="K135">
        <v>31.8</v>
      </c>
      <c r="O135">
        <f t="shared" si="123"/>
        <v>220641.49</v>
      </c>
      <c r="P135">
        <f>ROUND(ROUND(CQ135*I135,0)/BC135,2)</f>
        <v>220641.49</v>
      </c>
      <c r="Q135">
        <f t="shared" si="125"/>
        <v>0</v>
      </c>
      <c r="R135">
        <f t="shared" si="126"/>
        <v>0</v>
      </c>
      <c r="S135">
        <f t="shared" si="127"/>
        <v>0</v>
      </c>
      <c r="T135">
        <f t="shared" si="128"/>
        <v>0</v>
      </c>
      <c r="U135">
        <f t="shared" si="129"/>
        <v>0</v>
      </c>
      <c r="V135">
        <f t="shared" si="130"/>
        <v>0</v>
      </c>
      <c r="W135">
        <f t="shared" si="131"/>
        <v>0</v>
      </c>
      <c r="X135">
        <f t="shared" si="132"/>
        <v>0</v>
      </c>
      <c r="Y135">
        <f t="shared" si="133"/>
        <v>0</v>
      </c>
      <c r="AA135">
        <v>31028412</v>
      </c>
      <c r="AB135">
        <f t="shared" si="134"/>
        <v>42810</v>
      </c>
      <c r="AC135">
        <f t="shared" si="135"/>
        <v>42810</v>
      </c>
      <c r="AD135">
        <f>ROUND((((ET135)-(EU135))+AE135),6)</f>
        <v>0</v>
      </c>
      <c r="AE135">
        <f t="shared" si="167"/>
        <v>0</v>
      </c>
      <c r="AF135">
        <f t="shared" si="167"/>
        <v>0</v>
      </c>
      <c r="AG135">
        <f t="shared" si="136"/>
        <v>0</v>
      </c>
      <c r="AH135">
        <f t="shared" si="168"/>
        <v>0</v>
      </c>
      <c r="AI135">
        <f t="shared" si="168"/>
        <v>0</v>
      </c>
      <c r="AJ135">
        <f t="shared" si="137"/>
        <v>0</v>
      </c>
      <c r="AK135">
        <v>42810</v>
      </c>
      <c r="AL135">
        <v>42810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1</v>
      </c>
      <c r="AW135">
        <v>1</v>
      </c>
      <c r="AZ135">
        <v>1</v>
      </c>
      <c r="BA135">
        <v>1</v>
      </c>
      <c r="BB135">
        <v>1</v>
      </c>
      <c r="BC135">
        <v>6.17</v>
      </c>
      <c r="BD135" t="s">
        <v>6</v>
      </c>
      <c r="BE135" t="s">
        <v>6</v>
      </c>
      <c r="BF135" t="s">
        <v>6</v>
      </c>
      <c r="BG135" t="s">
        <v>6</v>
      </c>
      <c r="BH135">
        <v>3</v>
      </c>
      <c r="BI135">
        <v>1</v>
      </c>
      <c r="BJ135" t="s">
        <v>6</v>
      </c>
      <c r="BM135">
        <v>1100</v>
      </c>
      <c r="BN135">
        <v>0</v>
      </c>
      <c r="BO135" t="s">
        <v>111</v>
      </c>
      <c r="BP135">
        <v>1</v>
      </c>
      <c r="BQ135">
        <v>8</v>
      </c>
      <c r="BR135">
        <v>0</v>
      </c>
      <c r="BS135">
        <v>1</v>
      </c>
      <c r="BT135">
        <v>1</v>
      </c>
      <c r="BU135">
        <v>1</v>
      </c>
      <c r="BV135">
        <v>1</v>
      </c>
      <c r="BW135">
        <v>1</v>
      </c>
      <c r="BX135">
        <v>1</v>
      </c>
      <c r="BY135" t="s">
        <v>6</v>
      </c>
      <c r="BZ135">
        <v>0</v>
      </c>
      <c r="CA135">
        <v>0</v>
      </c>
      <c r="CB135" t="s">
        <v>6</v>
      </c>
      <c r="CE135">
        <v>0</v>
      </c>
      <c r="CF135">
        <v>0</v>
      </c>
      <c r="CG135">
        <v>0</v>
      </c>
      <c r="CM135">
        <v>0</v>
      </c>
      <c r="CN135" t="s">
        <v>6</v>
      </c>
      <c r="CO135">
        <v>0</v>
      </c>
      <c r="CP135">
        <f t="shared" si="138"/>
        <v>220641.49</v>
      </c>
      <c r="CQ135">
        <f>AC135</f>
        <v>42810</v>
      </c>
      <c r="CR135">
        <f t="shared" si="140"/>
        <v>0</v>
      </c>
      <c r="CS135">
        <f t="shared" si="141"/>
        <v>0</v>
      </c>
      <c r="CT135">
        <f t="shared" si="142"/>
        <v>0</v>
      </c>
      <c r="CU135">
        <f t="shared" si="143"/>
        <v>0</v>
      </c>
      <c r="CV135">
        <f t="shared" si="144"/>
        <v>0</v>
      </c>
      <c r="CW135">
        <f t="shared" si="145"/>
        <v>0</v>
      </c>
      <c r="CX135">
        <f t="shared" si="146"/>
        <v>0</v>
      </c>
      <c r="CY135">
        <f t="shared" si="147"/>
        <v>0</v>
      </c>
      <c r="CZ135">
        <f t="shared" si="148"/>
        <v>0</v>
      </c>
      <c r="DC135" t="s">
        <v>6</v>
      </c>
      <c r="DD135" t="s">
        <v>6</v>
      </c>
      <c r="DE135" t="s">
        <v>6</v>
      </c>
      <c r="DF135" t="s">
        <v>6</v>
      </c>
      <c r="DG135" t="s">
        <v>6</v>
      </c>
      <c r="DH135" t="s">
        <v>6</v>
      </c>
      <c r="DI135" t="s">
        <v>6</v>
      </c>
      <c r="DJ135" t="s">
        <v>6</v>
      </c>
      <c r="DK135" t="s">
        <v>6</v>
      </c>
      <c r="DL135" t="s">
        <v>6</v>
      </c>
      <c r="DM135" t="s">
        <v>6</v>
      </c>
      <c r="DN135">
        <v>0</v>
      </c>
      <c r="DO135">
        <v>0</v>
      </c>
      <c r="DP135">
        <v>1</v>
      </c>
      <c r="DQ135">
        <v>1</v>
      </c>
      <c r="DU135">
        <v>1005</v>
      </c>
      <c r="DV135" t="s">
        <v>284</v>
      </c>
      <c r="DW135" t="s">
        <v>284</v>
      </c>
      <c r="DX135">
        <v>1</v>
      </c>
      <c r="DZ135" t="s">
        <v>6</v>
      </c>
      <c r="EA135" t="s">
        <v>6</v>
      </c>
      <c r="EB135" t="s">
        <v>6</v>
      </c>
      <c r="EC135" t="s">
        <v>6</v>
      </c>
      <c r="EE135">
        <v>30853118</v>
      </c>
      <c r="EF135">
        <v>8</v>
      </c>
      <c r="EG135" t="s">
        <v>112</v>
      </c>
      <c r="EH135">
        <v>0</v>
      </c>
      <c r="EI135" t="s">
        <v>6</v>
      </c>
      <c r="EJ135">
        <v>1</v>
      </c>
      <c r="EK135">
        <v>1100</v>
      </c>
      <c r="EL135" t="s">
        <v>119</v>
      </c>
      <c r="EM135" t="s">
        <v>120</v>
      </c>
      <c r="EO135" t="s">
        <v>6</v>
      </c>
      <c r="EQ135">
        <v>0</v>
      </c>
      <c r="ER135">
        <v>42810</v>
      </c>
      <c r="ES135">
        <v>42810</v>
      </c>
      <c r="ET135">
        <v>0</v>
      </c>
      <c r="EU135">
        <v>0</v>
      </c>
      <c r="EV135">
        <v>0</v>
      </c>
      <c r="EW135">
        <v>0</v>
      </c>
      <c r="EX135">
        <v>0</v>
      </c>
      <c r="EY135">
        <v>0</v>
      </c>
      <c r="EZ135">
        <v>5</v>
      </c>
      <c r="FC135">
        <v>0</v>
      </c>
      <c r="FD135">
        <v>18</v>
      </c>
      <c r="FF135">
        <v>42810</v>
      </c>
      <c r="FQ135">
        <v>0</v>
      </c>
      <c r="FR135">
        <f t="shared" si="149"/>
        <v>0</v>
      </c>
      <c r="FS135">
        <v>0</v>
      </c>
      <c r="FX135">
        <v>0</v>
      </c>
      <c r="FY135">
        <v>0</v>
      </c>
      <c r="GA135" t="s">
        <v>6</v>
      </c>
      <c r="GD135">
        <v>1</v>
      </c>
      <c r="GF135">
        <v>-728741457</v>
      </c>
      <c r="GG135">
        <v>2</v>
      </c>
      <c r="GH135">
        <v>3</v>
      </c>
      <c r="GI135">
        <v>4</v>
      </c>
      <c r="GJ135">
        <v>0</v>
      </c>
      <c r="GK135">
        <v>0</v>
      </c>
      <c r="GL135">
        <f t="shared" si="150"/>
        <v>0</v>
      </c>
      <c r="GM135">
        <f t="shared" si="151"/>
        <v>220641.49</v>
      </c>
      <c r="GN135">
        <f t="shared" si="152"/>
        <v>220641.49</v>
      </c>
      <c r="GO135">
        <f t="shared" si="153"/>
        <v>0</v>
      </c>
      <c r="GP135">
        <f t="shared" si="154"/>
        <v>0</v>
      </c>
      <c r="GR135">
        <v>1</v>
      </c>
      <c r="GS135">
        <v>1</v>
      </c>
      <c r="GT135">
        <v>0</v>
      </c>
      <c r="GU135" t="s">
        <v>6</v>
      </c>
      <c r="GV135">
        <f t="shared" si="155"/>
        <v>0</v>
      </c>
      <c r="GW135">
        <v>1</v>
      </c>
      <c r="GX135">
        <f t="shared" si="156"/>
        <v>0</v>
      </c>
      <c r="HA135">
        <v>0</v>
      </c>
      <c r="HB135">
        <v>0</v>
      </c>
      <c r="HC135">
        <f t="shared" si="157"/>
        <v>0</v>
      </c>
      <c r="HE135" t="s">
        <v>6</v>
      </c>
      <c r="HF135" t="s">
        <v>6</v>
      </c>
      <c r="HG135">
        <f>ROUND(AC135*I135,0)</f>
        <v>1361358</v>
      </c>
      <c r="HI135">
        <f t="shared" si="158"/>
        <v>0</v>
      </c>
      <c r="HJ135">
        <f t="shared" si="159"/>
        <v>0</v>
      </c>
      <c r="HK135">
        <f t="shared" si="160"/>
        <v>0</v>
      </c>
      <c r="HL135">
        <f t="shared" si="161"/>
        <v>0</v>
      </c>
      <c r="HM135" t="s">
        <v>6</v>
      </c>
      <c r="HN135" t="s">
        <v>6</v>
      </c>
      <c r="HO135" t="s">
        <v>6</v>
      </c>
      <c r="HP135" t="s">
        <v>6</v>
      </c>
      <c r="HQ135" t="s">
        <v>6</v>
      </c>
      <c r="IK135">
        <v>0</v>
      </c>
    </row>
    <row r="136" spans="1:245">
      <c r="A136">
        <v>17</v>
      </c>
      <c r="B136">
        <v>1</v>
      </c>
      <c r="E136" t="s">
        <v>302</v>
      </c>
      <c r="F136" t="s">
        <v>287</v>
      </c>
      <c r="G136" t="s">
        <v>303</v>
      </c>
      <c r="H136" t="s">
        <v>284</v>
      </c>
      <c r="I136">
        <v>28.08</v>
      </c>
      <c r="J136">
        <v>0</v>
      </c>
      <c r="K136">
        <v>28.08</v>
      </c>
      <c r="O136">
        <f t="shared" si="123"/>
        <v>194830.63</v>
      </c>
      <c r="P136">
        <f>ROUND(ROUND(CQ136*I136,0)/BC136,2)</f>
        <v>194830.63</v>
      </c>
      <c r="Q136">
        <f t="shared" si="125"/>
        <v>0</v>
      </c>
      <c r="R136">
        <f t="shared" si="126"/>
        <v>0</v>
      </c>
      <c r="S136">
        <f t="shared" si="127"/>
        <v>0</v>
      </c>
      <c r="T136">
        <f t="shared" si="128"/>
        <v>0</v>
      </c>
      <c r="U136">
        <f t="shared" si="129"/>
        <v>0</v>
      </c>
      <c r="V136">
        <f t="shared" si="130"/>
        <v>0</v>
      </c>
      <c r="W136">
        <f t="shared" si="131"/>
        <v>0</v>
      </c>
      <c r="X136">
        <f t="shared" si="132"/>
        <v>0</v>
      </c>
      <c r="Y136">
        <f t="shared" si="133"/>
        <v>0</v>
      </c>
      <c r="AA136">
        <v>31028412</v>
      </c>
      <c r="AB136">
        <f t="shared" si="134"/>
        <v>42810</v>
      </c>
      <c r="AC136">
        <f t="shared" si="135"/>
        <v>42810</v>
      </c>
      <c r="AD136">
        <f>ROUND((((ET136)-(EU136))+AE136),6)</f>
        <v>0</v>
      </c>
      <c r="AE136">
        <f t="shared" si="167"/>
        <v>0</v>
      </c>
      <c r="AF136">
        <f t="shared" si="167"/>
        <v>0</v>
      </c>
      <c r="AG136">
        <f t="shared" si="136"/>
        <v>0</v>
      </c>
      <c r="AH136">
        <f t="shared" si="168"/>
        <v>0</v>
      </c>
      <c r="AI136">
        <f t="shared" si="168"/>
        <v>0</v>
      </c>
      <c r="AJ136">
        <f t="shared" si="137"/>
        <v>0</v>
      </c>
      <c r="AK136">
        <v>42810</v>
      </c>
      <c r="AL136">
        <v>42810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1</v>
      </c>
      <c r="AW136">
        <v>1</v>
      </c>
      <c r="AZ136">
        <v>1</v>
      </c>
      <c r="BA136">
        <v>1</v>
      </c>
      <c r="BB136">
        <v>1</v>
      </c>
      <c r="BC136">
        <v>6.17</v>
      </c>
      <c r="BD136" t="s">
        <v>6</v>
      </c>
      <c r="BE136" t="s">
        <v>6</v>
      </c>
      <c r="BF136" t="s">
        <v>6</v>
      </c>
      <c r="BG136" t="s">
        <v>6</v>
      </c>
      <c r="BH136">
        <v>3</v>
      </c>
      <c r="BI136">
        <v>1</v>
      </c>
      <c r="BJ136" t="s">
        <v>6</v>
      </c>
      <c r="BM136">
        <v>1100</v>
      </c>
      <c r="BN136">
        <v>0</v>
      </c>
      <c r="BO136" t="s">
        <v>111</v>
      </c>
      <c r="BP136">
        <v>1</v>
      </c>
      <c r="BQ136">
        <v>8</v>
      </c>
      <c r="BR136">
        <v>0</v>
      </c>
      <c r="BS136">
        <v>1</v>
      </c>
      <c r="BT136">
        <v>1</v>
      </c>
      <c r="BU136">
        <v>1</v>
      </c>
      <c r="BV136">
        <v>1</v>
      </c>
      <c r="BW136">
        <v>1</v>
      </c>
      <c r="BX136">
        <v>1</v>
      </c>
      <c r="BY136" t="s">
        <v>6</v>
      </c>
      <c r="BZ136">
        <v>0</v>
      </c>
      <c r="CA136">
        <v>0</v>
      </c>
      <c r="CB136" t="s">
        <v>6</v>
      </c>
      <c r="CE136">
        <v>0</v>
      </c>
      <c r="CF136">
        <v>0</v>
      </c>
      <c r="CG136">
        <v>0</v>
      </c>
      <c r="CM136">
        <v>0</v>
      </c>
      <c r="CN136" t="s">
        <v>6</v>
      </c>
      <c r="CO136">
        <v>0</v>
      </c>
      <c r="CP136">
        <f t="shared" si="138"/>
        <v>194830.63</v>
      </c>
      <c r="CQ136">
        <f>AC136</f>
        <v>42810</v>
      </c>
      <c r="CR136">
        <f t="shared" si="140"/>
        <v>0</v>
      </c>
      <c r="CS136">
        <f t="shared" si="141"/>
        <v>0</v>
      </c>
      <c r="CT136">
        <f t="shared" si="142"/>
        <v>0</v>
      </c>
      <c r="CU136">
        <f t="shared" si="143"/>
        <v>0</v>
      </c>
      <c r="CV136">
        <f t="shared" si="144"/>
        <v>0</v>
      </c>
      <c r="CW136">
        <f t="shared" si="145"/>
        <v>0</v>
      </c>
      <c r="CX136">
        <f t="shared" si="146"/>
        <v>0</v>
      </c>
      <c r="CY136">
        <f t="shared" si="147"/>
        <v>0</v>
      </c>
      <c r="CZ136">
        <f t="shared" si="148"/>
        <v>0</v>
      </c>
      <c r="DC136" t="s">
        <v>6</v>
      </c>
      <c r="DD136" t="s">
        <v>6</v>
      </c>
      <c r="DE136" t="s">
        <v>6</v>
      </c>
      <c r="DF136" t="s">
        <v>6</v>
      </c>
      <c r="DG136" t="s">
        <v>6</v>
      </c>
      <c r="DH136" t="s">
        <v>6</v>
      </c>
      <c r="DI136" t="s">
        <v>6</v>
      </c>
      <c r="DJ136" t="s">
        <v>6</v>
      </c>
      <c r="DK136" t="s">
        <v>6</v>
      </c>
      <c r="DL136" t="s">
        <v>6</v>
      </c>
      <c r="DM136" t="s">
        <v>6</v>
      </c>
      <c r="DN136">
        <v>0</v>
      </c>
      <c r="DO136">
        <v>0</v>
      </c>
      <c r="DP136">
        <v>1</v>
      </c>
      <c r="DQ136">
        <v>1</v>
      </c>
      <c r="DU136">
        <v>1005</v>
      </c>
      <c r="DV136" t="s">
        <v>284</v>
      </c>
      <c r="DW136" t="s">
        <v>284</v>
      </c>
      <c r="DX136">
        <v>1</v>
      </c>
      <c r="DZ136" t="s">
        <v>6</v>
      </c>
      <c r="EA136" t="s">
        <v>6</v>
      </c>
      <c r="EB136" t="s">
        <v>6</v>
      </c>
      <c r="EC136" t="s">
        <v>6</v>
      </c>
      <c r="EE136">
        <v>30853118</v>
      </c>
      <c r="EF136">
        <v>8</v>
      </c>
      <c r="EG136" t="s">
        <v>112</v>
      </c>
      <c r="EH136">
        <v>0</v>
      </c>
      <c r="EI136" t="s">
        <v>6</v>
      </c>
      <c r="EJ136">
        <v>1</v>
      </c>
      <c r="EK136">
        <v>1100</v>
      </c>
      <c r="EL136" t="s">
        <v>119</v>
      </c>
      <c r="EM136" t="s">
        <v>120</v>
      </c>
      <c r="EO136" t="s">
        <v>6</v>
      </c>
      <c r="EQ136">
        <v>0</v>
      </c>
      <c r="ER136">
        <v>42810</v>
      </c>
      <c r="ES136">
        <v>42810</v>
      </c>
      <c r="ET136">
        <v>0</v>
      </c>
      <c r="EU136">
        <v>0</v>
      </c>
      <c r="EV136">
        <v>0</v>
      </c>
      <c r="EW136">
        <v>0</v>
      </c>
      <c r="EX136">
        <v>0</v>
      </c>
      <c r="EY136">
        <v>0</v>
      </c>
      <c r="EZ136">
        <v>5</v>
      </c>
      <c r="FC136">
        <v>0</v>
      </c>
      <c r="FD136">
        <v>18</v>
      </c>
      <c r="FF136">
        <v>42810</v>
      </c>
      <c r="FQ136">
        <v>0</v>
      </c>
      <c r="FR136">
        <f t="shared" si="149"/>
        <v>0</v>
      </c>
      <c r="FS136">
        <v>0</v>
      </c>
      <c r="FX136">
        <v>0</v>
      </c>
      <c r="FY136">
        <v>0</v>
      </c>
      <c r="GA136" t="s">
        <v>6</v>
      </c>
      <c r="GD136">
        <v>1</v>
      </c>
      <c r="GF136">
        <v>-1388797065</v>
      </c>
      <c r="GG136">
        <v>2</v>
      </c>
      <c r="GH136">
        <v>3</v>
      </c>
      <c r="GI136">
        <v>4</v>
      </c>
      <c r="GJ136">
        <v>0</v>
      </c>
      <c r="GK136">
        <v>0</v>
      </c>
      <c r="GL136">
        <f t="shared" si="150"/>
        <v>0</v>
      </c>
      <c r="GM136">
        <f t="shared" si="151"/>
        <v>194830.63</v>
      </c>
      <c r="GN136">
        <f t="shared" si="152"/>
        <v>194830.63</v>
      </c>
      <c r="GO136">
        <f t="shared" si="153"/>
        <v>0</v>
      </c>
      <c r="GP136">
        <f t="shared" si="154"/>
        <v>0</v>
      </c>
      <c r="GR136">
        <v>1</v>
      </c>
      <c r="GS136">
        <v>1</v>
      </c>
      <c r="GT136">
        <v>0</v>
      </c>
      <c r="GU136" t="s">
        <v>6</v>
      </c>
      <c r="GV136">
        <f t="shared" si="155"/>
        <v>0</v>
      </c>
      <c r="GW136">
        <v>1</v>
      </c>
      <c r="GX136">
        <f t="shared" si="156"/>
        <v>0</v>
      </c>
      <c r="HA136">
        <v>0</v>
      </c>
      <c r="HB136">
        <v>0</v>
      </c>
      <c r="HC136">
        <f t="shared" si="157"/>
        <v>0</v>
      </c>
      <c r="HE136" t="s">
        <v>6</v>
      </c>
      <c r="HF136" t="s">
        <v>6</v>
      </c>
      <c r="HG136">
        <f>ROUND(AC136*I136,0)</f>
        <v>1202105</v>
      </c>
      <c r="HI136">
        <f t="shared" si="158"/>
        <v>0</v>
      </c>
      <c r="HJ136">
        <f t="shared" si="159"/>
        <v>0</v>
      </c>
      <c r="HK136">
        <f t="shared" si="160"/>
        <v>0</v>
      </c>
      <c r="HL136">
        <f t="shared" si="161"/>
        <v>0</v>
      </c>
      <c r="HM136" t="s">
        <v>6</v>
      </c>
      <c r="HN136" t="s">
        <v>6</v>
      </c>
      <c r="HO136" t="s">
        <v>6</v>
      </c>
      <c r="HP136" t="s">
        <v>6</v>
      </c>
      <c r="HQ136" t="s">
        <v>6</v>
      </c>
      <c r="IK136">
        <v>0</v>
      </c>
    </row>
    <row r="137" spans="1:245">
      <c r="A137">
        <v>17</v>
      </c>
      <c r="B137">
        <v>1</v>
      </c>
      <c r="E137" t="s">
        <v>304</v>
      </c>
      <c r="F137" t="s">
        <v>305</v>
      </c>
      <c r="G137" t="s">
        <v>306</v>
      </c>
      <c r="H137" t="s">
        <v>292</v>
      </c>
      <c r="I137">
        <v>24</v>
      </c>
      <c r="J137">
        <v>0</v>
      </c>
      <c r="K137">
        <v>24</v>
      </c>
      <c r="O137">
        <f t="shared" si="123"/>
        <v>771.6</v>
      </c>
      <c r="P137">
        <f>ROUND(CQ137*I137,2)</f>
        <v>771.6</v>
      </c>
      <c r="Q137">
        <f t="shared" si="125"/>
        <v>0</v>
      </c>
      <c r="R137">
        <f t="shared" si="126"/>
        <v>0</v>
      </c>
      <c r="S137">
        <f t="shared" si="127"/>
        <v>0</v>
      </c>
      <c r="T137">
        <f t="shared" si="128"/>
        <v>0</v>
      </c>
      <c r="U137">
        <f t="shared" si="129"/>
        <v>0</v>
      </c>
      <c r="V137">
        <f t="shared" si="130"/>
        <v>0</v>
      </c>
      <c r="W137">
        <f t="shared" si="131"/>
        <v>0</v>
      </c>
      <c r="X137">
        <f t="shared" si="132"/>
        <v>0</v>
      </c>
      <c r="Y137">
        <f t="shared" si="133"/>
        <v>0</v>
      </c>
      <c r="AA137">
        <v>31028412</v>
      </c>
      <c r="AB137">
        <f t="shared" si="134"/>
        <v>32.15</v>
      </c>
      <c r="AC137">
        <f t="shared" si="135"/>
        <v>32.15</v>
      </c>
      <c r="AD137">
        <f>ROUND((((ET137)-(EU137))+AE137),6)</f>
        <v>0</v>
      </c>
      <c r="AE137">
        <f t="shared" si="167"/>
        <v>0</v>
      </c>
      <c r="AF137">
        <f t="shared" si="167"/>
        <v>0</v>
      </c>
      <c r="AG137">
        <f t="shared" si="136"/>
        <v>0</v>
      </c>
      <c r="AH137">
        <f t="shared" si="168"/>
        <v>0</v>
      </c>
      <c r="AI137">
        <f t="shared" si="168"/>
        <v>0</v>
      </c>
      <c r="AJ137">
        <f t="shared" si="137"/>
        <v>0</v>
      </c>
      <c r="AK137">
        <v>32.15</v>
      </c>
      <c r="AL137">
        <v>32.15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1</v>
      </c>
      <c r="AW137">
        <v>1</v>
      </c>
      <c r="AZ137">
        <v>1</v>
      </c>
      <c r="BA137">
        <v>1</v>
      </c>
      <c r="BB137">
        <v>1</v>
      </c>
      <c r="BC137">
        <v>1</v>
      </c>
      <c r="BD137" t="s">
        <v>6</v>
      </c>
      <c r="BE137" t="s">
        <v>6</v>
      </c>
      <c r="BF137" t="s">
        <v>6</v>
      </c>
      <c r="BG137" t="s">
        <v>6</v>
      </c>
      <c r="BH137">
        <v>3</v>
      </c>
      <c r="BI137">
        <v>1</v>
      </c>
      <c r="BJ137" t="s">
        <v>307</v>
      </c>
      <c r="BM137">
        <v>500001</v>
      </c>
      <c r="BN137">
        <v>0</v>
      </c>
      <c r="BO137" t="s">
        <v>111</v>
      </c>
      <c r="BP137">
        <v>1</v>
      </c>
      <c r="BQ137">
        <v>8</v>
      </c>
      <c r="BR137">
        <v>0</v>
      </c>
      <c r="BS137">
        <v>1</v>
      </c>
      <c r="BT137">
        <v>1</v>
      </c>
      <c r="BU137">
        <v>1</v>
      </c>
      <c r="BV137">
        <v>1</v>
      </c>
      <c r="BW137">
        <v>1</v>
      </c>
      <c r="BX137">
        <v>1</v>
      </c>
      <c r="BY137" t="s">
        <v>6</v>
      </c>
      <c r="BZ137">
        <v>0</v>
      </c>
      <c r="CA137">
        <v>0</v>
      </c>
      <c r="CB137" t="s">
        <v>6</v>
      </c>
      <c r="CE137">
        <v>0</v>
      </c>
      <c r="CF137">
        <v>0</v>
      </c>
      <c r="CG137">
        <v>0</v>
      </c>
      <c r="CM137">
        <v>0</v>
      </c>
      <c r="CN137" t="s">
        <v>6</v>
      </c>
      <c r="CO137">
        <v>0</v>
      </c>
      <c r="CP137">
        <f t="shared" si="138"/>
        <v>771.6</v>
      </c>
      <c r="CQ137">
        <f>AC137*BC137</f>
        <v>32.15</v>
      </c>
      <c r="CR137">
        <f t="shared" si="140"/>
        <v>0</v>
      </c>
      <c r="CS137">
        <f t="shared" si="141"/>
        <v>0</v>
      </c>
      <c r="CT137">
        <f t="shared" si="142"/>
        <v>0</v>
      </c>
      <c r="CU137">
        <f t="shared" si="143"/>
        <v>0</v>
      </c>
      <c r="CV137">
        <f t="shared" si="144"/>
        <v>0</v>
      </c>
      <c r="CW137">
        <f t="shared" si="145"/>
        <v>0</v>
      </c>
      <c r="CX137">
        <f t="shared" si="146"/>
        <v>0</v>
      </c>
      <c r="CY137">
        <f t="shared" si="147"/>
        <v>0</v>
      </c>
      <c r="CZ137">
        <f t="shared" si="148"/>
        <v>0</v>
      </c>
      <c r="DC137" t="s">
        <v>6</v>
      </c>
      <c r="DD137" t="s">
        <v>6</v>
      </c>
      <c r="DE137" t="s">
        <v>6</v>
      </c>
      <c r="DF137" t="s">
        <v>6</v>
      </c>
      <c r="DG137" t="s">
        <v>6</v>
      </c>
      <c r="DH137" t="s">
        <v>6</v>
      </c>
      <c r="DI137" t="s">
        <v>6</v>
      </c>
      <c r="DJ137" t="s">
        <v>6</v>
      </c>
      <c r="DK137" t="s">
        <v>6</v>
      </c>
      <c r="DL137" t="s">
        <v>6</v>
      </c>
      <c r="DM137" t="s">
        <v>6</v>
      </c>
      <c r="DN137">
        <v>0</v>
      </c>
      <c r="DO137">
        <v>0</v>
      </c>
      <c r="DP137">
        <v>1</v>
      </c>
      <c r="DQ137">
        <v>1</v>
      </c>
      <c r="DU137">
        <v>1013</v>
      </c>
      <c r="DV137" t="s">
        <v>292</v>
      </c>
      <c r="DW137" t="s">
        <v>292</v>
      </c>
      <c r="DX137">
        <v>1</v>
      </c>
      <c r="DZ137" t="s">
        <v>6</v>
      </c>
      <c r="EA137" t="s">
        <v>6</v>
      </c>
      <c r="EB137" t="s">
        <v>6</v>
      </c>
      <c r="EC137" t="s">
        <v>6</v>
      </c>
      <c r="EE137">
        <v>30852824</v>
      </c>
      <c r="EF137">
        <v>8</v>
      </c>
      <c r="EG137" t="s">
        <v>112</v>
      </c>
      <c r="EH137">
        <v>0</v>
      </c>
      <c r="EI137" t="s">
        <v>6</v>
      </c>
      <c r="EJ137">
        <v>1</v>
      </c>
      <c r="EK137">
        <v>500001</v>
      </c>
      <c r="EL137" t="s">
        <v>113</v>
      </c>
      <c r="EM137" t="s">
        <v>114</v>
      </c>
      <c r="EO137" t="s">
        <v>6</v>
      </c>
      <c r="EQ137">
        <v>131072</v>
      </c>
      <c r="ER137">
        <v>32.15</v>
      </c>
      <c r="ES137">
        <v>32.15</v>
      </c>
      <c r="ET137">
        <v>0</v>
      </c>
      <c r="EU137">
        <v>0</v>
      </c>
      <c r="EV137">
        <v>0</v>
      </c>
      <c r="EW137">
        <v>0</v>
      </c>
      <c r="EX137">
        <v>0</v>
      </c>
      <c r="EY137">
        <v>0</v>
      </c>
      <c r="FQ137">
        <v>0</v>
      </c>
      <c r="FR137">
        <f t="shared" si="149"/>
        <v>0</v>
      </c>
      <c r="FS137">
        <v>0</v>
      </c>
      <c r="FX137">
        <v>0</v>
      </c>
      <c r="FY137">
        <v>0</v>
      </c>
      <c r="GA137" t="s">
        <v>6</v>
      </c>
      <c r="GD137">
        <v>1</v>
      </c>
      <c r="GF137">
        <v>-1673189032</v>
      </c>
      <c r="GG137">
        <v>2</v>
      </c>
      <c r="GH137">
        <v>1</v>
      </c>
      <c r="GI137">
        <v>4</v>
      </c>
      <c r="GJ137">
        <v>0</v>
      </c>
      <c r="GK137">
        <v>0</v>
      </c>
      <c r="GL137">
        <f t="shared" si="150"/>
        <v>0</v>
      </c>
      <c r="GM137">
        <f t="shared" si="151"/>
        <v>771.6</v>
      </c>
      <c r="GN137">
        <f t="shared" si="152"/>
        <v>771.6</v>
      </c>
      <c r="GO137">
        <f t="shared" si="153"/>
        <v>0</v>
      </c>
      <c r="GP137">
        <f t="shared" si="154"/>
        <v>0</v>
      </c>
      <c r="GR137">
        <v>0</v>
      </c>
      <c r="GS137">
        <v>0</v>
      </c>
      <c r="GT137">
        <v>0</v>
      </c>
      <c r="GU137" t="s">
        <v>6</v>
      </c>
      <c r="GV137">
        <f t="shared" si="155"/>
        <v>0</v>
      </c>
      <c r="GW137">
        <v>1</v>
      </c>
      <c r="GX137">
        <f t="shared" si="156"/>
        <v>0</v>
      </c>
      <c r="HA137">
        <v>0</v>
      </c>
      <c r="HB137">
        <v>0</v>
      </c>
      <c r="HC137">
        <f t="shared" si="157"/>
        <v>0</v>
      </c>
      <c r="HE137" t="s">
        <v>6</v>
      </c>
      <c r="HF137" t="s">
        <v>6</v>
      </c>
      <c r="HI137">
        <f t="shared" si="158"/>
        <v>0</v>
      </c>
      <c r="HJ137">
        <f t="shared" si="159"/>
        <v>0</v>
      </c>
      <c r="HK137">
        <f t="shared" si="160"/>
        <v>0</v>
      </c>
      <c r="HL137">
        <f t="shared" si="161"/>
        <v>0</v>
      </c>
      <c r="HM137" t="s">
        <v>6</v>
      </c>
      <c r="HN137" t="s">
        <v>6</v>
      </c>
      <c r="HO137" t="s">
        <v>6</v>
      </c>
      <c r="HP137" t="s">
        <v>6</v>
      </c>
      <c r="HQ137" t="s">
        <v>6</v>
      </c>
      <c r="IK137">
        <v>0</v>
      </c>
    </row>
    <row r="138" spans="1:245">
      <c r="A138">
        <v>17</v>
      </c>
      <c r="B138">
        <v>1</v>
      </c>
      <c r="C138">
        <f>ROW(SmtRes!A152)</f>
        <v>152</v>
      </c>
      <c r="D138">
        <f>ROW(EtalonRes!A176)</f>
        <v>176</v>
      </c>
      <c r="E138" t="s">
        <v>308</v>
      </c>
      <c r="F138" t="s">
        <v>309</v>
      </c>
      <c r="G138" t="s">
        <v>310</v>
      </c>
      <c r="H138" t="s">
        <v>22</v>
      </c>
      <c r="I138">
        <f>ROUND(32.8/100,7)</f>
        <v>0.32800000000000001</v>
      </c>
      <c r="J138">
        <v>0</v>
      </c>
      <c r="K138">
        <f>ROUND(32.8/100,7)</f>
        <v>0.32800000000000001</v>
      </c>
      <c r="O138">
        <f t="shared" si="123"/>
        <v>1033.04</v>
      </c>
      <c r="P138">
        <f>ROUND(CQ138*I138,2)</f>
        <v>843.8</v>
      </c>
      <c r="Q138">
        <f t="shared" si="125"/>
        <v>25.08</v>
      </c>
      <c r="R138">
        <f t="shared" si="126"/>
        <v>0.67</v>
      </c>
      <c r="S138">
        <f t="shared" si="127"/>
        <v>164.16</v>
      </c>
      <c r="T138">
        <f t="shared" si="128"/>
        <v>0</v>
      </c>
      <c r="U138">
        <f t="shared" si="129"/>
        <v>19.7066254</v>
      </c>
      <c r="V138">
        <f t="shared" si="130"/>
        <v>5.1865000000000001E-2</v>
      </c>
      <c r="W138">
        <f t="shared" si="131"/>
        <v>0</v>
      </c>
      <c r="X138">
        <f t="shared" si="132"/>
        <v>160.21</v>
      </c>
      <c r="Y138">
        <f t="shared" si="133"/>
        <v>77.06</v>
      </c>
      <c r="AA138">
        <v>31028412</v>
      </c>
      <c r="AB138">
        <f t="shared" si="134"/>
        <v>3149.5186749999998</v>
      </c>
      <c r="AC138">
        <f t="shared" si="135"/>
        <v>2572.5700000000002</v>
      </c>
      <c r="AD138">
        <f>ROUND(((((ET138*ROUND((1.25*1.15),7)))-((EU138*ROUND((1.25*1.15),7))))+AE138),6)</f>
        <v>76.474999999999994</v>
      </c>
      <c r="AE138">
        <f>ROUND(((EU138*ROUND((1.25*1.15),7))),6)</f>
        <v>2.055625</v>
      </c>
      <c r="AF138">
        <f>ROUND(((EV138*ROUND((1.15*1.15),7))),6)</f>
        <v>500.47367500000001</v>
      </c>
      <c r="AG138">
        <f t="shared" si="136"/>
        <v>0</v>
      </c>
      <c r="AH138">
        <f>((EW138*ROUND((1.15*1.15),7)))</f>
        <v>60.081175000000002</v>
      </c>
      <c r="AI138">
        <f>((EX138*ROUND((1.25*1.15),7)))</f>
        <v>0.15812499999999999</v>
      </c>
      <c r="AJ138">
        <f t="shared" si="137"/>
        <v>0</v>
      </c>
      <c r="AK138">
        <v>3004.2</v>
      </c>
      <c r="AL138">
        <v>2572.5700000000002</v>
      </c>
      <c r="AM138">
        <v>53.2</v>
      </c>
      <c r="AN138">
        <v>1.43</v>
      </c>
      <c r="AO138">
        <v>378.43</v>
      </c>
      <c r="AP138">
        <v>0</v>
      </c>
      <c r="AQ138">
        <v>45.43</v>
      </c>
      <c r="AR138">
        <v>0.11</v>
      </c>
      <c r="AS138">
        <v>0</v>
      </c>
      <c r="AT138">
        <v>97.2</v>
      </c>
      <c r="AU138">
        <v>46.75</v>
      </c>
      <c r="AV138">
        <v>1</v>
      </c>
      <c r="AW138">
        <v>1</v>
      </c>
      <c r="AZ138">
        <v>1</v>
      </c>
      <c r="BA138">
        <v>24.22</v>
      </c>
      <c r="BB138">
        <v>1</v>
      </c>
      <c r="BC138">
        <v>1</v>
      </c>
      <c r="BD138" t="s">
        <v>6</v>
      </c>
      <c r="BE138" t="s">
        <v>6</v>
      </c>
      <c r="BF138" t="s">
        <v>6</v>
      </c>
      <c r="BG138" t="s">
        <v>6</v>
      </c>
      <c r="BH138">
        <v>0</v>
      </c>
      <c r="BI138">
        <v>1</v>
      </c>
      <c r="BJ138" t="s">
        <v>311</v>
      </c>
      <c r="BM138">
        <v>10001</v>
      </c>
      <c r="BN138">
        <v>0</v>
      </c>
      <c r="BO138" t="s">
        <v>1327</v>
      </c>
      <c r="BP138">
        <v>1</v>
      </c>
      <c r="BQ138">
        <v>2</v>
      </c>
      <c r="BR138">
        <v>0</v>
      </c>
      <c r="BS138">
        <v>24.22</v>
      </c>
      <c r="BT138">
        <v>1</v>
      </c>
      <c r="BU138">
        <v>1</v>
      </c>
      <c r="BV138">
        <v>1</v>
      </c>
      <c r="BW138">
        <v>1</v>
      </c>
      <c r="BX138">
        <v>1</v>
      </c>
      <c r="BY138" t="s">
        <v>6</v>
      </c>
      <c r="BZ138">
        <v>108</v>
      </c>
      <c r="CA138">
        <v>55</v>
      </c>
      <c r="CB138" t="s">
        <v>6</v>
      </c>
      <c r="CE138">
        <v>0</v>
      </c>
      <c r="CF138">
        <v>0</v>
      </c>
      <c r="CG138">
        <v>0</v>
      </c>
      <c r="CM138">
        <v>0</v>
      </c>
      <c r="CN138" t="s">
        <v>6</v>
      </c>
      <c r="CO138">
        <v>0</v>
      </c>
      <c r="CP138">
        <f t="shared" si="138"/>
        <v>1033.04</v>
      </c>
      <c r="CQ138">
        <f>AC138*BC138</f>
        <v>2572.5700000000002</v>
      </c>
      <c r="CR138">
        <f t="shared" si="140"/>
        <v>76.474999999999994</v>
      </c>
      <c r="CS138">
        <f t="shared" si="141"/>
        <v>2.055625</v>
      </c>
      <c r="CT138">
        <f t="shared" si="142"/>
        <v>500.47367500000001</v>
      </c>
      <c r="CU138">
        <f t="shared" si="143"/>
        <v>0</v>
      </c>
      <c r="CV138">
        <f t="shared" si="144"/>
        <v>60.081175000000002</v>
      </c>
      <c r="CW138">
        <f t="shared" si="145"/>
        <v>0.15812499999999999</v>
      </c>
      <c r="CX138">
        <f t="shared" si="146"/>
        <v>0</v>
      </c>
      <c r="CY138">
        <f t="shared" si="147"/>
        <v>160.21475999999998</v>
      </c>
      <c r="CZ138">
        <f t="shared" si="148"/>
        <v>77.058024999999986</v>
      </c>
      <c r="DC138" t="s">
        <v>6</v>
      </c>
      <c r="DD138" t="s">
        <v>6</v>
      </c>
      <c r="DE138" t="s">
        <v>126</v>
      </c>
      <c r="DF138" t="s">
        <v>126</v>
      </c>
      <c r="DG138" t="s">
        <v>127</v>
      </c>
      <c r="DH138" t="s">
        <v>6</v>
      </c>
      <c r="DI138" t="s">
        <v>127</v>
      </c>
      <c r="DJ138" t="s">
        <v>126</v>
      </c>
      <c r="DK138" t="s">
        <v>6</v>
      </c>
      <c r="DL138" t="s">
        <v>6</v>
      </c>
      <c r="DM138" t="s">
        <v>6</v>
      </c>
      <c r="DN138">
        <v>0</v>
      </c>
      <c r="DO138">
        <v>0</v>
      </c>
      <c r="DP138">
        <v>1</v>
      </c>
      <c r="DQ138">
        <v>1</v>
      </c>
      <c r="DU138">
        <v>1013</v>
      </c>
      <c r="DV138" t="s">
        <v>22</v>
      </c>
      <c r="DW138" t="s">
        <v>22</v>
      </c>
      <c r="DX138">
        <v>1</v>
      </c>
      <c r="DZ138" t="s">
        <v>6</v>
      </c>
      <c r="EA138" t="s">
        <v>6</v>
      </c>
      <c r="EB138" t="s">
        <v>6</v>
      </c>
      <c r="EC138" t="s">
        <v>6</v>
      </c>
      <c r="EE138">
        <v>30852905</v>
      </c>
      <c r="EF138">
        <v>2</v>
      </c>
      <c r="EG138" t="s">
        <v>26</v>
      </c>
      <c r="EH138">
        <v>0</v>
      </c>
      <c r="EI138" t="s">
        <v>6</v>
      </c>
      <c r="EJ138">
        <v>1</v>
      </c>
      <c r="EK138">
        <v>10001</v>
      </c>
      <c r="EL138" t="s">
        <v>27</v>
      </c>
      <c r="EM138" t="s">
        <v>28</v>
      </c>
      <c r="EO138" t="s">
        <v>6</v>
      </c>
      <c r="EQ138">
        <v>0</v>
      </c>
      <c r="ER138">
        <v>3004.2</v>
      </c>
      <c r="ES138">
        <v>2572.5700000000002</v>
      </c>
      <c r="ET138">
        <v>53.2</v>
      </c>
      <c r="EU138">
        <v>1.43</v>
      </c>
      <c r="EV138">
        <v>378.43</v>
      </c>
      <c r="EW138">
        <v>45.43</v>
      </c>
      <c r="EX138">
        <v>0.11</v>
      </c>
      <c r="EY138">
        <v>0</v>
      </c>
      <c r="FQ138">
        <v>0</v>
      </c>
      <c r="FR138">
        <f t="shared" si="149"/>
        <v>0</v>
      </c>
      <c r="FS138">
        <v>0</v>
      </c>
      <c r="FT138" t="s">
        <v>29</v>
      </c>
      <c r="FU138" t="s">
        <v>30</v>
      </c>
      <c r="FX138">
        <v>97.2</v>
      </c>
      <c r="FY138">
        <v>46.75</v>
      </c>
      <c r="GA138" t="s">
        <v>6</v>
      </c>
      <c r="GD138">
        <v>1</v>
      </c>
      <c r="GF138">
        <v>-241428550</v>
      </c>
      <c r="GG138">
        <v>2</v>
      </c>
      <c r="GH138">
        <v>1</v>
      </c>
      <c r="GI138">
        <v>4</v>
      </c>
      <c r="GJ138">
        <v>0</v>
      </c>
      <c r="GK138">
        <v>0</v>
      </c>
      <c r="GL138">
        <f t="shared" si="150"/>
        <v>0</v>
      </c>
      <c r="GM138">
        <f t="shared" si="151"/>
        <v>1270.31</v>
      </c>
      <c r="GN138">
        <f t="shared" si="152"/>
        <v>1270.31</v>
      </c>
      <c r="GO138">
        <f t="shared" si="153"/>
        <v>0</v>
      </c>
      <c r="GP138">
        <f t="shared" si="154"/>
        <v>0</v>
      </c>
      <c r="GR138">
        <v>0</v>
      </c>
      <c r="GS138">
        <v>0</v>
      </c>
      <c r="GT138">
        <v>0</v>
      </c>
      <c r="GU138" t="s">
        <v>6</v>
      </c>
      <c r="GV138">
        <f t="shared" si="155"/>
        <v>0</v>
      </c>
      <c r="GW138">
        <v>1</v>
      </c>
      <c r="GX138">
        <f t="shared" si="156"/>
        <v>0</v>
      </c>
      <c r="HA138">
        <v>0</v>
      </c>
      <c r="HB138">
        <v>0</v>
      </c>
      <c r="HC138">
        <f t="shared" si="157"/>
        <v>0</v>
      </c>
      <c r="HE138" t="s">
        <v>6</v>
      </c>
      <c r="HF138" t="s">
        <v>6</v>
      </c>
      <c r="HI138">
        <f t="shared" si="158"/>
        <v>16</v>
      </c>
      <c r="HJ138">
        <f t="shared" si="159"/>
        <v>3976</v>
      </c>
      <c r="HK138">
        <f t="shared" si="160"/>
        <v>3880</v>
      </c>
      <c r="HL138">
        <f t="shared" si="161"/>
        <v>1866</v>
      </c>
      <c r="HM138" t="s">
        <v>6</v>
      </c>
      <c r="HN138" t="s">
        <v>6</v>
      </c>
      <c r="HO138" t="s">
        <v>6</v>
      </c>
      <c r="HP138" t="s">
        <v>6</v>
      </c>
      <c r="HQ138" t="s">
        <v>6</v>
      </c>
      <c r="IK138">
        <v>0</v>
      </c>
    </row>
    <row r="139" spans="1:245">
      <c r="A139">
        <v>17</v>
      </c>
      <c r="B139">
        <v>1</v>
      </c>
      <c r="E139" t="s">
        <v>312</v>
      </c>
      <c r="F139" t="s">
        <v>313</v>
      </c>
      <c r="G139" t="s">
        <v>314</v>
      </c>
      <c r="H139" t="s">
        <v>315</v>
      </c>
      <c r="I139">
        <f>ROUND(I138*-50.7,7)</f>
        <v>-16.6296</v>
      </c>
      <c r="J139">
        <v>0</v>
      </c>
      <c r="K139">
        <f>ROUND(I138*-50.7,7)</f>
        <v>-16.6296</v>
      </c>
      <c r="O139">
        <f t="shared" si="123"/>
        <v>-622.61</v>
      </c>
      <c r="P139">
        <f>ROUND(CQ139*I139,2)</f>
        <v>-622.61</v>
      </c>
      <c r="Q139">
        <f t="shared" si="125"/>
        <v>0</v>
      </c>
      <c r="R139">
        <f t="shared" si="126"/>
        <v>0</v>
      </c>
      <c r="S139">
        <f t="shared" si="127"/>
        <v>0</v>
      </c>
      <c r="T139">
        <f t="shared" si="128"/>
        <v>0</v>
      </c>
      <c r="U139">
        <f t="shared" si="129"/>
        <v>0</v>
      </c>
      <c r="V139">
        <f t="shared" si="130"/>
        <v>0</v>
      </c>
      <c r="W139">
        <f t="shared" si="131"/>
        <v>0</v>
      </c>
      <c r="X139">
        <f t="shared" si="132"/>
        <v>0</v>
      </c>
      <c r="Y139">
        <f t="shared" si="133"/>
        <v>0</v>
      </c>
      <c r="AA139">
        <v>31028412</v>
      </c>
      <c r="AB139">
        <f t="shared" si="134"/>
        <v>37.44</v>
      </c>
      <c r="AC139">
        <f t="shared" si="135"/>
        <v>37.44</v>
      </c>
      <c r="AD139">
        <f>ROUND((((ET139)-(EU139))+AE139),6)</f>
        <v>0</v>
      </c>
      <c r="AE139">
        <f>ROUND((EU139),6)</f>
        <v>0</v>
      </c>
      <c r="AF139">
        <f>ROUND((EV139),6)</f>
        <v>0</v>
      </c>
      <c r="AG139">
        <f t="shared" si="136"/>
        <v>0</v>
      </c>
      <c r="AH139">
        <f>(EW139)</f>
        <v>0</v>
      </c>
      <c r="AI139">
        <f>(EX139)</f>
        <v>0</v>
      </c>
      <c r="AJ139">
        <f t="shared" si="137"/>
        <v>0</v>
      </c>
      <c r="AK139">
        <v>37.44</v>
      </c>
      <c r="AL139">
        <v>37.44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1</v>
      </c>
      <c r="AW139">
        <v>1</v>
      </c>
      <c r="AZ139">
        <v>1</v>
      </c>
      <c r="BA139">
        <v>1</v>
      </c>
      <c r="BB139">
        <v>1</v>
      </c>
      <c r="BC139">
        <v>1</v>
      </c>
      <c r="BD139" t="s">
        <v>6</v>
      </c>
      <c r="BE139" t="s">
        <v>6</v>
      </c>
      <c r="BF139" t="s">
        <v>6</v>
      </c>
      <c r="BG139" t="s">
        <v>6</v>
      </c>
      <c r="BH139">
        <v>3</v>
      </c>
      <c r="BI139">
        <v>1</v>
      </c>
      <c r="BJ139" t="s">
        <v>316</v>
      </c>
      <c r="BM139">
        <v>500001</v>
      </c>
      <c r="BN139">
        <v>0</v>
      </c>
      <c r="BO139" t="s">
        <v>111</v>
      </c>
      <c r="BP139">
        <v>1</v>
      </c>
      <c r="BQ139">
        <v>8</v>
      </c>
      <c r="BR139">
        <v>1</v>
      </c>
      <c r="BS139">
        <v>1</v>
      </c>
      <c r="BT139">
        <v>1</v>
      </c>
      <c r="BU139">
        <v>1</v>
      </c>
      <c r="BV139">
        <v>1</v>
      </c>
      <c r="BW139">
        <v>1</v>
      </c>
      <c r="BX139">
        <v>1</v>
      </c>
      <c r="BY139" t="s">
        <v>6</v>
      </c>
      <c r="BZ139">
        <v>0</v>
      </c>
      <c r="CA139">
        <v>0</v>
      </c>
      <c r="CB139" t="s">
        <v>6</v>
      </c>
      <c r="CE139">
        <v>0</v>
      </c>
      <c r="CF139">
        <v>0</v>
      </c>
      <c r="CG139">
        <v>0</v>
      </c>
      <c r="CM139">
        <v>0</v>
      </c>
      <c r="CN139" t="s">
        <v>6</v>
      </c>
      <c r="CO139">
        <v>0</v>
      </c>
      <c r="CP139">
        <f t="shared" si="138"/>
        <v>-622.61</v>
      </c>
      <c r="CQ139">
        <f>AC139*BC139</f>
        <v>37.44</v>
      </c>
      <c r="CR139">
        <f t="shared" si="140"/>
        <v>0</v>
      </c>
      <c r="CS139">
        <f t="shared" si="141"/>
        <v>0</v>
      </c>
      <c r="CT139">
        <f t="shared" si="142"/>
        <v>0</v>
      </c>
      <c r="CU139">
        <f t="shared" si="143"/>
        <v>0</v>
      </c>
      <c r="CV139">
        <f t="shared" si="144"/>
        <v>0</v>
      </c>
      <c r="CW139">
        <f t="shared" si="145"/>
        <v>0</v>
      </c>
      <c r="CX139">
        <f t="shared" si="146"/>
        <v>0</v>
      </c>
      <c r="CY139">
        <f t="shared" si="147"/>
        <v>0</v>
      </c>
      <c r="CZ139">
        <f t="shared" si="148"/>
        <v>0</v>
      </c>
      <c r="DC139" t="s">
        <v>6</v>
      </c>
      <c r="DD139" t="s">
        <v>6</v>
      </c>
      <c r="DE139" t="s">
        <v>6</v>
      </c>
      <c r="DF139" t="s">
        <v>6</v>
      </c>
      <c r="DG139" t="s">
        <v>6</v>
      </c>
      <c r="DH139" t="s">
        <v>6</v>
      </c>
      <c r="DI139" t="s">
        <v>6</v>
      </c>
      <c r="DJ139" t="s">
        <v>6</v>
      </c>
      <c r="DK139" t="s">
        <v>6</v>
      </c>
      <c r="DL139" t="s">
        <v>6</v>
      </c>
      <c r="DM139" t="s">
        <v>6</v>
      </c>
      <c r="DN139">
        <v>0</v>
      </c>
      <c r="DO139">
        <v>0</v>
      </c>
      <c r="DP139">
        <v>1</v>
      </c>
      <c r="DQ139">
        <v>1</v>
      </c>
      <c r="DU139">
        <v>1003</v>
      </c>
      <c r="DV139" t="s">
        <v>315</v>
      </c>
      <c r="DW139" t="s">
        <v>315</v>
      </c>
      <c r="DX139">
        <v>1</v>
      </c>
      <c r="DZ139" t="s">
        <v>6</v>
      </c>
      <c r="EA139" t="s">
        <v>6</v>
      </c>
      <c r="EB139" t="s">
        <v>6</v>
      </c>
      <c r="EC139" t="s">
        <v>6</v>
      </c>
      <c r="EE139">
        <v>30852824</v>
      </c>
      <c r="EF139">
        <v>8</v>
      </c>
      <c r="EG139" t="s">
        <v>112</v>
      </c>
      <c r="EH139">
        <v>0</v>
      </c>
      <c r="EI139" t="s">
        <v>6</v>
      </c>
      <c r="EJ139">
        <v>1</v>
      </c>
      <c r="EK139">
        <v>500001</v>
      </c>
      <c r="EL139" t="s">
        <v>113</v>
      </c>
      <c r="EM139" t="s">
        <v>114</v>
      </c>
      <c r="EO139" t="s">
        <v>6</v>
      </c>
      <c r="EQ139">
        <v>32768</v>
      </c>
      <c r="ER139">
        <v>37.44</v>
      </c>
      <c r="ES139">
        <v>37.44</v>
      </c>
      <c r="ET139">
        <v>0</v>
      </c>
      <c r="EU139">
        <v>0</v>
      </c>
      <c r="EV139">
        <v>0</v>
      </c>
      <c r="EW139">
        <v>0</v>
      </c>
      <c r="EX139">
        <v>0</v>
      </c>
      <c r="EY139">
        <v>0</v>
      </c>
      <c r="FQ139">
        <v>0</v>
      </c>
      <c r="FR139">
        <f t="shared" si="149"/>
        <v>0</v>
      </c>
      <c r="FS139">
        <v>0</v>
      </c>
      <c r="FX139">
        <v>0</v>
      </c>
      <c r="FY139">
        <v>0</v>
      </c>
      <c r="GA139" t="s">
        <v>6</v>
      </c>
      <c r="GD139">
        <v>1</v>
      </c>
      <c r="GF139">
        <v>1580038190</v>
      </c>
      <c r="GG139">
        <v>2</v>
      </c>
      <c r="GH139">
        <v>1</v>
      </c>
      <c r="GI139">
        <v>4</v>
      </c>
      <c r="GJ139">
        <v>0</v>
      </c>
      <c r="GK139">
        <v>0</v>
      </c>
      <c r="GL139">
        <f t="shared" si="150"/>
        <v>0</v>
      </c>
      <c r="GM139">
        <f t="shared" si="151"/>
        <v>-622.61</v>
      </c>
      <c r="GN139">
        <f t="shared" si="152"/>
        <v>-622.61</v>
      </c>
      <c r="GO139">
        <f t="shared" si="153"/>
        <v>0</v>
      </c>
      <c r="GP139">
        <f t="shared" si="154"/>
        <v>0</v>
      </c>
      <c r="GR139">
        <v>0</v>
      </c>
      <c r="GS139">
        <v>0</v>
      </c>
      <c r="GT139">
        <v>0</v>
      </c>
      <c r="GU139" t="s">
        <v>6</v>
      </c>
      <c r="GV139">
        <f t="shared" si="155"/>
        <v>0</v>
      </c>
      <c r="GW139">
        <v>1</v>
      </c>
      <c r="GX139">
        <f t="shared" si="156"/>
        <v>0</v>
      </c>
      <c r="HA139">
        <v>0</v>
      </c>
      <c r="HB139">
        <v>0</v>
      </c>
      <c r="HC139">
        <f t="shared" si="157"/>
        <v>0</v>
      </c>
      <c r="HE139" t="s">
        <v>6</v>
      </c>
      <c r="HF139" t="s">
        <v>6</v>
      </c>
      <c r="HI139">
        <f t="shared" si="158"/>
        <v>0</v>
      </c>
      <c r="HJ139">
        <f t="shared" si="159"/>
        <v>0</v>
      </c>
      <c r="HK139">
        <f t="shared" si="160"/>
        <v>0</v>
      </c>
      <c r="HL139">
        <f t="shared" si="161"/>
        <v>0</v>
      </c>
      <c r="HM139" t="s">
        <v>6</v>
      </c>
      <c r="HN139" t="s">
        <v>6</v>
      </c>
      <c r="HO139" t="s">
        <v>6</v>
      </c>
      <c r="HP139" t="s">
        <v>6</v>
      </c>
      <c r="HQ139" t="s">
        <v>6</v>
      </c>
      <c r="IK139">
        <v>0</v>
      </c>
    </row>
    <row r="140" spans="1:245">
      <c r="A140">
        <v>17</v>
      </c>
      <c r="B140">
        <v>1</v>
      </c>
      <c r="E140" t="s">
        <v>317</v>
      </c>
      <c r="F140" t="s">
        <v>287</v>
      </c>
      <c r="G140" t="s">
        <v>318</v>
      </c>
      <c r="H140" t="s">
        <v>284</v>
      </c>
      <c r="I140">
        <v>4.8</v>
      </c>
      <c r="J140">
        <v>0</v>
      </c>
      <c r="K140">
        <v>4.8</v>
      </c>
      <c r="O140">
        <f t="shared" si="123"/>
        <v>7536.79</v>
      </c>
      <c r="P140">
        <f>ROUND(ROUND(CQ140*I140,0)/BC140,2)</f>
        <v>7536.79</v>
      </c>
      <c r="Q140">
        <f t="shared" si="125"/>
        <v>0</v>
      </c>
      <c r="R140">
        <f t="shared" si="126"/>
        <v>0</v>
      </c>
      <c r="S140">
        <f t="shared" si="127"/>
        <v>0</v>
      </c>
      <c r="T140">
        <f t="shared" si="128"/>
        <v>0</v>
      </c>
      <c r="U140">
        <f t="shared" si="129"/>
        <v>0</v>
      </c>
      <c r="V140">
        <f t="shared" si="130"/>
        <v>0</v>
      </c>
      <c r="W140">
        <f t="shared" si="131"/>
        <v>0</v>
      </c>
      <c r="X140">
        <f t="shared" si="132"/>
        <v>0</v>
      </c>
      <c r="Y140">
        <f t="shared" si="133"/>
        <v>0</v>
      </c>
      <c r="AA140">
        <v>31028412</v>
      </c>
      <c r="AB140">
        <f t="shared" si="134"/>
        <v>9688</v>
      </c>
      <c r="AC140">
        <f t="shared" si="135"/>
        <v>9688</v>
      </c>
      <c r="AD140">
        <f>ROUND((((ET140)-(EU140))+AE140),6)</f>
        <v>0</v>
      </c>
      <c r="AE140">
        <f>ROUND((EU140),6)</f>
        <v>0</v>
      </c>
      <c r="AF140">
        <f>ROUND((EV140),6)</f>
        <v>0</v>
      </c>
      <c r="AG140">
        <f t="shared" si="136"/>
        <v>0</v>
      </c>
      <c r="AH140">
        <f>(EW140)</f>
        <v>0</v>
      </c>
      <c r="AI140">
        <f>(EX140)</f>
        <v>0</v>
      </c>
      <c r="AJ140">
        <f t="shared" si="137"/>
        <v>0</v>
      </c>
      <c r="AK140">
        <v>9688</v>
      </c>
      <c r="AL140">
        <v>9688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1</v>
      </c>
      <c r="AW140">
        <v>1</v>
      </c>
      <c r="AZ140">
        <v>1</v>
      </c>
      <c r="BA140">
        <v>1</v>
      </c>
      <c r="BB140">
        <v>1</v>
      </c>
      <c r="BC140">
        <v>6.17</v>
      </c>
      <c r="BD140" t="s">
        <v>6</v>
      </c>
      <c r="BE140" t="s">
        <v>6</v>
      </c>
      <c r="BF140" t="s">
        <v>6</v>
      </c>
      <c r="BG140" t="s">
        <v>6</v>
      </c>
      <c r="BH140">
        <v>3</v>
      </c>
      <c r="BI140">
        <v>1</v>
      </c>
      <c r="BJ140" t="s">
        <v>6</v>
      </c>
      <c r="BM140">
        <v>1100</v>
      </c>
      <c r="BN140">
        <v>0</v>
      </c>
      <c r="BO140" t="s">
        <v>111</v>
      </c>
      <c r="BP140">
        <v>1</v>
      </c>
      <c r="BQ140">
        <v>8</v>
      </c>
      <c r="BR140">
        <v>0</v>
      </c>
      <c r="BS140">
        <v>1</v>
      </c>
      <c r="BT140">
        <v>1</v>
      </c>
      <c r="BU140">
        <v>1</v>
      </c>
      <c r="BV140">
        <v>1</v>
      </c>
      <c r="BW140">
        <v>1</v>
      </c>
      <c r="BX140">
        <v>1</v>
      </c>
      <c r="BY140" t="s">
        <v>6</v>
      </c>
      <c r="BZ140">
        <v>0</v>
      </c>
      <c r="CA140">
        <v>0</v>
      </c>
      <c r="CB140" t="s">
        <v>6</v>
      </c>
      <c r="CE140">
        <v>0</v>
      </c>
      <c r="CF140">
        <v>0</v>
      </c>
      <c r="CG140">
        <v>0</v>
      </c>
      <c r="CM140">
        <v>0</v>
      </c>
      <c r="CN140" t="s">
        <v>6</v>
      </c>
      <c r="CO140">
        <v>0</v>
      </c>
      <c r="CP140">
        <f t="shared" si="138"/>
        <v>7536.79</v>
      </c>
      <c r="CQ140">
        <f>AC140</f>
        <v>9688</v>
      </c>
      <c r="CR140">
        <f t="shared" si="140"/>
        <v>0</v>
      </c>
      <c r="CS140">
        <f t="shared" si="141"/>
        <v>0</v>
      </c>
      <c r="CT140">
        <f t="shared" si="142"/>
        <v>0</v>
      </c>
      <c r="CU140">
        <f t="shared" si="143"/>
        <v>0</v>
      </c>
      <c r="CV140">
        <f t="shared" si="144"/>
        <v>0</v>
      </c>
      <c r="CW140">
        <f t="shared" si="145"/>
        <v>0</v>
      </c>
      <c r="CX140">
        <f t="shared" si="146"/>
        <v>0</v>
      </c>
      <c r="CY140">
        <f t="shared" si="147"/>
        <v>0</v>
      </c>
      <c r="CZ140">
        <f t="shared" si="148"/>
        <v>0</v>
      </c>
      <c r="DC140" t="s">
        <v>6</v>
      </c>
      <c r="DD140" t="s">
        <v>6</v>
      </c>
      <c r="DE140" t="s">
        <v>6</v>
      </c>
      <c r="DF140" t="s">
        <v>6</v>
      </c>
      <c r="DG140" t="s">
        <v>6</v>
      </c>
      <c r="DH140" t="s">
        <v>6</v>
      </c>
      <c r="DI140" t="s">
        <v>6</v>
      </c>
      <c r="DJ140" t="s">
        <v>6</v>
      </c>
      <c r="DK140" t="s">
        <v>6</v>
      </c>
      <c r="DL140" t="s">
        <v>6</v>
      </c>
      <c r="DM140" t="s">
        <v>6</v>
      </c>
      <c r="DN140">
        <v>0</v>
      </c>
      <c r="DO140">
        <v>0</v>
      </c>
      <c r="DP140">
        <v>1</v>
      </c>
      <c r="DQ140">
        <v>1</v>
      </c>
      <c r="DU140">
        <v>1005</v>
      </c>
      <c r="DV140" t="s">
        <v>284</v>
      </c>
      <c r="DW140" t="s">
        <v>284</v>
      </c>
      <c r="DX140">
        <v>1</v>
      </c>
      <c r="DZ140" t="s">
        <v>6</v>
      </c>
      <c r="EA140" t="s">
        <v>6</v>
      </c>
      <c r="EB140" t="s">
        <v>6</v>
      </c>
      <c r="EC140" t="s">
        <v>6</v>
      </c>
      <c r="EE140">
        <v>30853118</v>
      </c>
      <c r="EF140">
        <v>8</v>
      </c>
      <c r="EG140" t="s">
        <v>112</v>
      </c>
      <c r="EH140">
        <v>0</v>
      </c>
      <c r="EI140" t="s">
        <v>6</v>
      </c>
      <c r="EJ140">
        <v>1</v>
      </c>
      <c r="EK140">
        <v>1100</v>
      </c>
      <c r="EL140" t="s">
        <v>119</v>
      </c>
      <c r="EM140" t="s">
        <v>120</v>
      </c>
      <c r="EO140" t="s">
        <v>6</v>
      </c>
      <c r="EQ140">
        <v>0</v>
      </c>
      <c r="ER140">
        <v>9688</v>
      </c>
      <c r="ES140">
        <v>9688</v>
      </c>
      <c r="ET140">
        <v>0</v>
      </c>
      <c r="EU140">
        <v>0</v>
      </c>
      <c r="EV140">
        <v>0</v>
      </c>
      <c r="EW140">
        <v>0</v>
      </c>
      <c r="EX140">
        <v>0</v>
      </c>
      <c r="EY140">
        <v>0</v>
      </c>
      <c r="EZ140">
        <v>5</v>
      </c>
      <c r="FC140">
        <v>0</v>
      </c>
      <c r="FD140">
        <v>18</v>
      </c>
      <c r="FF140">
        <v>9688</v>
      </c>
      <c r="FQ140">
        <v>0</v>
      </c>
      <c r="FR140">
        <f t="shared" si="149"/>
        <v>0</v>
      </c>
      <c r="FS140">
        <v>0</v>
      </c>
      <c r="FX140">
        <v>0</v>
      </c>
      <c r="FY140">
        <v>0</v>
      </c>
      <c r="GA140" t="s">
        <v>6</v>
      </c>
      <c r="GD140">
        <v>1</v>
      </c>
      <c r="GF140">
        <v>-551784034</v>
      </c>
      <c r="GG140">
        <v>2</v>
      </c>
      <c r="GH140">
        <v>3</v>
      </c>
      <c r="GI140">
        <v>4</v>
      </c>
      <c r="GJ140">
        <v>0</v>
      </c>
      <c r="GK140">
        <v>0</v>
      </c>
      <c r="GL140">
        <f t="shared" si="150"/>
        <v>0</v>
      </c>
      <c r="GM140">
        <f t="shared" si="151"/>
        <v>7536.79</v>
      </c>
      <c r="GN140">
        <f t="shared" si="152"/>
        <v>7536.79</v>
      </c>
      <c r="GO140">
        <f t="shared" si="153"/>
        <v>0</v>
      </c>
      <c r="GP140">
        <f t="shared" si="154"/>
        <v>0</v>
      </c>
      <c r="GR140">
        <v>1</v>
      </c>
      <c r="GS140">
        <v>1</v>
      </c>
      <c r="GT140">
        <v>0</v>
      </c>
      <c r="GU140" t="s">
        <v>6</v>
      </c>
      <c r="GV140">
        <f t="shared" si="155"/>
        <v>0</v>
      </c>
      <c r="GW140">
        <v>1</v>
      </c>
      <c r="GX140">
        <f t="shared" si="156"/>
        <v>0</v>
      </c>
      <c r="HA140">
        <v>0</v>
      </c>
      <c r="HB140">
        <v>0</v>
      </c>
      <c r="HC140">
        <f t="shared" si="157"/>
        <v>0</v>
      </c>
      <c r="HE140" t="s">
        <v>6</v>
      </c>
      <c r="HF140" t="s">
        <v>6</v>
      </c>
      <c r="HG140">
        <f>ROUND(AC140*I140,0)</f>
        <v>46502</v>
      </c>
      <c r="HI140">
        <f t="shared" si="158"/>
        <v>0</v>
      </c>
      <c r="HJ140">
        <f t="shared" si="159"/>
        <v>0</v>
      </c>
      <c r="HK140">
        <f t="shared" si="160"/>
        <v>0</v>
      </c>
      <c r="HL140">
        <f t="shared" si="161"/>
        <v>0</v>
      </c>
      <c r="HM140" t="s">
        <v>6</v>
      </c>
      <c r="HN140" t="s">
        <v>6</v>
      </c>
      <c r="HO140" t="s">
        <v>6</v>
      </c>
      <c r="HP140" t="s">
        <v>6</v>
      </c>
      <c r="HQ140" t="s">
        <v>6</v>
      </c>
      <c r="IK140">
        <v>0</v>
      </c>
    </row>
    <row r="141" spans="1:245">
      <c r="A141">
        <v>17</v>
      </c>
      <c r="B141">
        <v>1</v>
      </c>
      <c r="C141">
        <f>ROW(SmtRes!A162)</f>
        <v>162</v>
      </c>
      <c r="D141">
        <f>ROW(EtalonRes!A186)</f>
        <v>186</v>
      </c>
      <c r="E141" t="s">
        <v>319</v>
      </c>
      <c r="F141" t="s">
        <v>320</v>
      </c>
      <c r="G141" t="s">
        <v>321</v>
      </c>
      <c r="H141" t="s">
        <v>124</v>
      </c>
      <c r="I141">
        <f>ROUND((59.88+3.4+4.8)/100,7)</f>
        <v>0.68079999999999996</v>
      </c>
      <c r="J141">
        <v>0</v>
      </c>
      <c r="K141">
        <f>ROUND((59.88+3.4+4.8)/100,7)</f>
        <v>0.68079999999999996</v>
      </c>
      <c r="O141">
        <f t="shared" si="123"/>
        <v>1512.22</v>
      </c>
      <c r="P141">
        <f>ROUND(CQ141*I141,2)</f>
        <v>410.69</v>
      </c>
      <c r="Q141">
        <f t="shared" si="125"/>
        <v>8.3699999999999992</v>
      </c>
      <c r="R141">
        <f t="shared" si="126"/>
        <v>0.13</v>
      </c>
      <c r="S141">
        <f t="shared" si="127"/>
        <v>1093.1600000000001</v>
      </c>
      <c r="T141">
        <f t="shared" si="128"/>
        <v>0</v>
      </c>
      <c r="U141">
        <f t="shared" si="129"/>
        <v>124.78961879999999</v>
      </c>
      <c r="V141">
        <f t="shared" si="130"/>
        <v>9.7865000000000001E-3</v>
      </c>
      <c r="W141">
        <f t="shared" si="131"/>
        <v>0</v>
      </c>
      <c r="X141">
        <f t="shared" si="132"/>
        <v>983.96</v>
      </c>
      <c r="Y141">
        <f t="shared" si="133"/>
        <v>455.36</v>
      </c>
      <c r="AA141">
        <v>31028412</v>
      </c>
      <c r="AB141">
        <f t="shared" si="134"/>
        <v>2221.230775</v>
      </c>
      <c r="AC141">
        <f t="shared" si="135"/>
        <v>603.24</v>
      </c>
      <c r="AD141">
        <f>ROUND(((((ET141*ROUND((1.25*1.15),7)))-((EU141*ROUND((1.25*1.15),7))))+AE141),6)</f>
        <v>12.290625</v>
      </c>
      <c r="AE141">
        <f>ROUND(((EU141*ROUND((1.25*1.15),7))),6)</f>
        <v>0.18687500000000001</v>
      </c>
      <c r="AF141">
        <f>ROUND(((EV141*ROUND((1.15*1.15),7))),6)</f>
        <v>1605.7001499999999</v>
      </c>
      <c r="AG141">
        <f t="shared" si="136"/>
        <v>0</v>
      </c>
      <c r="AH141">
        <f>((EW141*ROUND((1.15*1.15),7)))</f>
        <v>183.29849999999999</v>
      </c>
      <c r="AI141">
        <f>((EX141*ROUND((1.25*1.15),7)))</f>
        <v>1.4375000000000001E-2</v>
      </c>
      <c r="AJ141">
        <f t="shared" si="137"/>
        <v>0</v>
      </c>
      <c r="AK141">
        <v>1825.93</v>
      </c>
      <c r="AL141">
        <v>603.24</v>
      </c>
      <c r="AM141">
        <v>8.5500000000000007</v>
      </c>
      <c r="AN141">
        <v>0.13</v>
      </c>
      <c r="AO141">
        <v>1214.1400000000001</v>
      </c>
      <c r="AP141">
        <v>0</v>
      </c>
      <c r="AQ141">
        <v>138.6</v>
      </c>
      <c r="AR141">
        <v>0.01</v>
      </c>
      <c r="AS141">
        <v>0</v>
      </c>
      <c r="AT141">
        <v>90</v>
      </c>
      <c r="AU141">
        <v>41.65</v>
      </c>
      <c r="AV141">
        <v>1</v>
      </c>
      <c r="AW141">
        <v>1</v>
      </c>
      <c r="AZ141">
        <v>1</v>
      </c>
      <c r="BA141">
        <v>24.22</v>
      </c>
      <c r="BB141">
        <v>1</v>
      </c>
      <c r="BC141">
        <v>1</v>
      </c>
      <c r="BD141" t="s">
        <v>6</v>
      </c>
      <c r="BE141" t="s">
        <v>6</v>
      </c>
      <c r="BF141" t="s">
        <v>6</v>
      </c>
      <c r="BG141" t="s">
        <v>6</v>
      </c>
      <c r="BH141">
        <v>0</v>
      </c>
      <c r="BI141">
        <v>1</v>
      </c>
      <c r="BJ141" t="s">
        <v>322</v>
      </c>
      <c r="BM141">
        <v>15001</v>
      </c>
      <c r="BN141">
        <v>0</v>
      </c>
      <c r="BO141" t="s">
        <v>1327</v>
      </c>
      <c r="BP141">
        <v>1</v>
      </c>
      <c r="BQ141">
        <v>2</v>
      </c>
      <c r="BR141">
        <v>0</v>
      </c>
      <c r="BS141">
        <v>24.22</v>
      </c>
      <c r="BT141">
        <v>1</v>
      </c>
      <c r="BU141">
        <v>1</v>
      </c>
      <c r="BV141">
        <v>1</v>
      </c>
      <c r="BW141">
        <v>1</v>
      </c>
      <c r="BX141">
        <v>1</v>
      </c>
      <c r="BY141" t="s">
        <v>6</v>
      </c>
      <c r="BZ141">
        <v>100</v>
      </c>
      <c r="CA141">
        <v>49</v>
      </c>
      <c r="CB141" t="s">
        <v>6</v>
      </c>
      <c r="CE141">
        <v>0</v>
      </c>
      <c r="CF141">
        <v>0</v>
      </c>
      <c r="CG141">
        <v>0</v>
      </c>
      <c r="CM141">
        <v>0</v>
      </c>
      <c r="CN141" t="s">
        <v>6</v>
      </c>
      <c r="CO141">
        <v>0</v>
      </c>
      <c r="CP141">
        <f t="shared" si="138"/>
        <v>1512.22</v>
      </c>
      <c r="CQ141">
        <f>AC141*BC141</f>
        <v>603.24</v>
      </c>
      <c r="CR141">
        <f t="shared" si="140"/>
        <v>12.290625</v>
      </c>
      <c r="CS141">
        <f t="shared" si="141"/>
        <v>0.18687500000000001</v>
      </c>
      <c r="CT141">
        <f t="shared" si="142"/>
        <v>1605.7001499999999</v>
      </c>
      <c r="CU141">
        <f t="shared" si="143"/>
        <v>0</v>
      </c>
      <c r="CV141">
        <f t="shared" si="144"/>
        <v>183.29849999999999</v>
      </c>
      <c r="CW141">
        <f t="shared" si="145"/>
        <v>1.4375000000000001E-2</v>
      </c>
      <c r="CX141">
        <f t="shared" si="146"/>
        <v>0</v>
      </c>
      <c r="CY141">
        <f t="shared" si="147"/>
        <v>983.96100000000024</v>
      </c>
      <c r="CZ141">
        <f t="shared" si="148"/>
        <v>455.35528500000009</v>
      </c>
      <c r="DC141" t="s">
        <v>6</v>
      </c>
      <c r="DD141" t="s">
        <v>6</v>
      </c>
      <c r="DE141" t="s">
        <v>126</v>
      </c>
      <c r="DF141" t="s">
        <v>126</v>
      </c>
      <c r="DG141" t="s">
        <v>127</v>
      </c>
      <c r="DH141" t="s">
        <v>6</v>
      </c>
      <c r="DI141" t="s">
        <v>127</v>
      </c>
      <c r="DJ141" t="s">
        <v>126</v>
      </c>
      <c r="DK141" t="s">
        <v>6</v>
      </c>
      <c r="DL141" t="s">
        <v>6</v>
      </c>
      <c r="DM141" t="s">
        <v>6</v>
      </c>
      <c r="DN141">
        <v>0</v>
      </c>
      <c r="DO141">
        <v>0</v>
      </c>
      <c r="DP141">
        <v>1</v>
      </c>
      <c r="DQ141">
        <v>1</v>
      </c>
      <c r="DU141">
        <v>1005</v>
      </c>
      <c r="DV141" t="s">
        <v>124</v>
      </c>
      <c r="DW141" t="s">
        <v>124</v>
      </c>
      <c r="DX141">
        <v>100</v>
      </c>
      <c r="DZ141" t="s">
        <v>6</v>
      </c>
      <c r="EA141" t="s">
        <v>6</v>
      </c>
      <c r="EB141" t="s">
        <v>6</v>
      </c>
      <c r="EC141" t="s">
        <v>6</v>
      </c>
      <c r="EE141">
        <v>30852936</v>
      </c>
      <c r="EF141">
        <v>2</v>
      </c>
      <c r="EG141" t="s">
        <v>26</v>
      </c>
      <c r="EH141">
        <v>0</v>
      </c>
      <c r="EI141" t="s">
        <v>6</v>
      </c>
      <c r="EJ141">
        <v>1</v>
      </c>
      <c r="EK141">
        <v>15001</v>
      </c>
      <c r="EL141" t="s">
        <v>128</v>
      </c>
      <c r="EM141" t="s">
        <v>129</v>
      </c>
      <c r="EO141" t="s">
        <v>6</v>
      </c>
      <c r="EQ141">
        <v>0</v>
      </c>
      <c r="ER141">
        <v>1825.93</v>
      </c>
      <c r="ES141">
        <v>603.24</v>
      </c>
      <c r="ET141">
        <v>8.5500000000000007</v>
      </c>
      <c r="EU141">
        <v>0.13</v>
      </c>
      <c r="EV141">
        <v>1214.1400000000001</v>
      </c>
      <c r="EW141">
        <v>138.6</v>
      </c>
      <c r="EX141">
        <v>0.01</v>
      </c>
      <c r="EY141">
        <v>0</v>
      </c>
      <c r="FQ141">
        <v>0</v>
      </c>
      <c r="FR141">
        <f t="shared" si="149"/>
        <v>0</v>
      </c>
      <c r="FS141">
        <v>0</v>
      </c>
      <c r="FT141" t="s">
        <v>29</v>
      </c>
      <c r="FU141" t="s">
        <v>30</v>
      </c>
      <c r="FX141">
        <v>90</v>
      </c>
      <c r="FY141">
        <v>41.65</v>
      </c>
      <c r="GA141" t="s">
        <v>6</v>
      </c>
      <c r="GD141">
        <v>1</v>
      </c>
      <c r="GF141">
        <v>-206375730</v>
      </c>
      <c r="GG141">
        <v>2</v>
      </c>
      <c r="GH141">
        <v>1</v>
      </c>
      <c r="GI141">
        <v>4</v>
      </c>
      <c r="GJ141">
        <v>0</v>
      </c>
      <c r="GK141">
        <v>0</v>
      </c>
      <c r="GL141">
        <f t="shared" si="150"/>
        <v>0</v>
      </c>
      <c r="GM141">
        <f t="shared" si="151"/>
        <v>2951.54</v>
      </c>
      <c r="GN141">
        <f t="shared" si="152"/>
        <v>2951.54</v>
      </c>
      <c r="GO141">
        <f t="shared" si="153"/>
        <v>0</v>
      </c>
      <c r="GP141">
        <f t="shared" si="154"/>
        <v>0</v>
      </c>
      <c r="GR141">
        <v>0</v>
      </c>
      <c r="GS141">
        <v>3</v>
      </c>
      <c r="GT141">
        <v>0</v>
      </c>
      <c r="GU141" t="s">
        <v>6</v>
      </c>
      <c r="GV141">
        <f t="shared" si="155"/>
        <v>0</v>
      </c>
      <c r="GW141">
        <v>1</v>
      </c>
      <c r="GX141">
        <f t="shared" si="156"/>
        <v>0</v>
      </c>
      <c r="HA141">
        <v>0</v>
      </c>
      <c r="HB141">
        <v>0</v>
      </c>
      <c r="HC141">
        <f t="shared" si="157"/>
        <v>0</v>
      </c>
      <c r="HE141" t="s">
        <v>6</v>
      </c>
      <c r="HF141" t="s">
        <v>6</v>
      </c>
      <c r="HI141">
        <f t="shared" si="158"/>
        <v>3</v>
      </c>
      <c r="HJ141">
        <f t="shared" si="159"/>
        <v>26476</v>
      </c>
      <c r="HK141">
        <f t="shared" si="160"/>
        <v>23831</v>
      </c>
      <c r="HL141">
        <f t="shared" si="161"/>
        <v>11029</v>
      </c>
      <c r="HM141" t="s">
        <v>6</v>
      </c>
      <c r="HN141" t="s">
        <v>6</v>
      </c>
      <c r="HO141" t="s">
        <v>6</v>
      </c>
      <c r="HP141" t="s">
        <v>6</v>
      </c>
      <c r="HQ141" t="s">
        <v>6</v>
      </c>
      <c r="IK141">
        <v>0</v>
      </c>
    </row>
    <row r="142" spans="1:245">
      <c r="A142">
        <v>17</v>
      </c>
      <c r="B142">
        <v>1</v>
      </c>
      <c r="C142">
        <f>ROW(SmtRes!A169)</f>
        <v>169</v>
      </c>
      <c r="D142">
        <f>ROW(EtalonRes!A193)</f>
        <v>193</v>
      </c>
      <c r="E142" t="s">
        <v>323</v>
      </c>
      <c r="F142" t="s">
        <v>186</v>
      </c>
      <c r="G142" t="s">
        <v>187</v>
      </c>
      <c r="H142" t="s">
        <v>188</v>
      </c>
      <c r="I142">
        <f>ROUND(3.85/100,7)</f>
        <v>3.85E-2</v>
      </c>
      <c r="J142">
        <v>0</v>
      </c>
      <c r="K142">
        <f>ROUND(3.85/100,7)</f>
        <v>3.85E-2</v>
      </c>
      <c r="O142">
        <f t="shared" si="123"/>
        <v>420.3</v>
      </c>
      <c r="P142">
        <f>ROUND(CQ142*I142,2)</f>
        <v>371.74</v>
      </c>
      <c r="Q142">
        <f t="shared" si="125"/>
        <v>1.31</v>
      </c>
      <c r="R142">
        <f t="shared" si="126"/>
        <v>0.14000000000000001</v>
      </c>
      <c r="S142">
        <f t="shared" si="127"/>
        <v>47.25</v>
      </c>
      <c r="T142">
        <f t="shared" si="128"/>
        <v>0</v>
      </c>
      <c r="U142">
        <f t="shared" si="129"/>
        <v>5.7408071874999997</v>
      </c>
      <c r="V142">
        <f t="shared" si="130"/>
        <v>1.106875E-2</v>
      </c>
      <c r="W142">
        <f t="shared" si="131"/>
        <v>0</v>
      </c>
      <c r="X142">
        <f t="shared" si="132"/>
        <v>46.49</v>
      </c>
      <c r="Y142">
        <f t="shared" si="133"/>
        <v>22.96</v>
      </c>
      <c r="AA142">
        <v>31028412</v>
      </c>
      <c r="AB142">
        <f t="shared" si="134"/>
        <v>10916.812425</v>
      </c>
      <c r="AC142">
        <f t="shared" si="135"/>
        <v>9655.7000000000007</v>
      </c>
      <c r="AD142">
        <f>ROUND(((((ET142*ROUND((1.25*1.15),7)))-((EU142*ROUND((1.25*1.15),7))))+AE142),6)</f>
        <v>33.924999999999997</v>
      </c>
      <c r="AE142">
        <f>ROUND(((EU142*ROUND((1.25*1.15),7))),6)</f>
        <v>3.7518750000000001</v>
      </c>
      <c r="AF142">
        <f>ROUND(((EV142*ROUND((1.15*1.15),7))),6)</f>
        <v>1227.1874250000001</v>
      </c>
      <c r="AG142">
        <f t="shared" si="136"/>
        <v>0</v>
      </c>
      <c r="AH142">
        <f>((EW142*ROUND((1.15*1.15),7)))</f>
        <v>149.111875</v>
      </c>
      <c r="AI142">
        <f>((EX142*ROUND((1.25*1.15),7)))</f>
        <v>0.28750000000000003</v>
      </c>
      <c r="AJ142">
        <f t="shared" si="137"/>
        <v>0</v>
      </c>
      <c r="AK142">
        <v>10607.23</v>
      </c>
      <c r="AL142">
        <v>9655.7000000000007</v>
      </c>
      <c r="AM142">
        <v>23.6</v>
      </c>
      <c r="AN142">
        <v>2.61</v>
      </c>
      <c r="AO142">
        <v>927.93</v>
      </c>
      <c r="AP142">
        <v>0</v>
      </c>
      <c r="AQ142">
        <v>112.75</v>
      </c>
      <c r="AR142">
        <v>0.2</v>
      </c>
      <c r="AS142">
        <v>0</v>
      </c>
      <c r="AT142">
        <v>98.1</v>
      </c>
      <c r="AU142">
        <v>48.45</v>
      </c>
      <c r="AV142">
        <v>1</v>
      </c>
      <c r="AW142">
        <v>1</v>
      </c>
      <c r="AZ142">
        <v>1</v>
      </c>
      <c r="BA142">
        <v>24.22</v>
      </c>
      <c r="BB142">
        <v>1</v>
      </c>
      <c r="BC142">
        <v>1</v>
      </c>
      <c r="BD142" t="s">
        <v>6</v>
      </c>
      <c r="BE142" t="s">
        <v>6</v>
      </c>
      <c r="BF142" t="s">
        <v>6</v>
      </c>
      <c r="BG142" t="s">
        <v>6</v>
      </c>
      <c r="BH142">
        <v>0</v>
      </c>
      <c r="BI142">
        <v>1</v>
      </c>
      <c r="BJ142" t="s">
        <v>189</v>
      </c>
      <c r="BM142">
        <v>12001</v>
      </c>
      <c r="BN142">
        <v>0</v>
      </c>
      <c r="BO142" t="s">
        <v>1327</v>
      </c>
      <c r="BP142">
        <v>1</v>
      </c>
      <c r="BQ142">
        <v>2</v>
      </c>
      <c r="BR142">
        <v>0</v>
      </c>
      <c r="BS142">
        <v>24.22</v>
      </c>
      <c r="BT142">
        <v>1</v>
      </c>
      <c r="BU142">
        <v>1</v>
      </c>
      <c r="BV142">
        <v>1</v>
      </c>
      <c r="BW142">
        <v>1</v>
      </c>
      <c r="BX142">
        <v>1</v>
      </c>
      <c r="BY142" t="s">
        <v>6</v>
      </c>
      <c r="BZ142">
        <v>109</v>
      </c>
      <c r="CA142">
        <v>57</v>
      </c>
      <c r="CB142" t="s">
        <v>6</v>
      </c>
      <c r="CE142">
        <v>0</v>
      </c>
      <c r="CF142">
        <v>0</v>
      </c>
      <c r="CG142">
        <v>0</v>
      </c>
      <c r="CM142">
        <v>0</v>
      </c>
      <c r="CN142" t="s">
        <v>6</v>
      </c>
      <c r="CO142">
        <v>0</v>
      </c>
      <c r="CP142">
        <f t="shared" si="138"/>
        <v>420.3</v>
      </c>
      <c r="CQ142">
        <f>AC142*BC142</f>
        <v>9655.7000000000007</v>
      </c>
      <c r="CR142">
        <f t="shared" si="140"/>
        <v>33.924999999999997</v>
      </c>
      <c r="CS142">
        <f t="shared" si="141"/>
        <v>3.7518750000000001</v>
      </c>
      <c r="CT142">
        <f t="shared" si="142"/>
        <v>1227.1874250000001</v>
      </c>
      <c r="CU142">
        <f t="shared" si="143"/>
        <v>0</v>
      </c>
      <c r="CV142">
        <f t="shared" si="144"/>
        <v>149.111875</v>
      </c>
      <c r="CW142">
        <f t="shared" si="145"/>
        <v>0.28750000000000003</v>
      </c>
      <c r="CX142">
        <f t="shared" si="146"/>
        <v>0</v>
      </c>
      <c r="CY142">
        <f t="shared" si="147"/>
        <v>46.48959</v>
      </c>
      <c r="CZ142">
        <f t="shared" si="148"/>
        <v>22.960455000000003</v>
      </c>
      <c r="DC142" t="s">
        <v>6</v>
      </c>
      <c r="DD142" t="s">
        <v>6</v>
      </c>
      <c r="DE142" t="s">
        <v>126</v>
      </c>
      <c r="DF142" t="s">
        <v>126</v>
      </c>
      <c r="DG142" t="s">
        <v>127</v>
      </c>
      <c r="DH142" t="s">
        <v>6</v>
      </c>
      <c r="DI142" t="s">
        <v>127</v>
      </c>
      <c r="DJ142" t="s">
        <v>126</v>
      </c>
      <c r="DK142" t="s">
        <v>6</v>
      </c>
      <c r="DL142" t="s">
        <v>6</v>
      </c>
      <c r="DM142" t="s">
        <v>6</v>
      </c>
      <c r="DN142">
        <v>0</v>
      </c>
      <c r="DO142">
        <v>0</v>
      </c>
      <c r="DP142">
        <v>1</v>
      </c>
      <c r="DQ142">
        <v>1</v>
      </c>
      <c r="DU142">
        <v>1013</v>
      </c>
      <c r="DV142" t="s">
        <v>188</v>
      </c>
      <c r="DW142" t="s">
        <v>188</v>
      </c>
      <c r="DX142">
        <v>1</v>
      </c>
      <c r="DZ142" t="s">
        <v>6</v>
      </c>
      <c r="EA142" t="s">
        <v>6</v>
      </c>
      <c r="EB142" t="s">
        <v>6</v>
      </c>
      <c r="EC142" t="s">
        <v>6</v>
      </c>
      <c r="EE142">
        <v>30852909</v>
      </c>
      <c r="EF142">
        <v>2</v>
      </c>
      <c r="EG142" t="s">
        <v>26</v>
      </c>
      <c r="EH142">
        <v>0</v>
      </c>
      <c r="EI142" t="s">
        <v>6</v>
      </c>
      <c r="EJ142">
        <v>1</v>
      </c>
      <c r="EK142">
        <v>12001</v>
      </c>
      <c r="EL142" t="s">
        <v>190</v>
      </c>
      <c r="EM142" t="s">
        <v>191</v>
      </c>
      <c r="EO142" t="s">
        <v>6</v>
      </c>
      <c r="EQ142">
        <v>0</v>
      </c>
      <c r="ER142">
        <v>10607.23</v>
      </c>
      <c r="ES142">
        <v>9655.7000000000007</v>
      </c>
      <c r="ET142">
        <v>23.6</v>
      </c>
      <c r="EU142">
        <v>2.61</v>
      </c>
      <c r="EV142">
        <v>927.93</v>
      </c>
      <c r="EW142">
        <v>112.75</v>
      </c>
      <c r="EX142">
        <v>0.2</v>
      </c>
      <c r="EY142">
        <v>0</v>
      </c>
      <c r="FQ142">
        <v>0</v>
      </c>
      <c r="FR142">
        <f t="shared" si="149"/>
        <v>0</v>
      </c>
      <c r="FS142">
        <v>0</v>
      </c>
      <c r="FT142" t="s">
        <v>29</v>
      </c>
      <c r="FU142" t="s">
        <v>30</v>
      </c>
      <c r="FX142">
        <v>98.1</v>
      </c>
      <c r="FY142">
        <v>48.45</v>
      </c>
      <c r="GA142" t="s">
        <v>6</v>
      </c>
      <c r="GD142">
        <v>1</v>
      </c>
      <c r="GF142">
        <v>800854677</v>
      </c>
      <c r="GG142">
        <v>2</v>
      </c>
      <c r="GH142">
        <v>1</v>
      </c>
      <c r="GI142">
        <v>4</v>
      </c>
      <c r="GJ142">
        <v>0</v>
      </c>
      <c r="GK142">
        <v>0</v>
      </c>
      <c r="GL142">
        <f t="shared" si="150"/>
        <v>0</v>
      </c>
      <c r="GM142">
        <f t="shared" si="151"/>
        <v>489.75</v>
      </c>
      <c r="GN142">
        <f t="shared" si="152"/>
        <v>489.75</v>
      </c>
      <c r="GO142">
        <f t="shared" si="153"/>
        <v>0</v>
      </c>
      <c r="GP142">
        <f t="shared" si="154"/>
        <v>0</v>
      </c>
      <c r="GR142">
        <v>0</v>
      </c>
      <c r="GS142">
        <v>0</v>
      </c>
      <c r="GT142">
        <v>0</v>
      </c>
      <c r="GU142" t="s">
        <v>6</v>
      </c>
      <c r="GV142">
        <f t="shared" si="155"/>
        <v>0</v>
      </c>
      <c r="GW142">
        <v>1</v>
      </c>
      <c r="GX142">
        <f t="shared" si="156"/>
        <v>0</v>
      </c>
      <c r="HA142">
        <v>0</v>
      </c>
      <c r="HB142">
        <v>0</v>
      </c>
      <c r="HC142">
        <f t="shared" si="157"/>
        <v>0</v>
      </c>
      <c r="HE142" t="s">
        <v>6</v>
      </c>
      <c r="HF142" t="s">
        <v>6</v>
      </c>
      <c r="HI142">
        <f t="shared" si="158"/>
        <v>3</v>
      </c>
      <c r="HJ142">
        <f t="shared" si="159"/>
        <v>1144</v>
      </c>
      <c r="HK142">
        <f t="shared" si="160"/>
        <v>1125</v>
      </c>
      <c r="HL142">
        <f t="shared" si="161"/>
        <v>556</v>
      </c>
      <c r="HM142" t="s">
        <v>6</v>
      </c>
      <c r="HN142" t="s">
        <v>6</v>
      </c>
      <c r="HO142" t="s">
        <v>6</v>
      </c>
      <c r="HP142" t="s">
        <v>6</v>
      </c>
      <c r="HQ142" t="s">
        <v>6</v>
      </c>
      <c r="IK142">
        <v>0</v>
      </c>
    </row>
    <row r="143" spans="1:245">
      <c r="A143">
        <v>19</v>
      </c>
      <c r="B143">
        <v>1</v>
      </c>
      <c r="F143" t="s">
        <v>6</v>
      </c>
      <c r="G143" t="s">
        <v>324</v>
      </c>
      <c r="H143" t="s">
        <v>6</v>
      </c>
      <c r="AA143">
        <v>1</v>
      </c>
      <c r="IK143">
        <v>0</v>
      </c>
    </row>
    <row r="144" spans="1:245">
      <c r="A144">
        <v>17</v>
      </c>
      <c r="B144">
        <v>1</v>
      </c>
      <c r="C144">
        <f>ROW(SmtRes!A170)</f>
        <v>170</v>
      </c>
      <c r="D144">
        <f>ROW(EtalonRes!A194)</f>
        <v>194</v>
      </c>
      <c r="E144" t="s">
        <v>325</v>
      </c>
      <c r="F144" t="s">
        <v>326</v>
      </c>
      <c r="G144" t="s">
        <v>327</v>
      </c>
      <c r="H144" t="s">
        <v>328</v>
      </c>
      <c r="I144">
        <f>ROUND((102.4+36.1)*4/100,7)</f>
        <v>5.54</v>
      </c>
      <c r="J144">
        <v>0</v>
      </c>
      <c r="K144">
        <f>ROUND((102.4+36.1)*4/100,7)</f>
        <v>5.54</v>
      </c>
      <c r="O144">
        <f>ROUND(CP144,2)</f>
        <v>1094.73</v>
      </c>
      <c r="P144">
        <f>ROUND(CQ144*I144,2)</f>
        <v>0</v>
      </c>
      <c r="Q144">
        <f>ROUND(CR144*I144,2)</f>
        <v>0</v>
      </c>
      <c r="R144">
        <f>ROUND(CS144*I144,2)</f>
        <v>0</v>
      </c>
      <c r="S144">
        <f>ROUND(CT144*I144,2)</f>
        <v>1094.73</v>
      </c>
      <c r="T144">
        <f>ROUND(CU144*I144,2)</f>
        <v>0</v>
      </c>
      <c r="U144">
        <f>CV144*I144</f>
        <v>145.38621999999998</v>
      </c>
      <c r="V144">
        <f>CW144*I144</f>
        <v>0</v>
      </c>
      <c r="W144">
        <f>ROUND(CX144*I144,2)</f>
        <v>0</v>
      </c>
      <c r="X144">
        <f>ROUND(CY144,2)</f>
        <v>1127.57</v>
      </c>
      <c r="Y144">
        <f>ROUND(CZ144,2)</f>
        <v>1127.57</v>
      </c>
      <c r="AA144">
        <v>31028412</v>
      </c>
      <c r="AB144">
        <f>ROUND((AC144+AD144+AF144),6)</f>
        <v>197.6045</v>
      </c>
      <c r="AC144">
        <f>ROUND((ES144),6)</f>
        <v>0</v>
      </c>
      <c r="AD144">
        <f>ROUND(((((ET144*ROUND(1.15,7)))-((EU144*ROUND(1.15,7))))+AE144),6)</f>
        <v>0</v>
      </c>
      <c r="AE144">
        <f>ROUND(((EU144*ROUND(1.15,7))),6)</f>
        <v>0</v>
      </c>
      <c r="AF144">
        <f>ROUND(((EV144*ROUND(1.15,7))),6)</f>
        <v>197.6045</v>
      </c>
      <c r="AG144">
        <f>ROUND((AP144),6)</f>
        <v>0</v>
      </c>
      <c r="AH144">
        <f>((EW144*ROUND(1.15,7)))</f>
        <v>26.242999999999999</v>
      </c>
      <c r="AI144">
        <f>((EX144*ROUND(1.15,7)))</f>
        <v>0</v>
      </c>
      <c r="AJ144">
        <f>(AS144)</f>
        <v>0</v>
      </c>
      <c r="AK144">
        <v>171.83</v>
      </c>
      <c r="AL144">
        <v>0</v>
      </c>
      <c r="AM144">
        <v>0</v>
      </c>
      <c r="AN144">
        <v>0</v>
      </c>
      <c r="AO144">
        <v>171.83</v>
      </c>
      <c r="AP144">
        <v>0</v>
      </c>
      <c r="AQ144">
        <v>22.82</v>
      </c>
      <c r="AR144">
        <v>0</v>
      </c>
      <c r="AS144">
        <v>0</v>
      </c>
      <c r="AT144">
        <v>103</v>
      </c>
      <c r="AU144">
        <v>103</v>
      </c>
      <c r="AV144">
        <v>1</v>
      </c>
      <c r="AW144">
        <v>1</v>
      </c>
      <c r="AZ144">
        <v>1</v>
      </c>
      <c r="BA144">
        <v>24.22</v>
      </c>
      <c r="BB144">
        <v>1</v>
      </c>
      <c r="BC144">
        <v>1</v>
      </c>
      <c r="BD144" t="s">
        <v>6</v>
      </c>
      <c r="BE144" t="s">
        <v>6</v>
      </c>
      <c r="BF144" t="s">
        <v>6</v>
      </c>
      <c r="BG144" t="s">
        <v>6</v>
      </c>
      <c r="BH144">
        <v>0</v>
      </c>
      <c r="BI144">
        <v>1</v>
      </c>
      <c r="BJ144" t="s">
        <v>329</v>
      </c>
      <c r="BM144">
        <v>46001</v>
      </c>
      <c r="BN144">
        <v>0</v>
      </c>
      <c r="BO144" t="s">
        <v>1327</v>
      </c>
      <c r="BP144">
        <v>1</v>
      </c>
      <c r="BQ144">
        <v>2</v>
      </c>
      <c r="BR144">
        <v>0</v>
      </c>
      <c r="BS144">
        <v>24.22</v>
      </c>
      <c r="BT144">
        <v>1</v>
      </c>
      <c r="BU144">
        <v>1</v>
      </c>
      <c r="BV144">
        <v>1</v>
      </c>
      <c r="BW144">
        <v>1</v>
      </c>
      <c r="BX144">
        <v>1</v>
      </c>
      <c r="BY144" t="s">
        <v>6</v>
      </c>
      <c r="BZ144">
        <v>103</v>
      </c>
      <c r="CA144">
        <v>59</v>
      </c>
      <c r="CB144" t="s">
        <v>6</v>
      </c>
      <c r="CE144">
        <v>0</v>
      </c>
      <c r="CF144">
        <v>0</v>
      </c>
      <c r="CG144">
        <v>0</v>
      </c>
      <c r="CM144">
        <v>0</v>
      </c>
      <c r="CN144" t="s">
        <v>6</v>
      </c>
      <c r="CO144">
        <v>0</v>
      </c>
      <c r="CP144">
        <f>(P144+Q144+S144)</f>
        <v>1094.73</v>
      </c>
      <c r="CQ144">
        <f>AC144*BC144</f>
        <v>0</v>
      </c>
      <c r="CR144">
        <f>AD144*BB144</f>
        <v>0</v>
      </c>
      <c r="CS144">
        <f t="shared" ref="CS144:CX145" si="169">AE144</f>
        <v>0</v>
      </c>
      <c r="CT144">
        <f t="shared" si="169"/>
        <v>197.6045</v>
      </c>
      <c r="CU144">
        <f t="shared" si="169"/>
        <v>0</v>
      </c>
      <c r="CV144">
        <f t="shared" si="169"/>
        <v>26.242999999999999</v>
      </c>
      <c r="CW144">
        <f t="shared" si="169"/>
        <v>0</v>
      </c>
      <c r="CX144">
        <f t="shared" si="169"/>
        <v>0</v>
      </c>
      <c r="CY144">
        <f>(((S144+R144)*AT144)/100)</f>
        <v>1127.5718999999999</v>
      </c>
      <c r="CZ144">
        <f>(((S144+R144)*AU144)/100)</f>
        <v>1127.5718999999999</v>
      </c>
      <c r="DC144" t="s">
        <v>6</v>
      </c>
      <c r="DD144" t="s">
        <v>6</v>
      </c>
      <c r="DE144" t="s">
        <v>36</v>
      </c>
      <c r="DF144" t="s">
        <v>36</v>
      </c>
      <c r="DG144" t="s">
        <v>36</v>
      </c>
      <c r="DH144" t="s">
        <v>6</v>
      </c>
      <c r="DI144" t="s">
        <v>36</v>
      </c>
      <c r="DJ144" t="s">
        <v>36</v>
      </c>
      <c r="DK144" t="s">
        <v>6</v>
      </c>
      <c r="DL144" t="s">
        <v>6</v>
      </c>
      <c r="DM144" t="s">
        <v>6</v>
      </c>
      <c r="DN144">
        <v>0</v>
      </c>
      <c r="DO144">
        <v>0</v>
      </c>
      <c r="DP144">
        <v>1</v>
      </c>
      <c r="DQ144">
        <v>1</v>
      </c>
      <c r="DU144">
        <v>1005</v>
      </c>
      <c r="DV144" t="s">
        <v>328</v>
      </c>
      <c r="DW144" t="s">
        <v>328</v>
      </c>
      <c r="DX144">
        <v>100</v>
      </c>
      <c r="DZ144" t="s">
        <v>6</v>
      </c>
      <c r="EA144" t="s">
        <v>6</v>
      </c>
      <c r="EB144" t="s">
        <v>6</v>
      </c>
      <c r="EC144" t="s">
        <v>6</v>
      </c>
      <c r="EE144">
        <v>30852996</v>
      </c>
      <c r="EF144">
        <v>2</v>
      </c>
      <c r="EG144" t="s">
        <v>26</v>
      </c>
      <c r="EH144">
        <v>0</v>
      </c>
      <c r="EI144" t="s">
        <v>6</v>
      </c>
      <c r="EJ144">
        <v>1</v>
      </c>
      <c r="EK144">
        <v>46001</v>
      </c>
      <c r="EL144" t="s">
        <v>330</v>
      </c>
      <c r="EM144" t="s">
        <v>206</v>
      </c>
      <c r="EO144" t="s">
        <v>6</v>
      </c>
      <c r="EQ144">
        <v>131072</v>
      </c>
      <c r="ER144">
        <v>171.83</v>
      </c>
      <c r="ES144">
        <v>0</v>
      </c>
      <c r="ET144">
        <v>0</v>
      </c>
      <c r="EU144">
        <v>0</v>
      </c>
      <c r="EV144">
        <v>171.83</v>
      </c>
      <c r="EW144">
        <v>22.82</v>
      </c>
      <c r="EX144">
        <v>0</v>
      </c>
      <c r="EY144">
        <v>0</v>
      </c>
      <c r="FQ144">
        <v>0</v>
      </c>
      <c r="FR144">
        <f>ROUND(IF(AND(BH144=3,BI144=3),P144,0),2)</f>
        <v>0</v>
      </c>
      <c r="FS144">
        <v>0</v>
      </c>
      <c r="FX144">
        <v>103</v>
      </c>
      <c r="FY144">
        <v>103</v>
      </c>
      <c r="GA144" t="s">
        <v>6</v>
      </c>
      <c r="GD144">
        <v>1</v>
      </c>
      <c r="GF144">
        <v>-1141083675</v>
      </c>
      <c r="GG144">
        <v>2</v>
      </c>
      <c r="GH144">
        <v>1</v>
      </c>
      <c r="GI144">
        <v>4</v>
      </c>
      <c r="GJ144">
        <v>0</v>
      </c>
      <c r="GK144">
        <v>0</v>
      </c>
      <c r="GL144">
        <f>ROUND(IF(AND(BH144=3,BI144=3,FS144&lt;&gt;0),P144,0),2)</f>
        <v>0</v>
      </c>
      <c r="GM144">
        <f>ROUND(O144+X144+Y144,2)+GX144</f>
        <v>3349.87</v>
      </c>
      <c r="GN144">
        <f>IF(OR(BI144=0,BI144=1),ROUND(O144+X144+Y144,2),0)</f>
        <v>3349.87</v>
      </c>
      <c r="GO144">
        <f>IF(BI144=2,ROUND(O144+X144+Y144,2),0)</f>
        <v>0</v>
      </c>
      <c r="GP144">
        <f>IF(BI144=4,ROUND(O144+X144+Y144,2)+GX144,0)</f>
        <v>0</v>
      </c>
      <c r="GR144">
        <v>0</v>
      </c>
      <c r="GS144">
        <v>0</v>
      </c>
      <c r="GT144">
        <v>0</v>
      </c>
      <c r="GU144" t="s">
        <v>6</v>
      </c>
      <c r="GV144">
        <f>ROUND((GT144),6)</f>
        <v>0</v>
      </c>
      <c r="GW144">
        <v>1</v>
      </c>
      <c r="GX144">
        <f>ROUND(HC144*I144,2)</f>
        <v>0</v>
      </c>
      <c r="HA144">
        <v>0</v>
      </c>
      <c r="HB144">
        <v>0</v>
      </c>
      <c r="HC144">
        <f>GV144*GW144</f>
        <v>0</v>
      </c>
      <c r="HE144" t="s">
        <v>6</v>
      </c>
      <c r="HF144" t="s">
        <v>6</v>
      </c>
      <c r="HI144">
        <f>ROUND(R144*BS144,0)</f>
        <v>0</v>
      </c>
      <c r="HJ144">
        <f>ROUND(S144*BA144,0)</f>
        <v>26514</v>
      </c>
      <c r="HK144">
        <f>ROUND((((HJ144+HI144)*AT144)/100),0)</f>
        <v>27309</v>
      </c>
      <c r="HL144">
        <f>ROUND((((HJ144+HI144)*AU144)/100),0)</f>
        <v>27309</v>
      </c>
      <c r="HM144" t="s">
        <v>6</v>
      </c>
      <c r="HN144" t="s">
        <v>6</v>
      </c>
      <c r="HO144" t="s">
        <v>6</v>
      </c>
      <c r="HP144" t="s">
        <v>6</v>
      </c>
      <c r="HQ144" t="s">
        <v>6</v>
      </c>
      <c r="IK144">
        <v>0</v>
      </c>
    </row>
    <row r="145" spans="1:245">
      <c r="A145">
        <v>17</v>
      </c>
      <c r="B145">
        <v>1</v>
      </c>
      <c r="C145">
        <f>ROW(SmtRes!A173)</f>
        <v>173</v>
      </c>
      <c r="D145">
        <f>ROW(EtalonRes!A197)</f>
        <v>197</v>
      </c>
      <c r="E145" t="s">
        <v>331</v>
      </c>
      <c r="F145" t="s">
        <v>332</v>
      </c>
      <c r="G145" t="s">
        <v>333</v>
      </c>
      <c r="H145" t="s">
        <v>328</v>
      </c>
      <c r="I145">
        <f>ROUND(33/100,7)</f>
        <v>0.33</v>
      </c>
      <c r="J145">
        <v>0</v>
      </c>
      <c r="K145">
        <f>ROUND(33/100,7)</f>
        <v>0.33</v>
      </c>
      <c r="O145">
        <f>ROUND(CP145,2)</f>
        <v>398.6</v>
      </c>
      <c r="P145">
        <f>ROUND(CQ145*I145,2)</f>
        <v>0</v>
      </c>
      <c r="Q145">
        <f>ROUND(CR145*I145,2)</f>
        <v>90.62</v>
      </c>
      <c r="R145">
        <f>ROUND(CS145*I145,2)</f>
        <v>38.270000000000003</v>
      </c>
      <c r="S145">
        <f>ROUND(CT145*I145,2)</f>
        <v>307.98</v>
      </c>
      <c r="T145">
        <f>ROUND(CU145*I145,2)</f>
        <v>0</v>
      </c>
      <c r="U145">
        <f>CV145*I145</f>
        <v>39.433844999999998</v>
      </c>
      <c r="V145">
        <f>CW145*I145</f>
        <v>2.9373300000000002</v>
      </c>
      <c r="W145">
        <f>ROUND(CX145*I145,2)</f>
        <v>0</v>
      </c>
      <c r="X145">
        <f>ROUND(CY145,2)</f>
        <v>315.08999999999997</v>
      </c>
      <c r="Y145">
        <f>ROUND(CZ145,2)</f>
        <v>315.08999999999997</v>
      </c>
      <c r="AA145">
        <v>31028412</v>
      </c>
      <c r="AB145">
        <f>ROUND((AC145+AD145+AF145),6)</f>
        <v>1207.8679999999999</v>
      </c>
      <c r="AC145">
        <f>ROUND((ES145),6)</f>
        <v>0</v>
      </c>
      <c r="AD145">
        <f>ROUND(((((ET145*ROUND(1.15,7)))-((EU145*ROUND(1.15,7))))+AE145),6)</f>
        <v>274.59699999999998</v>
      </c>
      <c r="AE145">
        <f>ROUND(((EU145*ROUND(1.15,7))),6)</f>
        <v>115.97750000000001</v>
      </c>
      <c r="AF145">
        <f>ROUND(((EV145*ROUND(1.15,7))),6)</f>
        <v>933.27099999999996</v>
      </c>
      <c r="AG145">
        <f>ROUND((AP145),6)</f>
        <v>0</v>
      </c>
      <c r="AH145">
        <f>((EW145*ROUND(1.15,7)))</f>
        <v>119.49649999999998</v>
      </c>
      <c r="AI145">
        <f>((EX145*ROUND(1.15,7)))</f>
        <v>8.9009999999999998</v>
      </c>
      <c r="AJ145">
        <f>(AS145)</f>
        <v>0</v>
      </c>
      <c r="AK145">
        <v>1050.32</v>
      </c>
      <c r="AL145">
        <v>0</v>
      </c>
      <c r="AM145">
        <v>238.78</v>
      </c>
      <c r="AN145">
        <v>100.85</v>
      </c>
      <c r="AO145">
        <v>811.54</v>
      </c>
      <c r="AP145">
        <v>0</v>
      </c>
      <c r="AQ145">
        <v>103.91</v>
      </c>
      <c r="AR145">
        <v>7.74</v>
      </c>
      <c r="AS145">
        <v>0</v>
      </c>
      <c r="AT145">
        <v>91</v>
      </c>
      <c r="AU145">
        <v>91</v>
      </c>
      <c r="AV145">
        <v>1</v>
      </c>
      <c r="AW145">
        <v>1</v>
      </c>
      <c r="AZ145">
        <v>1</v>
      </c>
      <c r="BA145">
        <v>24.22</v>
      </c>
      <c r="BB145">
        <v>1</v>
      </c>
      <c r="BC145">
        <v>1</v>
      </c>
      <c r="BD145" t="s">
        <v>6</v>
      </c>
      <c r="BE145" t="s">
        <v>6</v>
      </c>
      <c r="BF145" t="s">
        <v>6</v>
      </c>
      <c r="BG145" t="s">
        <v>6</v>
      </c>
      <c r="BH145">
        <v>0</v>
      </c>
      <c r="BI145">
        <v>1</v>
      </c>
      <c r="BJ145" t="s">
        <v>334</v>
      </c>
      <c r="BM145">
        <v>46003</v>
      </c>
      <c r="BN145">
        <v>0</v>
      </c>
      <c r="BO145" t="s">
        <v>1327</v>
      </c>
      <c r="BP145">
        <v>1</v>
      </c>
      <c r="BQ145">
        <v>2</v>
      </c>
      <c r="BR145">
        <v>0</v>
      </c>
      <c r="BS145">
        <v>24.22</v>
      </c>
      <c r="BT145">
        <v>1</v>
      </c>
      <c r="BU145">
        <v>1</v>
      </c>
      <c r="BV145">
        <v>1</v>
      </c>
      <c r="BW145">
        <v>1</v>
      </c>
      <c r="BX145">
        <v>1</v>
      </c>
      <c r="BY145" t="s">
        <v>6</v>
      </c>
      <c r="BZ145">
        <v>91</v>
      </c>
      <c r="CA145">
        <v>52</v>
      </c>
      <c r="CB145" t="s">
        <v>6</v>
      </c>
      <c r="CE145">
        <v>0</v>
      </c>
      <c r="CF145">
        <v>0</v>
      </c>
      <c r="CG145">
        <v>0</v>
      </c>
      <c r="CM145">
        <v>0</v>
      </c>
      <c r="CN145" t="s">
        <v>6</v>
      </c>
      <c r="CO145">
        <v>0</v>
      </c>
      <c r="CP145">
        <f>(P145+Q145+S145)</f>
        <v>398.6</v>
      </c>
      <c r="CQ145">
        <f>AC145*BC145</f>
        <v>0</v>
      </c>
      <c r="CR145">
        <f>AD145*BB145</f>
        <v>274.59699999999998</v>
      </c>
      <c r="CS145">
        <f t="shared" si="169"/>
        <v>115.97750000000001</v>
      </c>
      <c r="CT145">
        <f t="shared" si="169"/>
        <v>933.27099999999996</v>
      </c>
      <c r="CU145">
        <f t="shared" si="169"/>
        <v>0</v>
      </c>
      <c r="CV145">
        <f t="shared" si="169"/>
        <v>119.49649999999998</v>
      </c>
      <c r="CW145">
        <f t="shared" si="169"/>
        <v>8.9009999999999998</v>
      </c>
      <c r="CX145">
        <f t="shared" si="169"/>
        <v>0</v>
      </c>
      <c r="CY145">
        <f>(((S145+R145)*AT145)/100)</f>
        <v>315.08749999999998</v>
      </c>
      <c r="CZ145">
        <f>(((S145+R145)*AU145)/100)</f>
        <v>315.08749999999998</v>
      </c>
      <c r="DC145" t="s">
        <v>6</v>
      </c>
      <c r="DD145" t="s">
        <v>6</v>
      </c>
      <c r="DE145" t="s">
        <v>36</v>
      </c>
      <c r="DF145" t="s">
        <v>36</v>
      </c>
      <c r="DG145" t="s">
        <v>36</v>
      </c>
      <c r="DH145" t="s">
        <v>6</v>
      </c>
      <c r="DI145" t="s">
        <v>36</v>
      </c>
      <c r="DJ145" t="s">
        <v>36</v>
      </c>
      <c r="DK145" t="s">
        <v>6</v>
      </c>
      <c r="DL145" t="s">
        <v>6</v>
      </c>
      <c r="DM145" t="s">
        <v>6</v>
      </c>
      <c r="DN145">
        <v>0</v>
      </c>
      <c r="DO145">
        <v>0</v>
      </c>
      <c r="DP145">
        <v>1</v>
      </c>
      <c r="DQ145">
        <v>1</v>
      </c>
      <c r="DU145">
        <v>1005</v>
      </c>
      <c r="DV145" t="s">
        <v>328</v>
      </c>
      <c r="DW145" t="s">
        <v>328</v>
      </c>
      <c r="DX145">
        <v>100</v>
      </c>
      <c r="DZ145" t="s">
        <v>6</v>
      </c>
      <c r="EA145" t="s">
        <v>6</v>
      </c>
      <c r="EB145" t="s">
        <v>6</v>
      </c>
      <c r="EC145" t="s">
        <v>6</v>
      </c>
      <c r="EE145">
        <v>30853204</v>
      </c>
      <c r="EF145">
        <v>2</v>
      </c>
      <c r="EG145" t="s">
        <v>26</v>
      </c>
      <c r="EH145">
        <v>0</v>
      </c>
      <c r="EI145" t="s">
        <v>6</v>
      </c>
      <c r="EJ145">
        <v>1</v>
      </c>
      <c r="EK145">
        <v>46003</v>
      </c>
      <c r="EL145" t="s">
        <v>205</v>
      </c>
      <c r="EM145" t="s">
        <v>206</v>
      </c>
      <c r="EO145" t="s">
        <v>6</v>
      </c>
      <c r="EQ145">
        <v>0</v>
      </c>
      <c r="ER145">
        <v>1050.32</v>
      </c>
      <c r="ES145">
        <v>0</v>
      </c>
      <c r="ET145">
        <v>238.78</v>
      </c>
      <c r="EU145">
        <v>100.85</v>
      </c>
      <c r="EV145">
        <v>811.54</v>
      </c>
      <c r="EW145">
        <v>103.91</v>
      </c>
      <c r="EX145">
        <v>7.74</v>
      </c>
      <c r="EY145">
        <v>0</v>
      </c>
      <c r="FQ145">
        <v>0</v>
      </c>
      <c r="FR145">
        <f>ROUND(IF(AND(BH145=3,BI145=3),P145,0),2)</f>
        <v>0</v>
      </c>
      <c r="FS145">
        <v>0</v>
      </c>
      <c r="FX145">
        <v>91</v>
      </c>
      <c r="FY145">
        <v>91</v>
      </c>
      <c r="GA145" t="s">
        <v>6</v>
      </c>
      <c r="GD145">
        <v>1</v>
      </c>
      <c r="GF145">
        <v>381514017</v>
      </c>
      <c r="GG145">
        <v>2</v>
      </c>
      <c r="GH145">
        <v>1</v>
      </c>
      <c r="GI145">
        <v>4</v>
      </c>
      <c r="GJ145">
        <v>0</v>
      </c>
      <c r="GK145">
        <v>0</v>
      </c>
      <c r="GL145">
        <f>ROUND(IF(AND(BH145=3,BI145=3,FS145&lt;&gt;0),P145,0),2)</f>
        <v>0</v>
      </c>
      <c r="GM145">
        <f>ROUND(O145+X145+Y145,2)+GX145</f>
        <v>1028.78</v>
      </c>
      <c r="GN145">
        <f>IF(OR(BI145=0,BI145=1),ROUND(O145+X145+Y145,2),0)</f>
        <v>1028.78</v>
      </c>
      <c r="GO145">
        <f>IF(BI145=2,ROUND(O145+X145+Y145,2),0)</f>
        <v>0</v>
      </c>
      <c r="GP145">
        <f>IF(BI145=4,ROUND(O145+X145+Y145,2)+GX145,0)</f>
        <v>0</v>
      </c>
      <c r="GR145">
        <v>0</v>
      </c>
      <c r="GS145">
        <v>3</v>
      </c>
      <c r="GT145">
        <v>0</v>
      </c>
      <c r="GU145" t="s">
        <v>6</v>
      </c>
      <c r="GV145">
        <f>ROUND((GT145),6)</f>
        <v>0</v>
      </c>
      <c r="GW145">
        <v>1</v>
      </c>
      <c r="GX145">
        <f>ROUND(HC145*I145,2)</f>
        <v>0</v>
      </c>
      <c r="HA145">
        <v>0</v>
      </c>
      <c r="HB145">
        <v>0</v>
      </c>
      <c r="HC145">
        <f>GV145*GW145</f>
        <v>0</v>
      </c>
      <c r="HE145" t="s">
        <v>6</v>
      </c>
      <c r="HF145" t="s">
        <v>6</v>
      </c>
      <c r="HI145">
        <f>ROUND(R145*BS145,0)</f>
        <v>927</v>
      </c>
      <c r="HJ145">
        <f>ROUND(S145*BA145,0)</f>
        <v>7459</v>
      </c>
      <c r="HK145">
        <f>ROUND((((HJ145+HI145)*AT145)/100),0)</f>
        <v>7631</v>
      </c>
      <c r="HL145">
        <f>ROUND((((HJ145+HI145)*AU145)/100),0)</f>
        <v>7631</v>
      </c>
      <c r="HM145" t="s">
        <v>6</v>
      </c>
      <c r="HN145" t="s">
        <v>6</v>
      </c>
      <c r="HO145" t="s">
        <v>6</v>
      </c>
      <c r="HP145" t="s">
        <v>6</v>
      </c>
      <c r="HQ145" t="s">
        <v>6</v>
      </c>
      <c r="IK145">
        <v>0</v>
      </c>
    </row>
    <row r="146" spans="1:245">
      <c r="A146">
        <v>19</v>
      </c>
      <c r="B146">
        <v>1</v>
      </c>
      <c r="F146" t="s">
        <v>6</v>
      </c>
      <c r="G146" t="s">
        <v>335</v>
      </c>
      <c r="H146" t="s">
        <v>6</v>
      </c>
      <c r="AA146">
        <v>1</v>
      </c>
      <c r="IK146">
        <v>0</v>
      </c>
    </row>
    <row r="147" spans="1:245">
      <c r="A147">
        <v>17</v>
      </c>
      <c r="B147">
        <v>1</v>
      </c>
      <c r="C147">
        <f>ROW(SmtRes!A183)</f>
        <v>183</v>
      </c>
      <c r="D147">
        <f>ROW(EtalonRes!A207)</f>
        <v>207</v>
      </c>
      <c r="E147" t="s">
        <v>336</v>
      </c>
      <c r="F147" t="s">
        <v>337</v>
      </c>
      <c r="G147" t="s">
        <v>338</v>
      </c>
      <c r="H147" t="s">
        <v>172</v>
      </c>
      <c r="I147">
        <f>ROUND(76.1/100,7)</f>
        <v>0.76100000000000001</v>
      </c>
      <c r="J147">
        <v>0</v>
      </c>
      <c r="K147">
        <f>ROUND(76.1/100,7)</f>
        <v>0.76100000000000001</v>
      </c>
      <c r="O147">
        <f>ROUND(CP147,2)</f>
        <v>3181.67</v>
      </c>
      <c r="P147">
        <f>ROUND(CQ147*I147,2)</f>
        <v>1964.04</v>
      </c>
      <c r="Q147">
        <f>ROUND(CR147*I147,2)</f>
        <v>58.88</v>
      </c>
      <c r="R147">
        <f>ROUND(CS147*I147,2)</f>
        <v>20.02</v>
      </c>
      <c r="S147">
        <f>ROUND(CT147*I147,2)</f>
        <v>1158.75</v>
      </c>
      <c r="T147">
        <f>ROUND(CU147*I147,2)</f>
        <v>0</v>
      </c>
      <c r="U147">
        <f>CV147*I147</f>
        <v>130.78460387499999</v>
      </c>
      <c r="V147">
        <f>CW147*I147</f>
        <v>1.5752699999999999</v>
      </c>
      <c r="W147">
        <f>ROUND(CX147*I147,2)</f>
        <v>0</v>
      </c>
      <c r="X147">
        <f t="shared" ref="X147:Y149" si="170">ROUND(CY147,2)</f>
        <v>1060.8900000000001</v>
      </c>
      <c r="Y147">
        <f t="shared" si="170"/>
        <v>490.96</v>
      </c>
      <c r="AA147">
        <v>31028412</v>
      </c>
      <c r="AB147">
        <f>ROUND((AC147+AD147+AF147),6)</f>
        <v>4180.90985</v>
      </c>
      <c r="AC147">
        <f>ROUND((ES147),6)</f>
        <v>2580.87</v>
      </c>
      <c r="AD147">
        <f>ROUND(((((ET147*ROUND((1.25*1.15),7)))-((EU147*ROUND((1.25*1.15),7))))+AE147),6)</f>
        <v>77.366249999999994</v>
      </c>
      <c r="AE147">
        <f>ROUND(((EU147*ROUND((1.25*1.15),7))),6)</f>
        <v>26.306249999999999</v>
      </c>
      <c r="AF147">
        <f>ROUND(((EV147*ROUND((1.15*1.15),7))),6)</f>
        <v>1522.6736000000001</v>
      </c>
      <c r="AG147">
        <f>ROUND((AP147),6)</f>
        <v>0</v>
      </c>
      <c r="AH147">
        <f>((EW147*ROUND((1.15*1.15),7)))</f>
        <v>171.85887499999998</v>
      </c>
      <c r="AI147">
        <f>((EX147*ROUND((1.25*1.15),7)))</f>
        <v>2.0699999999999998</v>
      </c>
      <c r="AJ147">
        <f>(AS147)</f>
        <v>0</v>
      </c>
      <c r="AK147">
        <v>3786.05</v>
      </c>
      <c r="AL147">
        <v>2580.87</v>
      </c>
      <c r="AM147">
        <v>53.82</v>
      </c>
      <c r="AN147">
        <v>18.3</v>
      </c>
      <c r="AO147">
        <v>1151.3599999999999</v>
      </c>
      <c r="AP147">
        <v>0</v>
      </c>
      <c r="AQ147">
        <v>129.94999999999999</v>
      </c>
      <c r="AR147">
        <v>1.44</v>
      </c>
      <c r="AS147">
        <v>0</v>
      </c>
      <c r="AT147">
        <v>90</v>
      </c>
      <c r="AU147">
        <v>41.65</v>
      </c>
      <c r="AV147">
        <v>1</v>
      </c>
      <c r="AW147">
        <v>1</v>
      </c>
      <c r="AZ147">
        <v>1</v>
      </c>
      <c r="BA147">
        <v>24.22</v>
      </c>
      <c r="BB147">
        <v>1</v>
      </c>
      <c r="BC147">
        <v>1</v>
      </c>
      <c r="BD147" t="s">
        <v>6</v>
      </c>
      <c r="BE147" t="s">
        <v>6</v>
      </c>
      <c r="BF147" t="s">
        <v>6</v>
      </c>
      <c r="BG147" t="s">
        <v>6</v>
      </c>
      <c r="BH147">
        <v>0</v>
      </c>
      <c r="BI147">
        <v>1</v>
      </c>
      <c r="BJ147" t="s">
        <v>339</v>
      </c>
      <c r="BM147">
        <v>15001</v>
      </c>
      <c r="BN147">
        <v>0</v>
      </c>
      <c r="BO147" t="s">
        <v>1327</v>
      </c>
      <c r="BP147">
        <v>1</v>
      </c>
      <c r="BQ147">
        <v>2</v>
      </c>
      <c r="BR147">
        <v>0</v>
      </c>
      <c r="BS147">
        <v>24.22</v>
      </c>
      <c r="BT147">
        <v>1</v>
      </c>
      <c r="BU147">
        <v>1</v>
      </c>
      <c r="BV147">
        <v>1</v>
      </c>
      <c r="BW147">
        <v>1</v>
      </c>
      <c r="BX147">
        <v>1</v>
      </c>
      <c r="BY147" t="s">
        <v>6</v>
      </c>
      <c r="BZ147">
        <v>100</v>
      </c>
      <c r="CA147">
        <v>49</v>
      </c>
      <c r="CB147" t="s">
        <v>6</v>
      </c>
      <c r="CE147">
        <v>0</v>
      </c>
      <c r="CF147">
        <v>0</v>
      </c>
      <c r="CG147">
        <v>0</v>
      </c>
      <c r="CM147">
        <v>0</v>
      </c>
      <c r="CN147" t="s">
        <v>6</v>
      </c>
      <c r="CO147">
        <v>0</v>
      </c>
      <c r="CP147">
        <f>(P147+Q147+S147)</f>
        <v>3181.67</v>
      </c>
      <c r="CQ147">
        <f>AC147*BC147</f>
        <v>2580.87</v>
      </c>
      <c r="CR147">
        <f>AD147*BB147</f>
        <v>77.366249999999994</v>
      </c>
      <c r="CS147">
        <f t="shared" ref="CS147:CX149" si="171">AE147</f>
        <v>26.306249999999999</v>
      </c>
      <c r="CT147">
        <f t="shared" si="171"/>
        <v>1522.6736000000001</v>
      </c>
      <c r="CU147">
        <f t="shared" si="171"/>
        <v>0</v>
      </c>
      <c r="CV147">
        <f t="shared" si="171"/>
        <v>171.85887499999998</v>
      </c>
      <c r="CW147">
        <f t="shared" si="171"/>
        <v>2.0699999999999998</v>
      </c>
      <c r="CX147">
        <f t="shared" si="171"/>
        <v>0</v>
      </c>
      <c r="CY147">
        <f>(((S147+R147)*AT147)/100)</f>
        <v>1060.893</v>
      </c>
      <c r="CZ147">
        <f>(((S147+R147)*AU147)/100)</f>
        <v>490.95770499999998</v>
      </c>
      <c r="DC147" t="s">
        <v>6</v>
      </c>
      <c r="DD147" t="s">
        <v>6</v>
      </c>
      <c r="DE147" t="s">
        <v>126</v>
      </c>
      <c r="DF147" t="s">
        <v>126</v>
      </c>
      <c r="DG147" t="s">
        <v>127</v>
      </c>
      <c r="DH147" t="s">
        <v>6</v>
      </c>
      <c r="DI147" t="s">
        <v>127</v>
      </c>
      <c r="DJ147" t="s">
        <v>126</v>
      </c>
      <c r="DK147" t="s">
        <v>6</v>
      </c>
      <c r="DL147" t="s">
        <v>6</v>
      </c>
      <c r="DM147" t="s">
        <v>6</v>
      </c>
      <c r="DN147">
        <v>0</v>
      </c>
      <c r="DO147">
        <v>0</v>
      </c>
      <c r="DP147">
        <v>1</v>
      </c>
      <c r="DQ147">
        <v>1</v>
      </c>
      <c r="DU147">
        <v>1013</v>
      </c>
      <c r="DV147" t="s">
        <v>172</v>
      </c>
      <c r="DW147" t="s">
        <v>172</v>
      </c>
      <c r="DX147">
        <v>1</v>
      </c>
      <c r="DZ147" t="s">
        <v>6</v>
      </c>
      <c r="EA147" t="s">
        <v>6</v>
      </c>
      <c r="EB147" t="s">
        <v>6</v>
      </c>
      <c r="EC147" t="s">
        <v>6</v>
      </c>
      <c r="EE147">
        <v>30852936</v>
      </c>
      <c r="EF147">
        <v>2</v>
      </c>
      <c r="EG147" t="s">
        <v>26</v>
      </c>
      <c r="EH147">
        <v>0</v>
      </c>
      <c r="EI147" t="s">
        <v>6</v>
      </c>
      <c r="EJ147">
        <v>1</v>
      </c>
      <c r="EK147">
        <v>15001</v>
      </c>
      <c r="EL147" t="s">
        <v>128</v>
      </c>
      <c r="EM147" t="s">
        <v>129</v>
      </c>
      <c r="EO147" t="s">
        <v>6</v>
      </c>
      <c r="EQ147">
        <v>131072</v>
      </c>
      <c r="ER147">
        <v>3786.05</v>
      </c>
      <c r="ES147">
        <v>2580.87</v>
      </c>
      <c r="ET147">
        <v>53.82</v>
      </c>
      <c r="EU147">
        <v>18.3</v>
      </c>
      <c r="EV147">
        <v>1151.3599999999999</v>
      </c>
      <c r="EW147">
        <v>129.94999999999999</v>
      </c>
      <c r="EX147">
        <v>1.44</v>
      </c>
      <c r="EY147">
        <v>0</v>
      </c>
      <c r="FQ147">
        <v>0</v>
      </c>
      <c r="FR147">
        <f>ROUND(IF(AND(BH147=3,BI147=3),P147,0),2)</f>
        <v>0</v>
      </c>
      <c r="FS147">
        <v>0</v>
      </c>
      <c r="FT147" t="s">
        <v>29</v>
      </c>
      <c r="FU147" t="s">
        <v>30</v>
      </c>
      <c r="FX147">
        <v>90</v>
      </c>
      <c r="FY147">
        <v>41.65</v>
      </c>
      <c r="GA147" t="s">
        <v>6</v>
      </c>
      <c r="GD147">
        <v>1</v>
      </c>
      <c r="GF147">
        <v>-1692303622</v>
      </c>
      <c r="GG147">
        <v>2</v>
      </c>
      <c r="GH147">
        <v>1</v>
      </c>
      <c r="GI147">
        <v>4</v>
      </c>
      <c r="GJ147">
        <v>0</v>
      </c>
      <c r="GK147">
        <v>0</v>
      </c>
      <c r="GL147">
        <f>ROUND(IF(AND(BH147=3,BI147=3,FS147&lt;&gt;0),P147,0),2)</f>
        <v>0</v>
      </c>
      <c r="GM147">
        <f>ROUND(O147+X147+Y147,2)+GX147</f>
        <v>4733.5200000000004</v>
      </c>
      <c r="GN147">
        <f>IF(OR(BI147=0,BI147=1),ROUND(O147+X147+Y147,2),0)</f>
        <v>4733.5200000000004</v>
      </c>
      <c r="GO147">
        <f>IF(BI147=2,ROUND(O147+X147+Y147,2),0)</f>
        <v>0</v>
      </c>
      <c r="GP147">
        <f>IF(BI147=4,ROUND(O147+X147+Y147,2)+GX147,0)</f>
        <v>0</v>
      </c>
      <c r="GR147">
        <v>0</v>
      </c>
      <c r="GS147">
        <v>0</v>
      </c>
      <c r="GT147">
        <v>0</v>
      </c>
      <c r="GU147" t="s">
        <v>6</v>
      </c>
      <c r="GV147">
        <f>ROUND((GT147),6)</f>
        <v>0</v>
      </c>
      <c r="GW147">
        <v>1</v>
      </c>
      <c r="GX147">
        <f>ROUND(HC147*I147,2)</f>
        <v>0</v>
      </c>
      <c r="HA147">
        <v>0</v>
      </c>
      <c r="HB147">
        <v>0</v>
      </c>
      <c r="HC147">
        <f>GV147*GW147</f>
        <v>0</v>
      </c>
      <c r="HE147" t="s">
        <v>6</v>
      </c>
      <c r="HF147" t="s">
        <v>6</v>
      </c>
      <c r="HI147">
        <f>ROUND(R147*BS147,0)</f>
        <v>485</v>
      </c>
      <c r="HJ147">
        <f>ROUND(S147*BA147,0)</f>
        <v>28065</v>
      </c>
      <c r="HK147">
        <f>ROUND((((HJ147+HI147)*AT147)/100),0)</f>
        <v>25695</v>
      </c>
      <c r="HL147">
        <f>ROUND((((HJ147+HI147)*AU147)/100),0)</f>
        <v>11891</v>
      </c>
      <c r="HM147" t="s">
        <v>6</v>
      </c>
      <c r="HN147" t="s">
        <v>6</v>
      </c>
      <c r="HO147" t="s">
        <v>6</v>
      </c>
      <c r="HP147" t="s">
        <v>6</v>
      </c>
      <c r="HQ147" t="s">
        <v>6</v>
      </c>
      <c r="IK147">
        <v>0</v>
      </c>
    </row>
    <row r="148" spans="1:245">
      <c r="A148">
        <v>17</v>
      </c>
      <c r="B148">
        <v>1</v>
      </c>
      <c r="C148">
        <f>ROW(SmtRes!A190)</f>
        <v>190</v>
      </c>
      <c r="D148">
        <f>ROW(EtalonRes!A214)</f>
        <v>214</v>
      </c>
      <c r="E148" t="s">
        <v>340</v>
      </c>
      <c r="F148" t="s">
        <v>341</v>
      </c>
      <c r="G148" t="s">
        <v>342</v>
      </c>
      <c r="H148" t="s">
        <v>124</v>
      </c>
      <c r="I148">
        <f>ROUND(76.1/100,7)</f>
        <v>0.76100000000000001</v>
      </c>
      <c r="J148">
        <v>0</v>
      </c>
      <c r="K148">
        <f>ROUND(76.1/100,7)</f>
        <v>0.76100000000000001</v>
      </c>
      <c r="O148">
        <f>ROUND(CP148,2)</f>
        <v>429.65</v>
      </c>
      <c r="P148">
        <f>ROUND(CQ148*I148,2)</f>
        <v>315.52</v>
      </c>
      <c r="Q148">
        <f>ROUND(CR148*I148,2)</f>
        <v>3.35</v>
      </c>
      <c r="R148">
        <f>ROUND(CS148*I148,2)</f>
        <v>0.14000000000000001</v>
      </c>
      <c r="S148">
        <f>ROUND(CT148*I148,2)</f>
        <v>110.78</v>
      </c>
      <c r="T148">
        <f>ROUND(CU148*I148,2)</f>
        <v>0</v>
      </c>
      <c r="U148">
        <f>CV148*I148</f>
        <v>12.067005775</v>
      </c>
      <c r="V148">
        <f>CW148*I148</f>
        <v>1.0939375000000001E-2</v>
      </c>
      <c r="W148">
        <f>ROUND(CX148*I148,2)</f>
        <v>0</v>
      </c>
      <c r="X148">
        <f t="shared" si="170"/>
        <v>99.83</v>
      </c>
      <c r="Y148">
        <f t="shared" si="170"/>
        <v>46.2</v>
      </c>
      <c r="AA148">
        <v>31028412</v>
      </c>
      <c r="AB148">
        <f>ROUND((AC148+AD148+AF148),6)</f>
        <v>564.576325</v>
      </c>
      <c r="AC148">
        <f>ROUND((ES148),6)</f>
        <v>414.61</v>
      </c>
      <c r="AD148">
        <f>ROUND(((((ET148*ROUND((1.25*1.15),7)))-((EU148*ROUND((1.25*1.15),7))))+AE148),6)</f>
        <v>4.3987499999999997</v>
      </c>
      <c r="AE148">
        <f>ROUND(((EU148*ROUND((1.25*1.15),7))),6)</f>
        <v>0.18687500000000001</v>
      </c>
      <c r="AF148">
        <f>ROUND(((EV148*ROUND((1.15*1.15),7))),6)</f>
        <v>145.56757500000001</v>
      </c>
      <c r="AG148">
        <f>ROUND((AP148),6)</f>
        <v>0</v>
      </c>
      <c r="AH148">
        <f>((EW148*ROUND((1.15*1.15),7)))</f>
        <v>15.856775000000001</v>
      </c>
      <c r="AI148">
        <f>((EX148*ROUND((1.25*1.15),7)))</f>
        <v>1.4375000000000001E-2</v>
      </c>
      <c r="AJ148">
        <f>(AS148)</f>
        <v>0</v>
      </c>
      <c r="AK148">
        <v>527.74</v>
      </c>
      <c r="AL148">
        <v>414.61</v>
      </c>
      <c r="AM148">
        <v>3.06</v>
      </c>
      <c r="AN148">
        <v>0.13</v>
      </c>
      <c r="AO148">
        <v>110.07</v>
      </c>
      <c r="AP148">
        <v>0</v>
      </c>
      <c r="AQ148">
        <v>11.99</v>
      </c>
      <c r="AR148">
        <v>0.01</v>
      </c>
      <c r="AS148">
        <v>0</v>
      </c>
      <c r="AT148">
        <v>90</v>
      </c>
      <c r="AU148">
        <v>41.65</v>
      </c>
      <c r="AV148">
        <v>1</v>
      </c>
      <c r="AW148">
        <v>1</v>
      </c>
      <c r="AZ148">
        <v>1</v>
      </c>
      <c r="BA148">
        <v>24.22</v>
      </c>
      <c r="BB148">
        <v>1</v>
      </c>
      <c r="BC148">
        <v>1</v>
      </c>
      <c r="BD148" t="s">
        <v>6</v>
      </c>
      <c r="BE148" t="s">
        <v>6</v>
      </c>
      <c r="BF148" t="s">
        <v>6</v>
      </c>
      <c r="BG148" t="s">
        <v>6</v>
      </c>
      <c r="BH148">
        <v>0</v>
      </c>
      <c r="BI148">
        <v>1</v>
      </c>
      <c r="BJ148" t="s">
        <v>343</v>
      </c>
      <c r="BM148">
        <v>15001</v>
      </c>
      <c r="BN148">
        <v>0</v>
      </c>
      <c r="BO148" t="s">
        <v>1327</v>
      </c>
      <c r="BP148">
        <v>1</v>
      </c>
      <c r="BQ148">
        <v>2</v>
      </c>
      <c r="BR148">
        <v>0</v>
      </c>
      <c r="BS148">
        <v>24.22</v>
      </c>
      <c r="BT148">
        <v>1</v>
      </c>
      <c r="BU148">
        <v>1</v>
      </c>
      <c r="BV148">
        <v>1</v>
      </c>
      <c r="BW148">
        <v>1</v>
      </c>
      <c r="BX148">
        <v>1</v>
      </c>
      <c r="BY148" t="s">
        <v>6</v>
      </c>
      <c r="BZ148">
        <v>100</v>
      </c>
      <c r="CA148">
        <v>49</v>
      </c>
      <c r="CB148" t="s">
        <v>6</v>
      </c>
      <c r="CE148">
        <v>0</v>
      </c>
      <c r="CF148">
        <v>0</v>
      </c>
      <c r="CG148">
        <v>0</v>
      </c>
      <c r="CM148">
        <v>0</v>
      </c>
      <c r="CN148" t="s">
        <v>6</v>
      </c>
      <c r="CO148">
        <v>0</v>
      </c>
      <c r="CP148">
        <f>(P148+Q148+S148)</f>
        <v>429.65</v>
      </c>
      <c r="CQ148">
        <f>AC148*BC148</f>
        <v>414.61</v>
      </c>
      <c r="CR148">
        <f>AD148*BB148</f>
        <v>4.3987499999999997</v>
      </c>
      <c r="CS148">
        <f t="shared" si="171"/>
        <v>0.18687500000000001</v>
      </c>
      <c r="CT148">
        <f t="shared" si="171"/>
        <v>145.56757500000001</v>
      </c>
      <c r="CU148">
        <f t="shared" si="171"/>
        <v>0</v>
      </c>
      <c r="CV148">
        <f t="shared" si="171"/>
        <v>15.856775000000001</v>
      </c>
      <c r="CW148">
        <f t="shared" si="171"/>
        <v>1.4375000000000001E-2</v>
      </c>
      <c r="CX148">
        <f t="shared" si="171"/>
        <v>0</v>
      </c>
      <c r="CY148">
        <f>(((S148+R148)*AT148)/100)</f>
        <v>99.827999999999989</v>
      </c>
      <c r="CZ148">
        <f>(((S148+R148)*AU148)/100)</f>
        <v>46.198180000000001</v>
      </c>
      <c r="DC148" t="s">
        <v>6</v>
      </c>
      <c r="DD148" t="s">
        <v>6</v>
      </c>
      <c r="DE148" t="s">
        <v>126</v>
      </c>
      <c r="DF148" t="s">
        <v>126</v>
      </c>
      <c r="DG148" t="s">
        <v>127</v>
      </c>
      <c r="DH148" t="s">
        <v>6</v>
      </c>
      <c r="DI148" t="s">
        <v>127</v>
      </c>
      <c r="DJ148" t="s">
        <v>126</v>
      </c>
      <c r="DK148" t="s">
        <v>6</v>
      </c>
      <c r="DL148" t="s">
        <v>6</v>
      </c>
      <c r="DM148" t="s">
        <v>6</v>
      </c>
      <c r="DN148">
        <v>0</v>
      </c>
      <c r="DO148">
        <v>0</v>
      </c>
      <c r="DP148">
        <v>1</v>
      </c>
      <c r="DQ148">
        <v>1</v>
      </c>
      <c r="DU148">
        <v>1005</v>
      </c>
      <c r="DV148" t="s">
        <v>124</v>
      </c>
      <c r="DW148" t="s">
        <v>124</v>
      </c>
      <c r="DX148">
        <v>100</v>
      </c>
      <c r="DZ148" t="s">
        <v>6</v>
      </c>
      <c r="EA148" t="s">
        <v>6</v>
      </c>
      <c r="EB148" t="s">
        <v>6</v>
      </c>
      <c r="EC148" t="s">
        <v>6</v>
      </c>
      <c r="EE148">
        <v>30852936</v>
      </c>
      <c r="EF148">
        <v>2</v>
      </c>
      <c r="EG148" t="s">
        <v>26</v>
      </c>
      <c r="EH148">
        <v>0</v>
      </c>
      <c r="EI148" t="s">
        <v>6</v>
      </c>
      <c r="EJ148">
        <v>1</v>
      </c>
      <c r="EK148">
        <v>15001</v>
      </c>
      <c r="EL148" t="s">
        <v>128</v>
      </c>
      <c r="EM148" t="s">
        <v>129</v>
      </c>
      <c r="EO148" t="s">
        <v>6</v>
      </c>
      <c r="EQ148">
        <v>131072</v>
      </c>
      <c r="ER148">
        <v>527.74</v>
      </c>
      <c r="ES148">
        <v>414.61</v>
      </c>
      <c r="ET148">
        <v>3.06</v>
      </c>
      <c r="EU148">
        <v>0.13</v>
      </c>
      <c r="EV148">
        <v>110.07</v>
      </c>
      <c r="EW148">
        <v>11.99</v>
      </c>
      <c r="EX148">
        <v>0.01</v>
      </c>
      <c r="EY148">
        <v>0</v>
      </c>
      <c r="FQ148">
        <v>0</v>
      </c>
      <c r="FR148">
        <f>ROUND(IF(AND(BH148=3,BI148=3),P148,0),2)</f>
        <v>0</v>
      </c>
      <c r="FS148">
        <v>0</v>
      </c>
      <c r="FT148" t="s">
        <v>29</v>
      </c>
      <c r="FU148" t="s">
        <v>30</v>
      </c>
      <c r="FX148">
        <v>90</v>
      </c>
      <c r="FY148">
        <v>41.65</v>
      </c>
      <c r="GA148" t="s">
        <v>6</v>
      </c>
      <c r="GD148">
        <v>1</v>
      </c>
      <c r="GF148">
        <v>-1641234498</v>
      </c>
      <c r="GG148">
        <v>2</v>
      </c>
      <c r="GH148">
        <v>1</v>
      </c>
      <c r="GI148">
        <v>4</v>
      </c>
      <c r="GJ148">
        <v>0</v>
      </c>
      <c r="GK148">
        <v>0</v>
      </c>
      <c r="GL148">
        <f>ROUND(IF(AND(BH148=3,BI148=3,FS148&lt;&gt;0),P148,0),2)</f>
        <v>0</v>
      </c>
      <c r="GM148">
        <f>ROUND(O148+X148+Y148,2)+GX148</f>
        <v>575.67999999999995</v>
      </c>
      <c r="GN148">
        <f>IF(OR(BI148=0,BI148=1),ROUND(O148+X148+Y148,2),0)</f>
        <v>575.67999999999995</v>
      </c>
      <c r="GO148">
        <f>IF(BI148=2,ROUND(O148+X148+Y148,2),0)</f>
        <v>0</v>
      </c>
      <c r="GP148">
        <f>IF(BI148=4,ROUND(O148+X148+Y148,2)+GX148,0)</f>
        <v>0</v>
      </c>
      <c r="GR148">
        <v>0</v>
      </c>
      <c r="GS148">
        <v>3</v>
      </c>
      <c r="GT148">
        <v>0</v>
      </c>
      <c r="GU148" t="s">
        <v>6</v>
      </c>
      <c r="GV148">
        <f>ROUND((GT148),6)</f>
        <v>0</v>
      </c>
      <c r="GW148">
        <v>1</v>
      </c>
      <c r="GX148">
        <f>ROUND(HC148*I148,2)</f>
        <v>0</v>
      </c>
      <c r="HA148">
        <v>0</v>
      </c>
      <c r="HB148">
        <v>0</v>
      </c>
      <c r="HC148">
        <f>GV148*GW148</f>
        <v>0</v>
      </c>
      <c r="HE148" t="s">
        <v>6</v>
      </c>
      <c r="HF148" t="s">
        <v>6</v>
      </c>
      <c r="HI148">
        <f>ROUND(R148*BS148,0)</f>
        <v>3</v>
      </c>
      <c r="HJ148">
        <f>ROUND(S148*BA148,0)</f>
        <v>2683</v>
      </c>
      <c r="HK148">
        <f>ROUND((((HJ148+HI148)*AT148)/100),0)</f>
        <v>2417</v>
      </c>
      <c r="HL148">
        <f>ROUND((((HJ148+HI148)*AU148)/100),0)</f>
        <v>1119</v>
      </c>
      <c r="HM148" t="s">
        <v>6</v>
      </c>
      <c r="HN148" t="s">
        <v>6</v>
      </c>
      <c r="HO148" t="s">
        <v>6</v>
      </c>
      <c r="HP148" t="s">
        <v>6</v>
      </c>
      <c r="HQ148" t="s">
        <v>6</v>
      </c>
      <c r="IK148">
        <v>0</v>
      </c>
    </row>
    <row r="149" spans="1:245">
      <c r="A149">
        <v>17</v>
      </c>
      <c r="B149">
        <v>1</v>
      </c>
      <c r="C149">
        <f>ROW(SmtRes!A198)</f>
        <v>198</v>
      </c>
      <c r="D149">
        <f>ROW(EtalonRes!A222)</f>
        <v>222</v>
      </c>
      <c r="E149" t="s">
        <v>344</v>
      </c>
      <c r="F149" t="s">
        <v>345</v>
      </c>
      <c r="G149" t="s">
        <v>346</v>
      </c>
      <c r="H149" t="s">
        <v>124</v>
      </c>
      <c r="I149">
        <f>ROUND(76.1/100,7)</f>
        <v>0.76100000000000001</v>
      </c>
      <c r="J149">
        <v>0</v>
      </c>
      <c r="K149">
        <f>ROUND(76.1/100,7)</f>
        <v>0.76100000000000001</v>
      </c>
      <c r="O149">
        <f>ROUND(CP149,2)</f>
        <v>1718.17</v>
      </c>
      <c r="P149">
        <f>ROUND(CQ149*I149,2)</f>
        <v>1054.32</v>
      </c>
      <c r="Q149">
        <f>ROUND(CR149*I149,2)</f>
        <v>21.06</v>
      </c>
      <c r="R149">
        <f>ROUND(CS149*I149,2)</f>
        <v>0.43</v>
      </c>
      <c r="S149">
        <f>ROUND(CT149*I149,2)</f>
        <v>642.79</v>
      </c>
      <c r="T149">
        <f>ROUND(CU149*I149,2)</f>
        <v>0</v>
      </c>
      <c r="U149">
        <f>CV149*I149</f>
        <v>69.191546875</v>
      </c>
      <c r="V149">
        <f>CW149*I149</f>
        <v>3.2818124999999997E-2</v>
      </c>
      <c r="W149">
        <f>ROUND(CX149*I149,2)</f>
        <v>0</v>
      </c>
      <c r="X149">
        <f t="shared" si="170"/>
        <v>578.9</v>
      </c>
      <c r="Y149">
        <f t="shared" si="170"/>
        <v>267.89999999999998</v>
      </c>
      <c r="AA149">
        <v>31028412</v>
      </c>
      <c r="AB149">
        <f>ROUND((AC149+AD149+AF149),6)</f>
        <v>2257.7793999999999</v>
      </c>
      <c r="AC149">
        <f>ROUND((ES149),6)</f>
        <v>1385.44</v>
      </c>
      <c r="AD149">
        <f>ROUND(((((ET149*ROUND((1.25*1.15),7)))-((EU149*ROUND((1.25*1.15),7))))+AE149),6)</f>
        <v>27.671875</v>
      </c>
      <c r="AE149">
        <f>ROUND(((EU149*ROUND((1.25*1.15),7))),6)</f>
        <v>0.56062500000000004</v>
      </c>
      <c r="AF149">
        <f>ROUND(((EV149*ROUND((1.15*1.15),7))),6)</f>
        <v>844.66752499999996</v>
      </c>
      <c r="AG149">
        <f>ROUND((AP149),6)</f>
        <v>0</v>
      </c>
      <c r="AH149">
        <f>((EW149*ROUND((1.15*1.15),7)))</f>
        <v>90.921875</v>
      </c>
      <c r="AI149">
        <f>((EX149*ROUND((1.25*1.15),7)))</f>
        <v>4.3124999999999997E-2</v>
      </c>
      <c r="AJ149">
        <f>(AS149)</f>
        <v>0</v>
      </c>
      <c r="AK149">
        <v>2043.38</v>
      </c>
      <c r="AL149">
        <v>1385.44</v>
      </c>
      <c r="AM149">
        <v>19.25</v>
      </c>
      <c r="AN149">
        <v>0.39</v>
      </c>
      <c r="AO149">
        <v>638.69000000000005</v>
      </c>
      <c r="AP149">
        <v>0</v>
      </c>
      <c r="AQ149">
        <v>68.75</v>
      </c>
      <c r="AR149">
        <v>0.03</v>
      </c>
      <c r="AS149">
        <v>0</v>
      </c>
      <c r="AT149">
        <v>90</v>
      </c>
      <c r="AU149">
        <v>41.65</v>
      </c>
      <c r="AV149">
        <v>1</v>
      </c>
      <c r="AW149">
        <v>1</v>
      </c>
      <c r="AZ149">
        <v>1</v>
      </c>
      <c r="BA149">
        <v>24.22</v>
      </c>
      <c r="BB149">
        <v>1</v>
      </c>
      <c r="BC149">
        <v>1</v>
      </c>
      <c r="BD149" t="s">
        <v>6</v>
      </c>
      <c r="BE149" t="s">
        <v>6</v>
      </c>
      <c r="BF149" t="s">
        <v>6</v>
      </c>
      <c r="BG149" t="s">
        <v>6</v>
      </c>
      <c r="BH149">
        <v>0</v>
      </c>
      <c r="BI149">
        <v>1</v>
      </c>
      <c r="BJ149" t="s">
        <v>347</v>
      </c>
      <c r="BM149">
        <v>15001</v>
      </c>
      <c r="BN149">
        <v>0</v>
      </c>
      <c r="BO149" t="s">
        <v>1327</v>
      </c>
      <c r="BP149">
        <v>1</v>
      </c>
      <c r="BQ149">
        <v>2</v>
      </c>
      <c r="BR149">
        <v>0</v>
      </c>
      <c r="BS149">
        <v>24.22</v>
      </c>
      <c r="BT149">
        <v>1</v>
      </c>
      <c r="BU149">
        <v>1</v>
      </c>
      <c r="BV149">
        <v>1</v>
      </c>
      <c r="BW149">
        <v>1</v>
      </c>
      <c r="BX149">
        <v>1</v>
      </c>
      <c r="BY149" t="s">
        <v>6</v>
      </c>
      <c r="BZ149">
        <v>100</v>
      </c>
      <c r="CA149">
        <v>49</v>
      </c>
      <c r="CB149" t="s">
        <v>6</v>
      </c>
      <c r="CE149">
        <v>0</v>
      </c>
      <c r="CF149">
        <v>0</v>
      </c>
      <c r="CG149">
        <v>0</v>
      </c>
      <c r="CM149">
        <v>0</v>
      </c>
      <c r="CN149" t="s">
        <v>6</v>
      </c>
      <c r="CO149">
        <v>0</v>
      </c>
      <c r="CP149">
        <f>(P149+Q149+S149)</f>
        <v>1718.1699999999998</v>
      </c>
      <c r="CQ149">
        <f>AC149*BC149</f>
        <v>1385.44</v>
      </c>
      <c r="CR149">
        <f>AD149*BB149</f>
        <v>27.671875</v>
      </c>
      <c r="CS149">
        <f t="shared" si="171"/>
        <v>0.56062500000000004</v>
      </c>
      <c r="CT149">
        <f t="shared" si="171"/>
        <v>844.66752499999996</v>
      </c>
      <c r="CU149">
        <f t="shared" si="171"/>
        <v>0</v>
      </c>
      <c r="CV149">
        <f t="shared" si="171"/>
        <v>90.921875</v>
      </c>
      <c r="CW149">
        <f t="shared" si="171"/>
        <v>4.3124999999999997E-2</v>
      </c>
      <c r="CX149">
        <f t="shared" si="171"/>
        <v>0</v>
      </c>
      <c r="CY149">
        <f>(((S149+R149)*AT149)/100)</f>
        <v>578.89799999999991</v>
      </c>
      <c r="CZ149">
        <f>(((S149+R149)*AU149)/100)</f>
        <v>267.90112999999997</v>
      </c>
      <c r="DC149" t="s">
        <v>6</v>
      </c>
      <c r="DD149" t="s">
        <v>6</v>
      </c>
      <c r="DE149" t="s">
        <v>126</v>
      </c>
      <c r="DF149" t="s">
        <v>126</v>
      </c>
      <c r="DG149" t="s">
        <v>127</v>
      </c>
      <c r="DH149" t="s">
        <v>6</v>
      </c>
      <c r="DI149" t="s">
        <v>127</v>
      </c>
      <c r="DJ149" t="s">
        <v>126</v>
      </c>
      <c r="DK149" t="s">
        <v>6</v>
      </c>
      <c r="DL149" t="s">
        <v>6</v>
      </c>
      <c r="DM149" t="s">
        <v>6</v>
      </c>
      <c r="DN149">
        <v>0</v>
      </c>
      <c r="DO149">
        <v>0</v>
      </c>
      <c r="DP149">
        <v>1</v>
      </c>
      <c r="DQ149">
        <v>1</v>
      </c>
      <c r="DU149">
        <v>1005</v>
      </c>
      <c r="DV149" t="s">
        <v>124</v>
      </c>
      <c r="DW149" t="s">
        <v>124</v>
      </c>
      <c r="DX149">
        <v>100</v>
      </c>
      <c r="DZ149" t="s">
        <v>6</v>
      </c>
      <c r="EA149" t="s">
        <v>6</v>
      </c>
      <c r="EB149" t="s">
        <v>6</v>
      </c>
      <c r="EC149" t="s">
        <v>6</v>
      </c>
      <c r="EE149">
        <v>30852936</v>
      </c>
      <c r="EF149">
        <v>2</v>
      </c>
      <c r="EG149" t="s">
        <v>26</v>
      </c>
      <c r="EH149">
        <v>0</v>
      </c>
      <c r="EI149" t="s">
        <v>6</v>
      </c>
      <c r="EJ149">
        <v>1</v>
      </c>
      <c r="EK149">
        <v>15001</v>
      </c>
      <c r="EL149" t="s">
        <v>128</v>
      </c>
      <c r="EM149" t="s">
        <v>129</v>
      </c>
      <c r="EO149" t="s">
        <v>6</v>
      </c>
      <c r="EQ149">
        <v>131072</v>
      </c>
      <c r="ER149">
        <v>2043.38</v>
      </c>
      <c r="ES149">
        <v>1385.44</v>
      </c>
      <c r="ET149">
        <v>19.25</v>
      </c>
      <c r="EU149">
        <v>0.39</v>
      </c>
      <c r="EV149">
        <v>638.69000000000005</v>
      </c>
      <c r="EW149">
        <v>68.75</v>
      </c>
      <c r="EX149">
        <v>0.03</v>
      </c>
      <c r="EY149">
        <v>0</v>
      </c>
      <c r="FQ149">
        <v>0</v>
      </c>
      <c r="FR149">
        <f>ROUND(IF(AND(BH149=3,BI149=3),P149,0),2)</f>
        <v>0</v>
      </c>
      <c r="FS149">
        <v>0</v>
      </c>
      <c r="FT149" t="s">
        <v>29</v>
      </c>
      <c r="FU149" t="s">
        <v>30</v>
      </c>
      <c r="FX149">
        <v>90</v>
      </c>
      <c r="FY149">
        <v>41.65</v>
      </c>
      <c r="GA149" t="s">
        <v>6</v>
      </c>
      <c r="GD149">
        <v>1</v>
      </c>
      <c r="GF149">
        <v>-377485160</v>
      </c>
      <c r="GG149">
        <v>2</v>
      </c>
      <c r="GH149">
        <v>1</v>
      </c>
      <c r="GI149">
        <v>4</v>
      </c>
      <c r="GJ149">
        <v>0</v>
      </c>
      <c r="GK149">
        <v>0</v>
      </c>
      <c r="GL149">
        <f>ROUND(IF(AND(BH149=3,BI149=3,FS149&lt;&gt;0),P149,0),2)</f>
        <v>0</v>
      </c>
      <c r="GM149">
        <f>ROUND(O149+X149+Y149,2)+GX149</f>
        <v>2564.9699999999998</v>
      </c>
      <c r="GN149">
        <f>IF(OR(BI149=0,BI149=1),ROUND(O149+X149+Y149,2),0)</f>
        <v>2564.9699999999998</v>
      </c>
      <c r="GO149">
        <f>IF(BI149=2,ROUND(O149+X149+Y149,2),0)</f>
        <v>0</v>
      </c>
      <c r="GP149">
        <f>IF(BI149=4,ROUND(O149+X149+Y149,2)+GX149,0)</f>
        <v>0</v>
      </c>
      <c r="GR149">
        <v>0</v>
      </c>
      <c r="GS149">
        <v>3</v>
      </c>
      <c r="GT149">
        <v>0</v>
      </c>
      <c r="GU149" t="s">
        <v>6</v>
      </c>
      <c r="GV149">
        <f>ROUND((GT149),6)</f>
        <v>0</v>
      </c>
      <c r="GW149">
        <v>1</v>
      </c>
      <c r="GX149">
        <f>ROUND(HC149*I149,2)</f>
        <v>0</v>
      </c>
      <c r="HA149">
        <v>0</v>
      </c>
      <c r="HB149">
        <v>0</v>
      </c>
      <c r="HC149">
        <f>GV149*GW149</f>
        <v>0</v>
      </c>
      <c r="HE149" t="s">
        <v>6</v>
      </c>
      <c r="HF149" t="s">
        <v>6</v>
      </c>
      <c r="HI149">
        <f>ROUND(R149*BS149,0)</f>
        <v>10</v>
      </c>
      <c r="HJ149">
        <f>ROUND(S149*BA149,0)</f>
        <v>15568</v>
      </c>
      <c r="HK149">
        <f>ROUND((((HJ149+HI149)*AT149)/100),0)</f>
        <v>14020</v>
      </c>
      <c r="HL149">
        <f>ROUND((((HJ149+HI149)*AU149)/100),0)</f>
        <v>6488</v>
      </c>
      <c r="HM149" t="s">
        <v>6</v>
      </c>
      <c r="HN149" t="s">
        <v>6</v>
      </c>
      <c r="HO149" t="s">
        <v>6</v>
      </c>
      <c r="HP149" t="s">
        <v>6</v>
      </c>
      <c r="HQ149" t="s">
        <v>6</v>
      </c>
      <c r="IK149">
        <v>0</v>
      </c>
    </row>
    <row r="150" spans="1:245">
      <c r="A150">
        <v>19</v>
      </c>
      <c r="B150">
        <v>1</v>
      </c>
      <c r="F150" t="s">
        <v>6</v>
      </c>
      <c r="G150" t="s">
        <v>348</v>
      </c>
      <c r="H150" t="s">
        <v>6</v>
      </c>
      <c r="AA150">
        <v>1</v>
      </c>
      <c r="IK150">
        <v>0</v>
      </c>
    </row>
    <row r="151" spans="1:245">
      <c r="A151">
        <v>17</v>
      </c>
      <c r="B151">
        <v>1</v>
      </c>
      <c r="C151">
        <f>ROW(SmtRes!A208)</f>
        <v>208</v>
      </c>
      <c r="D151">
        <f>ROW(EtalonRes!A232)</f>
        <v>232</v>
      </c>
      <c r="E151" t="s">
        <v>349</v>
      </c>
      <c r="F151" t="s">
        <v>350</v>
      </c>
      <c r="G151" t="s">
        <v>351</v>
      </c>
      <c r="H151" t="s">
        <v>172</v>
      </c>
      <c r="I151">
        <f>ROUND(12.4*4/100,7)</f>
        <v>0.496</v>
      </c>
      <c r="J151">
        <v>0</v>
      </c>
      <c r="K151">
        <f>ROUND(12.4*4/100,7)</f>
        <v>0.496</v>
      </c>
      <c r="O151">
        <f>ROUND(CP151,2)</f>
        <v>2179.5500000000002</v>
      </c>
      <c r="P151">
        <f>ROUND(CQ151*I151,2)</f>
        <v>1300.56</v>
      </c>
      <c r="Q151">
        <f>ROUND(CR151*I151,2)</f>
        <v>38.369999999999997</v>
      </c>
      <c r="R151">
        <f>ROUND(CS151*I151,2)</f>
        <v>13.05</v>
      </c>
      <c r="S151">
        <f>ROUND(CT151*I151,2)</f>
        <v>840.62</v>
      </c>
      <c r="T151">
        <f>ROUND(CU151*I151,2)</f>
        <v>0</v>
      </c>
      <c r="U151">
        <f>CV151*I151</f>
        <v>94.878054399999996</v>
      </c>
      <c r="V151">
        <f>CW151*I151</f>
        <v>1.0267199999999999</v>
      </c>
      <c r="W151">
        <f>ROUND(CX151*I151,2)</f>
        <v>0</v>
      </c>
      <c r="X151">
        <f t="shared" ref="X151:Y153" si="172">ROUND(CY151,2)</f>
        <v>768.3</v>
      </c>
      <c r="Y151">
        <f t="shared" si="172"/>
        <v>355.55</v>
      </c>
      <c r="AA151">
        <v>31028412</v>
      </c>
      <c r="AB151">
        <f>ROUND((AC151+AD151+AF151),6)</f>
        <v>4394.2532250000004</v>
      </c>
      <c r="AC151">
        <f>ROUND((ES151),6)</f>
        <v>2622.09</v>
      </c>
      <c r="AD151">
        <f>ROUND(((((ET151*ROUND((1.25*1.15),7)))-((EU151*ROUND((1.25*1.15),7))))+AE151),6)</f>
        <v>77.366249999999994</v>
      </c>
      <c r="AE151">
        <f>ROUND(((EU151*ROUND((1.25*1.15),7))),6)</f>
        <v>26.306249999999999</v>
      </c>
      <c r="AF151">
        <f>ROUND(((EV151*ROUND((1.15*1.15),7))),6)</f>
        <v>1694.796975</v>
      </c>
      <c r="AG151">
        <f>ROUND((AP151),6)</f>
        <v>0</v>
      </c>
      <c r="AH151">
        <f>((EW151*ROUND((1.15*1.15),7)))</f>
        <v>191.28639999999999</v>
      </c>
      <c r="AI151">
        <f>((EX151*ROUND((1.25*1.15),7)))</f>
        <v>2.0699999999999998</v>
      </c>
      <c r="AJ151">
        <f>(AS151)</f>
        <v>0</v>
      </c>
      <c r="AK151">
        <v>3957.42</v>
      </c>
      <c r="AL151">
        <v>2622.09</v>
      </c>
      <c r="AM151">
        <v>53.82</v>
      </c>
      <c r="AN151">
        <v>18.3</v>
      </c>
      <c r="AO151">
        <v>1281.51</v>
      </c>
      <c r="AP151">
        <v>0</v>
      </c>
      <c r="AQ151">
        <v>144.63999999999999</v>
      </c>
      <c r="AR151">
        <v>1.44</v>
      </c>
      <c r="AS151">
        <v>0</v>
      </c>
      <c r="AT151">
        <v>90</v>
      </c>
      <c r="AU151">
        <v>41.65</v>
      </c>
      <c r="AV151">
        <v>1</v>
      </c>
      <c r="AW151">
        <v>1</v>
      </c>
      <c r="AZ151">
        <v>1</v>
      </c>
      <c r="BA151">
        <v>24.22</v>
      </c>
      <c r="BB151">
        <v>1</v>
      </c>
      <c r="BC151">
        <v>1</v>
      </c>
      <c r="BD151" t="s">
        <v>6</v>
      </c>
      <c r="BE151" t="s">
        <v>6</v>
      </c>
      <c r="BF151" t="s">
        <v>6</v>
      </c>
      <c r="BG151" t="s">
        <v>6</v>
      </c>
      <c r="BH151">
        <v>0</v>
      </c>
      <c r="BI151">
        <v>1</v>
      </c>
      <c r="BJ151" t="s">
        <v>352</v>
      </c>
      <c r="BM151">
        <v>15001</v>
      </c>
      <c r="BN151">
        <v>0</v>
      </c>
      <c r="BO151" t="s">
        <v>1327</v>
      </c>
      <c r="BP151">
        <v>1</v>
      </c>
      <c r="BQ151">
        <v>2</v>
      </c>
      <c r="BR151">
        <v>0</v>
      </c>
      <c r="BS151">
        <v>24.22</v>
      </c>
      <c r="BT151">
        <v>1</v>
      </c>
      <c r="BU151">
        <v>1</v>
      </c>
      <c r="BV151">
        <v>1</v>
      </c>
      <c r="BW151">
        <v>1</v>
      </c>
      <c r="BX151">
        <v>1</v>
      </c>
      <c r="BY151" t="s">
        <v>6</v>
      </c>
      <c r="BZ151">
        <v>100</v>
      </c>
      <c r="CA151">
        <v>49</v>
      </c>
      <c r="CB151" t="s">
        <v>6</v>
      </c>
      <c r="CE151">
        <v>0</v>
      </c>
      <c r="CF151">
        <v>0</v>
      </c>
      <c r="CG151">
        <v>0</v>
      </c>
      <c r="CM151">
        <v>0</v>
      </c>
      <c r="CN151" t="s">
        <v>6</v>
      </c>
      <c r="CO151">
        <v>0</v>
      </c>
      <c r="CP151">
        <f>(P151+Q151+S151)</f>
        <v>2179.5499999999997</v>
      </c>
      <c r="CQ151">
        <f>AC151*BC151</f>
        <v>2622.09</v>
      </c>
      <c r="CR151">
        <f>AD151*BB151</f>
        <v>77.366249999999994</v>
      </c>
      <c r="CS151">
        <f t="shared" ref="CS151:CX153" si="173">AE151</f>
        <v>26.306249999999999</v>
      </c>
      <c r="CT151">
        <f t="shared" si="173"/>
        <v>1694.796975</v>
      </c>
      <c r="CU151">
        <f t="shared" si="173"/>
        <v>0</v>
      </c>
      <c r="CV151">
        <f t="shared" si="173"/>
        <v>191.28639999999999</v>
      </c>
      <c r="CW151">
        <f t="shared" si="173"/>
        <v>2.0699999999999998</v>
      </c>
      <c r="CX151">
        <f t="shared" si="173"/>
        <v>0</v>
      </c>
      <c r="CY151">
        <f>(((S151+R151)*AT151)/100)</f>
        <v>768.303</v>
      </c>
      <c r="CZ151">
        <f>(((S151+R151)*AU151)/100)</f>
        <v>355.55355499999996</v>
      </c>
      <c r="DC151" t="s">
        <v>6</v>
      </c>
      <c r="DD151" t="s">
        <v>6</v>
      </c>
      <c r="DE151" t="s">
        <v>126</v>
      </c>
      <c r="DF151" t="s">
        <v>126</v>
      </c>
      <c r="DG151" t="s">
        <v>127</v>
      </c>
      <c r="DH151" t="s">
        <v>6</v>
      </c>
      <c r="DI151" t="s">
        <v>127</v>
      </c>
      <c r="DJ151" t="s">
        <v>126</v>
      </c>
      <c r="DK151" t="s">
        <v>6</v>
      </c>
      <c r="DL151" t="s">
        <v>6</v>
      </c>
      <c r="DM151" t="s">
        <v>6</v>
      </c>
      <c r="DN151">
        <v>0</v>
      </c>
      <c r="DO151">
        <v>0</v>
      </c>
      <c r="DP151">
        <v>1</v>
      </c>
      <c r="DQ151">
        <v>1</v>
      </c>
      <c r="DU151">
        <v>1013</v>
      </c>
      <c r="DV151" t="s">
        <v>172</v>
      </c>
      <c r="DW151" t="s">
        <v>172</v>
      </c>
      <c r="DX151">
        <v>1</v>
      </c>
      <c r="DZ151" t="s">
        <v>6</v>
      </c>
      <c r="EA151" t="s">
        <v>6</v>
      </c>
      <c r="EB151" t="s">
        <v>6</v>
      </c>
      <c r="EC151" t="s">
        <v>6</v>
      </c>
      <c r="EE151">
        <v>30852936</v>
      </c>
      <c r="EF151">
        <v>2</v>
      </c>
      <c r="EG151" t="s">
        <v>26</v>
      </c>
      <c r="EH151">
        <v>0</v>
      </c>
      <c r="EI151" t="s">
        <v>6</v>
      </c>
      <c r="EJ151">
        <v>1</v>
      </c>
      <c r="EK151">
        <v>15001</v>
      </c>
      <c r="EL151" t="s">
        <v>128</v>
      </c>
      <c r="EM151" t="s">
        <v>129</v>
      </c>
      <c r="EO151" t="s">
        <v>6</v>
      </c>
      <c r="EQ151">
        <v>131072</v>
      </c>
      <c r="ER151">
        <v>3957.42</v>
      </c>
      <c r="ES151">
        <v>2622.09</v>
      </c>
      <c r="ET151">
        <v>53.82</v>
      </c>
      <c r="EU151">
        <v>18.3</v>
      </c>
      <c r="EV151">
        <v>1281.51</v>
      </c>
      <c r="EW151">
        <v>144.63999999999999</v>
      </c>
      <c r="EX151">
        <v>1.44</v>
      </c>
      <c r="EY151">
        <v>0</v>
      </c>
      <c r="FQ151">
        <v>0</v>
      </c>
      <c r="FR151">
        <f>ROUND(IF(AND(BH151=3,BI151=3),P151,0),2)</f>
        <v>0</v>
      </c>
      <c r="FS151">
        <v>0</v>
      </c>
      <c r="FT151" t="s">
        <v>29</v>
      </c>
      <c r="FU151" t="s">
        <v>30</v>
      </c>
      <c r="FX151">
        <v>90</v>
      </c>
      <c r="FY151">
        <v>41.65</v>
      </c>
      <c r="GA151" t="s">
        <v>6</v>
      </c>
      <c r="GD151">
        <v>1</v>
      </c>
      <c r="GF151">
        <v>-1260962249</v>
      </c>
      <c r="GG151">
        <v>2</v>
      </c>
      <c r="GH151">
        <v>1</v>
      </c>
      <c r="GI151">
        <v>4</v>
      </c>
      <c r="GJ151">
        <v>0</v>
      </c>
      <c r="GK151">
        <v>0</v>
      </c>
      <c r="GL151">
        <f>ROUND(IF(AND(BH151=3,BI151=3,FS151&lt;&gt;0),P151,0),2)</f>
        <v>0</v>
      </c>
      <c r="GM151">
        <f>ROUND(O151+X151+Y151,2)+GX151</f>
        <v>3303.4</v>
      </c>
      <c r="GN151">
        <f>IF(OR(BI151=0,BI151=1),ROUND(O151+X151+Y151,2),0)</f>
        <v>3303.4</v>
      </c>
      <c r="GO151">
        <f>IF(BI151=2,ROUND(O151+X151+Y151,2),0)</f>
        <v>0</v>
      </c>
      <c r="GP151">
        <f>IF(BI151=4,ROUND(O151+X151+Y151,2)+GX151,0)</f>
        <v>0</v>
      </c>
      <c r="GR151">
        <v>0</v>
      </c>
      <c r="GS151">
        <v>0</v>
      </c>
      <c r="GT151">
        <v>0</v>
      </c>
      <c r="GU151" t="s">
        <v>6</v>
      </c>
      <c r="GV151">
        <f>ROUND((GT151),6)</f>
        <v>0</v>
      </c>
      <c r="GW151">
        <v>1</v>
      </c>
      <c r="GX151">
        <f>ROUND(HC151*I151,2)</f>
        <v>0</v>
      </c>
      <c r="HA151">
        <v>0</v>
      </c>
      <c r="HB151">
        <v>0</v>
      </c>
      <c r="HC151">
        <f>GV151*GW151</f>
        <v>0</v>
      </c>
      <c r="HE151" t="s">
        <v>6</v>
      </c>
      <c r="HF151" t="s">
        <v>6</v>
      </c>
      <c r="HI151">
        <f>ROUND(R151*BS151,0)</f>
        <v>316</v>
      </c>
      <c r="HJ151">
        <f>ROUND(S151*BA151,0)</f>
        <v>20360</v>
      </c>
      <c r="HK151">
        <f>ROUND((((HJ151+HI151)*AT151)/100),0)</f>
        <v>18608</v>
      </c>
      <c r="HL151">
        <f>ROUND((((HJ151+HI151)*AU151)/100),0)</f>
        <v>8612</v>
      </c>
      <c r="HM151" t="s">
        <v>6</v>
      </c>
      <c r="HN151" t="s">
        <v>6</v>
      </c>
      <c r="HO151" t="s">
        <v>6</v>
      </c>
      <c r="HP151" t="s">
        <v>6</v>
      </c>
      <c r="HQ151" t="s">
        <v>6</v>
      </c>
      <c r="IK151">
        <v>0</v>
      </c>
    </row>
    <row r="152" spans="1:245">
      <c r="A152">
        <v>17</v>
      </c>
      <c r="B152">
        <v>1</v>
      </c>
      <c r="C152">
        <f>ROW(SmtRes!A215)</f>
        <v>215</v>
      </c>
      <c r="D152">
        <f>ROW(EtalonRes!A239)</f>
        <v>239</v>
      </c>
      <c r="E152" t="s">
        <v>353</v>
      </c>
      <c r="F152" t="s">
        <v>354</v>
      </c>
      <c r="G152" t="s">
        <v>355</v>
      </c>
      <c r="H152" t="s">
        <v>124</v>
      </c>
      <c r="I152">
        <f>ROUND(12.4*4/100,7)</f>
        <v>0.496</v>
      </c>
      <c r="J152">
        <v>0</v>
      </c>
      <c r="K152">
        <f>ROUND(12.4*4/100,7)</f>
        <v>0.496</v>
      </c>
      <c r="O152">
        <f>ROUND(CP152,2)</f>
        <v>312.52999999999997</v>
      </c>
      <c r="P152">
        <f>ROUND(CQ152*I152,2)</f>
        <v>210.34</v>
      </c>
      <c r="Q152">
        <f>ROUND(CR152*I152,2)</f>
        <v>2.83</v>
      </c>
      <c r="R152">
        <f>ROUND(CS152*I152,2)</f>
        <v>0.09</v>
      </c>
      <c r="S152">
        <f>ROUND(CT152*I152,2)</f>
        <v>99.36</v>
      </c>
      <c r="T152">
        <f>ROUND(CU152*I152,2)</f>
        <v>0</v>
      </c>
      <c r="U152">
        <f>CV152*I152</f>
        <v>10.82334</v>
      </c>
      <c r="V152">
        <f>CW152*I152</f>
        <v>7.1300000000000001E-3</v>
      </c>
      <c r="W152">
        <f>ROUND(CX152*I152,2)</f>
        <v>0</v>
      </c>
      <c r="X152">
        <f t="shared" si="172"/>
        <v>89.51</v>
      </c>
      <c r="Y152">
        <f t="shared" si="172"/>
        <v>41.42</v>
      </c>
      <c r="AA152">
        <v>31028412</v>
      </c>
      <c r="AB152">
        <f>ROUND((AC152+AD152+AF152),6)</f>
        <v>630.09595000000002</v>
      </c>
      <c r="AC152">
        <f>ROUND((ES152),6)</f>
        <v>424.07</v>
      </c>
      <c r="AD152">
        <f>ROUND(((((ET152*ROUND((1.25*1.15),7)))-((EU152*ROUND((1.25*1.15),7))))+AE152),6)</f>
        <v>5.7068750000000001</v>
      </c>
      <c r="AE152">
        <f>ROUND(((EU152*ROUND((1.25*1.15),7))),6)</f>
        <v>0.18687500000000001</v>
      </c>
      <c r="AF152">
        <f>ROUND(((EV152*ROUND((1.15*1.15),7))),6)</f>
        <v>200.319075</v>
      </c>
      <c r="AG152">
        <f>ROUND((AP152),6)</f>
        <v>0</v>
      </c>
      <c r="AH152">
        <f>((EW152*ROUND((1.15*1.15),7)))</f>
        <v>21.821249999999999</v>
      </c>
      <c r="AI152">
        <f>((EX152*ROUND((1.25*1.15),7)))</f>
        <v>1.4375000000000001E-2</v>
      </c>
      <c r="AJ152">
        <f>(AS152)</f>
        <v>0</v>
      </c>
      <c r="AK152">
        <v>579.51</v>
      </c>
      <c r="AL152">
        <v>424.07</v>
      </c>
      <c r="AM152">
        <v>3.97</v>
      </c>
      <c r="AN152">
        <v>0.13</v>
      </c>
      <c r="AO152">
        <v>151.47</v>
      </c>
      <c r="AP152">
        <v>0</v>
      </c>
      <c r="AQ152">
        <v>16.5</v>
      </c>
      <c r="AR152">
        <v>0.01</v>
      </c>
      <c r="AS152">
        <v>0</v>
      </c>
      <c r="AT152">
        <v>90</v>
      </c>
      <c r="AU152">
        <v>41.65</v>
      </c>
      <c r="AV152">
        <v>1</v>
      </c>
      <c r="AW152">
        <v>1</v>
      </c>
      <c r="AZ152">
        <v>1</v>
      </c>
      <c r="BA152">
        <v>24.22</v>
      </c>
      <c r="BB152">
        <v>1</v>
      </c>
      <c r="BC152">
        <v>1</v>
      </c>
      <c r="BD152" t="s">
        <v>6</v>
      </c>
      <c r="BE152" t="s">
        <v>6</v>
      </c>
      <c r="BF152" t="s">
        <v>6</v>
      </c>
      <c r="BG152" t="s">
        <v>6</v>
      </c>
      <c r="BH152">
        <v>0</v>
      </c>
      <c r="BI152">
        <v>1</v>
      </c>
      <c r="BJ152" t="s">
        <v>356</v>
      </c>
      <c r="BM152">
        <v>15001</v>
      </c>
      <c r="BN152">
        <v>0</v>
      </c>
      <c r="BO152" t="s">
        <v>1327</v>
      </c>
      <c r="BP152">
        <v>1</v>
      </c>
      <c r="BQ152">
        <v>2</v>
      </c>
      <c r="BR152">
        <v>0</v>
      </c>
      <c r="BS152">
        <v>24.22</v>
      </c>
      <c r="BT152">
        <v>1</v>
      </c>
      <c r="BU152">
        <v>1</v>
      </c>
      <c r="BV152">
        <v>1</v>
      </c>
      <c r="BW152">
        <v>1</v>
      </c>
      <c r="BX152">
        <v>1</v>
      </c>
      <c r="BY152" t="s">
        <v>6</v>
      </c>
      <c r="BZ152">
        <v>100</v>
      </c>
      <c r="CA152">
        <v>49</v>
      </c>
      <c r="CB152" t="s">
        <v>6</v>
      </c>
      <c r="CE152">
        <v>0</v>
      </c>
      <c r="CF152">
        <v>0</v>
      </c>
      <c r="CG152">
        <v>0</v>
      </c>
      <c r="CM152">
        <v>0</v>
      </c>
      <c r="CN152" t="s">
        <v>6</v>
      </c>
      <c r="CO152">
        <v>0</v>
      </c>
      <c r="CP152">
        <f>(P152+Q152+S152)</f>
        <v>312.53000000000003</v>
      </c>
      <c r="CQ152">
        <f>AC152*BC152</f>
        <v>424.07</v>
      </c>
      <c r="CR152">
        <f>AD152*BB152</f>
        <v>5.7068750000000001</v>
      </c>
      <c r="CS152">
        <f t="shared" si="173"/>
        <v>0.18687500000000001</v>
      </c>
      <c r="CT152">
        <f t="shared" si="173"/>
        <v>200.319075</v>
      </c>
      <c r="CU152">
        <f t="shared" si="173"/>
        <v>0</v>
      </c>
      <c r="CV152">
        <f t="shared" si="173"/>
        <v>21.821249999999999</v>
      </c>
      <c r="CW152">
        <f t="shared" si="173"/>
        <v>1.4375000000000001E-2</v>
      </c>
      <c r="CX152">
        <f t="shared" si="173"/>
        <v>0</v>
      </c>
      <c r="CY152">
        <f>(((S152+R152)*AT152)/100)</f>
        <v>89.504999999999995</v>
      </c>
      <c r="CZ152">
        <f>(((S152+R152)*AU152)/100)</f>
        <v>41.420924999999997</v>
      </c>
      <c r="DC152" t="s">
        <v>6</v>
      </c>
      <c r="DD152" t="s">
        <v>6</v>
      </c>
      <c r="DE152" t="s">
        <v>126</v>
      </c>
      <c r="DF152" t="s">
        <v>126</v>
      </c>
      <c r="DG152" t="s">
        <v>127</v>
      </c>
      <c r="DH152" t="s">
        <v>6</v>
      </c>
      <c r="DI152" t="s">
        <v>127</v>
      </c>
      <c r="DJ152" t="s">
        <v>126</v>
      </c>
      <c r="DK152" t="s">
        <v>6</v>
      </c>
      <c r="DL152" t="s">
        <v>6</v>
      </c>
      <c r="DM152" t="s">
        <v>6</v>
      </c>
      <c r="DN152">
        <v>0</v>
      </c>
      <c r="DO152">
        <v>0</v>
      </c>
      <c r="DP152">
        <v>1</v>
      </c>
      <c r="DQ152">
        <v>1</v>
      </c>
      <c r="DU152">
        <v>1005</v>
      </c>
      <c r="DV152" t="s">
        <v>124</v>
      </c>
      <c r="DW152" t="s">
        <v>124</v>
      </c>
      <c r="DX152">
        <v>100</v>
      </c>
      <c r="DZ152" t="s">
        <v>6</v>
      </c>
      <c r="EA152" t="s">
        <v>6</v>
      </c>
      <c r="EB152" t="s">
        <v>6</v>
      </c>
      <c r="EC152" t="s">
        <v>6</v>
      </c>
      <c r="EE152">
        <v>30852936</v>
      </c>
      <c r="EF152">
        <v>2</v>
      </c>
      <c r="EG152" t="s">
        <v>26</v>
      </c>
      <c r="EH152">
        <v>0</v>
      </c>
      <c r="EI152" t="s">
        <v>6</v>
      </c>
      <c r="EJ152">
        <v>1</v>
      </c>
      <c r="EK152">
        <v>15001</v>
      </c>
      <c r="EL152" t="s">
        <v>128</v>
      </c>
      <c r="EM152" t="s">
        <v>129</v>
      </c>
      <c r="EO152" t="s">
        <v>6</v>
      </c>
      <c r="EQ152">
        <v>131072</v>
      </c>
      <c r="ER152">
        <v>579.51</v>
      </c>
      <c r="ES152">
        <v>424.07</v>
      </c>
      <c r="ET152">
        <v>3.97</v>
      </c>
      <c r="EU152">
        <v>0.13</v>
      </c>
      <c r="EV152">
        <v>151.47</v>
      </c>
      <c r="EW152">
        <v>16.5</v>
      </c>
      <c r="EX152">
        <v>0.01</v>
      </c>
      <c r="EY152">
        <v>0</v>
      </c>
      <c r="FQ152">
        <v>0</v>
      </c>
      <c r="FR152">
        <f>ROUND(IF(AND(BH152=3,BI152=3),P152,0),2)</f>
        <v>0</v>
      </c>
      <c r="FS152">
        <v>0</v>
      </c>
      <c r="FT152" t="s">
        <v>29</v>
      </c>
      <c r="FU152" t="s">
        <v>30</v>
      </c>
      <c r="FX152">
        <v>90</v>
      </c>
      <c r="FY152">
        <v>41.65</v>
      </c>
      <c r="GA152" t="s">
        <v>6</v>
      </c>
      <c r="GD152">
        <v>1</v>
      </c>
      <c r="GF152">
        <v>568612840</v>
      </c>
      <c r="GG152">
        <v>2</v>
      </c>
      <c r="GH152">
        <v>1</v>
      </c>
      <c r="GI152">
        <v>4</v>
      </c>
      <c r="GJ152">
        <v>0</v>
      </c>
      <c r="GK152">
        <v>0</v>
      </c>
      <c r="GL152">
        <f>ROUND(IF(AND(BH152=3,BI152=3,FS152&lt;&gt;0),P152,0),2)</f>
        <v>0</v>
      </c>
      <c r="GM152">
        <f>ROUND(O152+X152+Y152,2)+GX152</f>
        <v>443.46</v>
      </c>
      <c r="GN152">
        <f>IF(OR(BI152=0,BI152=1),ROUND(O152+X152+Y152,2),0)</f>
        <v>443.46</v>
      </c>
      <c r="GO152">
        <f>IF(BI152=2,ROUND(O152+X152+Y152,2),0)</f>
        <v>0</v>
      </c>
      <c r="GP152">
        <f>IF(BI152=4,ROUND(O152+X152+Y152,2)+GX152,0)</f>
        <v>0</v>
      </c>
      <c r="GR152">
        <v>0</v>
      </c>
      <c r="GS152">
        <v>3</v>
      </c>
      <c r="GT152">
        <v>0</v>
      </c>
      <c r="GU152" t="s">
        <v>6</v>
      </c>
      <c r="GV152">
        <f>ROUND((GT152),6)</f>
        <v>0</v>
      </c>
      <c r="GW152">
        <v>1</v>
      </c>
      <c r="GX152">
        <f>ROUND(HC152*I152,2)</f>
        <v>0</v>
      </c>
      <c r="HA152">
        <v>0</v>
      </c>
      <c r="HB152">
        <v>0</v>
      </c>
      <c r="HC152">
        <f>GV152*GW152</f>
        <v>0</v>
      </c>
      <c r="HE152" t="s">
        <v>6</v>
      </c>
      <c r="HF152" t="s">
        <v>6</v>
      </c>
      <c r="HI152">
        <f>ROUND(R152*BS152,0)</f>
        <v>2</v>
      </c>
      <c r="HJ152">
        <f>ROUND(S152*BA152,0)</f>
        <v>2406</v>
      </c>
      <c r="HK152">
        <f>ROUND((((HJ152+HI152)*AT152)/100),0)</f>
        <v>2167</v>
      </c>
      <c r="HL152">
        <f>ROUND((((HJ152+HI152)*AU152)/100),0)</f>
        <v>1003</v>
      </c>
      <c r="HM152" t="s">
        <v>6</v>
      </c>
      <c r="HN152" t="s">
        <v>6</v>
      </c>
      <c r="HO152" t="s">
        <v>6</v>
      </c>
      <c r="HP152" t="s">
        <v>6</v>
      </c>
      <c r="HQ152" t="s">
        <v>6</v>
      </c>
      <c r="IK152">
        <v>0</v>
      </c>
    </row>
    <row r="153" spans="1:245">
      <c r="A153">
        <v>17</v>
      </c>
      <c r="B153">
        <v>1</v>
      </c>
      <c r="C153">
        <f>ROW(SmtRes!A223)</f>
        <v>223</v>
      </c>
      <c r="D153">
        <f>ROW(EtalonRes!A247)</f>
        <v>247</v>
      </c>
      <c r="E153" t="s">
        <v>357</v>
      </c>
      <c r="F153" t="s">
        <v>358</v>
      </c>
      <c r="G153" t="s">
        <v>359</v>
      </c>
      <c r="H153" t="s">
        <v>124</v>
      </c>
      <c r="I153">
        <f>ROUND(12.4*4/100,7)</f>
        <v>0.496</v>
      </c>
      <c r="J153">
        <v>0</v>
      </c>
      <c r="K153">
        <f>ROUND(12.4*4/100,7)</f>
        <v>0.496</v>
      </c>
      <c r="O153">
        <f>ROUND(CP153,2)</f>
        <v>1318.53</v>
      </c>
      <c r="P153">
        <f>ROUND(CQ153*I153,2)</f>
        <v>758.53</v>
      </c>
      <c r="Q153">
        <f>ROUND(CR153*I153,2)</f>
        <v>15.03</v>
      </c>
      <c r="R153">
        <f>ROUND(CS153*I153,2)</f>
        <v>0.28000000000000003</v>
      </c>
      <c r="S153">
        <f>ROUND(CT153*I153,2)</f>
        <v>544.97</v>
      </c>
      <c r="T153">
        <f>ROUND(CU153*I153,2)</f>
        <v>0</v>
      </c>
      <c r="U153">
        <f>CV153*I153</f>
        <v>58.662502800000006</v>
      </c>
      <c r="V153">
        <f>CW153*I153</f>
        <v>2.1389999999999999E-2</v>
      </c>
      <c r="W153">
        <f>ROUND(CX153*I153,2)</f>
        <v>0</v>
      </c>
      <c r="X153">
        <f t="shared" si="172"/>
        <v>490.73</v>
      </c>
      <c r="Y153">
        <f t="shared" si="172"/>
        <v>227.1</v>
      </c>
      <c r="AA153">
        <v>31028412</v>
      </c>
      <c r="AB153">
        <f>ROUND((AC153+AD153+AF153),6)</f>
        <v>2658.3355000000001</v>
      </c>
      <c r="AC153">
        <f>ROUND((ES153),6)</f>
        <v>1529.3</v>
      </c>
      <c r="AD153">
        <f>ROUND(((((ET153*ROUND((1.25*1.15),7)))-((EU153*ROUND((1.25*1.15),7))))+AE153),6)</f>
        <v>30.302499999999998</v>
      </c>
      <c r="AE153">
        <f>ROUND(((EU153*ROUND((1.25*1.15),7))),6)</f>
        <v>0.56062500000000004</v>
      </c>
      <c r="AF153">
        <f>ROUND(((EV153*ROUND((1.15*1.15),7))),6)</f>
        <v>1098.7329999999999</v>
      </c>
      <c r="AG153">
        <f>ROUND((AP153),6)</f>
        <v>0</v>
      </c>
      <c r="AH153">
        <f>((EW153*ROUND((1.15*1.15),7)))</f>
        <v>118.27117500000001</v>
      </c>
      <c r="AI153">
        <f>((EX153*ROUND((1.25*1.15),7)))</f>
        <v>4.3124999999999997E-2</v>
      </c>
      <c r="AJ153">
        <f>(AS153)</f>
        <v>0</v>
      </c>
      <c r="AK153">
        <v>2381.1799999999998</v>
      </c>
      <c r="AL153">
        <v>1529.3</v>
      </c>
      <c r="AM153">
        <v>21.08</v>
      </c>
      <c r="AN153">
        <v>0.39</v>
      </c>
      <c r="AO153">
        <v>830.8</v>
      </c>
      <c r="AP153">
        <v>0</v>
      </c>
      <c r="AQ153">
        <v>89.43</v>
      </c>
      <c r="AR153">
        <v>0.03</v>
      </c>
      <c r="AS153">
        <v>0</v>
      </c>
      <c r="AT153">
        <v>90</v>
      </c>
      <c r="AU153">
        <v>41.65</v>
      </c>
      <c r="AV153">
        <v>1</v>
      </c>
      <c r="AW153">
        <v>1</v>
      </c>
      <c r="AZ153">
        <v>1</v>
      </c>
      <c r="BA153">
        <v>24.22</v>
      </c>
      <c r="BB153">
        <v>1</v>
      </c>
      <c r="BC153">
        <v>1</v>
      </c>
      <c r="BD153" t="s">
        <v>6</v>
      </c>
      <c r="BE153" t="s">
        <v>6</v>
      </c>
      <c r="BF153" t="s">
        <v>6</v>
      </c>
      <c r="BG153" t="s">
        <v>6</v>
      </c>
      <c r="BH153">
        <v>0</v>
      </c>
      <c r="BI153">
        <v>1</v>
      </c>
      <c r="BJ153" t="s">
        <v>360</v>
      </c>
      <c r="BM153">
        <v>15001</v>
      </c>
      <c r="BN153">
        <v>0</v>
      </c>
      <c r="BO153" t="s">
        <v>1327</v>
      </c>
      <c r="BP153">
        <v>1</v>
      </c>
      <c r="BQ153">
        <v>2</v>
      </c>
      <c r="BR153">
        <v>0</v>
      </c>
      <c r="BS153">
        <v>24.22</v>
      </c>
      <c r="BT153">
        <v>1</v>
      </c>
      <c r="BU153">
        <v>1</v>
      </c>
      <c r="BV153">
        <v>1</v>
      </c>
      <c r="BW153">
        <v>1</v>
      </c>
      <c r="BX153">
        <v>1</v>
      </c>
      <c r="BY153" t="s">
        <v>6</v>
      </c>
      <c r="BZ153">
        <v>100</v>
      </c>
      <c r="CA153">
        <v>49</v>
      </c>
      <c r="CB153" t="s">
        <v>6</v>
      </c>
      <c r="CE153">
        <v>0</v>
      </c>
      <c r="CF153">
        <v>0</v>
      </c>
      <c r="CG153">
        <v>0</v>
      </c>
      <c r="CM153">
        <v>0</v>
      </c>
      <c r="CN153" t="s">
        <v>6</v>
      </c>
      <c r="CO153">
        <v>0</v>
      </c>
      <c r="CP153">
        <f>(P153+Q153+S153)</f>
        <v>1318.53</v>
      </c>
      <c r="CQ153">
        <f>AC153*BC153</f>
        <v>1529.3</v>
      </c>
      <c r="CR153">
        <f>AD153*BB153</f>
        <v>30.302499999999998</v>
      </c>
      <c r="CS153">
        <f t="shared" si="173"/>
        <v>0.56062500000000004</v>
      </c>
      <c r="CT153">
        <f t="shared" si="173"/>
        <v>1098.7329999999999</v>
      </c>
      <c r="CU153">
        <f t="shared" si="173"/>
        <v>0</v>
      </c>
      <c r="CV153">
        <f t="shared" si="173"/>
        <v>118.27117500000001</v>
      </c>
      <c r="CW153">
        <f t="shared" si="173"/>
        <v>4.3124999999999997E-2</v>
      </c>
      <c r="CX153">
        <f t="shared" si="173"/>
        <v>0</v>
      </c>
      <c r="CY153">
        <f>(((S153+R153)*AT153)/100)</f>
        <v>490.72500000000002</v>
      </c>
      <c r="CZ153">
        <f>(((S153+R153)*AU153)/100)</f>
        <v>227.09662499999999</v>
      </c>
      <c r="DC153" t="s">
        <v>6</v>
      </c>
      <c r="DD153" t="s">
        <v>6</v>
      </c>
      <c r="DE153" t="s">
        <v>126</v>
      </c>
      <c r="DF153" t="s">
        <v>126</v>
      </c>
      <c r="DG153" t="s">
        <v>127</v>
      </c>
      <c r="DH153" t="s">
        <v>6</v>
      </c>
      <c r="DI153" t="s">
        <v>127</v>
      </c>
      <c r="DJ153" t="s">
        <v>126</v>
      </c>
      <c r="DK153" t="s">
        <v>6</v>
      </c>
      <c r="DL153" t="s">
        <v>6</v>
      </c>
      <c r="DM153" t="s">
        <v>6</v>
      </c>
      <c r="DN153">
        <v>0</v>
      </c>
      <c r="DO153">
        <v>0</v>
      </c>
      <c r="DP153">
        <v>1</v>
      </c>
      <c r="DQ153">
        <v>1</v>
      </c>
      <c r="DU153">
        <v>1005</v>
      </c>
      <c r="DV153" t="s">
        <v>124</v>
      </c>
      <c r="DW153" t="s">
        <v>124</v>
      </c>
      <c r="DX153">
        <v>100</v>
      </c>
      <c r="DZ153" t="s">
        <v>6</v>
      </c>
      <c r="EA153" t="s">
        <v>6</v>
      </c>
      <c r="EB153" t="s">
        <v>6</v>
      </c>
      <c r="EC153" t="s">
        <v>6</v>
      </c>
      <c r="EE153">
        <v>30852936</v>
      </c>
      <c r="EF153">
        <v>2</v>
      </c>
      <c r="EG153" t="s">
        <v>26</v>
      </c>
      <c r="EH153">
        <v>0</v>
      </c>
      <c r="EI153" t="s">
        <v>6</v>
      </c>
      <c r="EJ153">
        <v>1</v>
      </c>
      <c r="EK153">
        <v>15001</v>
      </c>
      <c r="EL153" t="s">
        <v>128</v>
      </c>
      <c r="EM153" t="s">
        <v>129</v>
      </c>
      <c r="EO153" t="s">
        <v>6</v>
      </c>
      <c r="EQ153">
        <v>131072</v>
      </c>
      <c r="ER153">
        <v>2381.1799999999998</v>
      </c>
      <c r="ES153">
        <v>1529.3</v>
      </c>
      <c r="ET153">
        <v>21.08</v>
      </c>
      <c r="EU153">
        <v>0.39</v>
      </c>
      <c r="EV153">
        <v>830.8</v>
      </c>
      <c r="EW153">
        <v>89.43</v>
      </c>
      <c r="EX153">
        <v>0.03</v>
      </c>
      <c r="EY153">
        <v>0</v>
      </c>
      <c r="FQ153">
        <v>0</v>
      </c>
      <c r="FR153">
        <f>ROUND(IF(AND(BH153=3,BI153=3),P153,0),2)</f>
        <v>0</v>
      </c>
      <c r="FS153">
        <v>0</v>
      </c>
      <c r="FT153" t="s">
        <v>29</v>
      </c>
      <c r="FU153" t="s">
        <v>30</v>
      </c>
      <c r="FX153">
        <v>90</v>
      </c>
      <c r="FY153">
        <v>41.65</v>
      </c>
      <c r="GA153" t="s">
        <v>6</v>
      </c>
      <c r="GD153">
        <v>1</v>
      </c>
      <c r="GF153">
        <v>-636490976</v>
      </c>
      <c r="GG153">
        <v>2</v>
      </c>
      <c r="GH153">
        <v>1</v>
      </c>
      <c r="GI153">
        <v>4</v>
      </c>
      <c r="GJ153">
        <v>0</v>
      </c>
      <c r="GK153">
        <v>0</v>
      </c>
      <c r="GL153">
        <f>ROUND(IF(AND(BH153=3,BI153=3,FS153&lt;&gt;0),P153,0),2)</f>
        <v>0</v>
      </c>
      <c r="GM153">
        <f>ROUND(O153+X153+Y153,2)+GX153</f>
        <v>2036.36</v>
      </c>
      <c r="GN153">
        <f>IF(OR(BI153=0,BI153=1),ROUND(O153+X153+Y153,2),0)</f>
        <v>2036.36</v>
      </c>
      <c r="GO153">
        <f>IF(BI153=2,ROUND(O153+X153+Y153,2),0)</f>
        <v>0</v>
      </c>
      <c r="GP153">
        <f>IF(BI153=4,ROUND(O153+X153+Y153,2)+GX153,0)</f>
        <v>0</v>
      </c>
      <c r="GR153">
        <v>0</v>
      </c>
      <c r="GS153">
        <v>3</v>
      </c>
      <c r="GT153">
        <v>0</v>
      </c>
      <c r="GU153" t="s">
        <v>6</v>
      </c>
      <c r="GV153">
        <f>ROUND((GT153),6)</f>
        <v>0</v>
      </c>
      <c r="GW153">
        <v>1</v>
      </c>
      <c r="GX153">
        <f>ROUND(HC153*I153,2)</f>
        <v>0</v>
      </c>
      <c r="HA153">
        <v>0</v>
      </c>
      <c r="HB153">
        <v>0</v>
      </c>
      <c r="HC153">
        <f>GV153*GW153</f>
        <v>0</v>
      </c>
      <c r="HE153" t="s">
        <v>6</v>
      </c>
      <c r="HF153" t="s">
        <v>6</v>
      </c>
      <c r="HI153">
        <f>ROUND(R153*BS153,0)</f>
        <v>7</v>
      </c>
      <c r="HJ153">
        <f>ROUND(S153*BA153,0)</f>
        <v>13199</v>
      </c>
      <c r="HK153">
        <f>ROUND((((HJ153+HI153)*AT153)/100),0)</f>
        <v>11885</v>
      </c>
      <c r="HL153">
        <f>ROUND((((HJ153+HI153)*AU153)/100),0)</f>
        <v>5500</v>
      </c>
      <c r="HM153" t="s">
        <v>6</v>
      </c>
      <c r="HN153" t="s">
        <v>6</v>
      </c>
      <c r="HO153" t="s">
        <v>6</v>
      </c>
      <c r="HP153" t="s">
        <v>6</v>
      </c>
      <c r="HQ153" t="s">
        <v>6</v>
      </c>
      <c r="IK153">
        <v>0</v>
      </c>
    </row>
    <row r="154" spans="1:245">
      <c r="A154">
        <v>19</v>
      </c>
      <c r="B154">
        <v>1</v>
      </c>
      <c r="F154" t="s">
        <v>6</v>
      </c>
      <c r="G154" t="s">
        <v>361</v>
      </c>
      <c r="H154" t="s">
        <v>6</v>
      </c>
      <c r="AA154">
        <v>1</v>
      </c>
      <c r="IK154">
        <v>0</v>
      </c>
    </row>
    <row r="155" spans="1:245">
      <c r="A155">
        <v>17</v>
      </c>
      <c r="B155">
        <v>1</v>
      </c>
      <c r="C155">
        <f>ROW(SmtRes!A233)</f>
        <v>233</v>
      </c>
      <c r="D155">
        <f>ROW(EtalonRes!A257)</f>
        <v>257</v>
      </c>
      <c r="E155" t="s">
        <v>362</v>
      </c>
      <c r="F155" t="s">
        <v>350</v>
      </c>
      <c r="G155" t="s">
        <v>351</v>
      </c>
      <c r="H155" t="s">
        <v>172</v>
      </c>
      <c r="I155">
        <f>ROUND(11.8*4/100,7)</f>
        <v>0.47199999999999998</v>
      </c>
      <c r="J155">
        <v>0</v>
      </c>
      <c r="K155">
        <f>ROUND(11.8*4/100,7)</f>
        <v>0.47199999999999998</v>
      </c>
      <c r="O155">
        <f>ROUND(CP155,2)</f>
        <v>2074.09</v>
      </c>
      <c r="P155">
        <f>ROUND(CQ155*I155,2)</f>
        <v>1237.6300000000001</v>
      </c>
      <c r="Q155">
        <f>ROUND(CR155*I155,2)</f>
        <v>36.520000000000003</v>
      </c>
      <c r="R155">
        <f>ROUND(CS155*I155,2)</f>
        <v>12.42</v>
      </c>
      <c r="S155">
        <f>ROUND(CT155*I155,2)</f>
        <v>799.94</v>
      </c>
      <c r="T155">
        <f>ROUND(CU155*I155,2)</f>
        <v>0</v>
      </c>
      <c r="U155">
        <f>CV155*I155</f>
        <v>90.287180799999987</v>
      </c>
      <c r="V155">
        <f>CW155*I155</f>
        <v>0.97703999999999991</v>
      </c>
      <c r="W155">
        <f>ROUND(CX155*I155,2)</f>
        <v>0</v>
      </c>
      <c r="X155">
        <f t="shared" ref="X155:Y157" si="174">ROUND(CY155,2)</f>
        <v>731.12</v>
      </c>
      <c r="Y155">
        <f t="shared" si="174"/>
        <v>338.35</v>
      </c>
      <c r="AA155">
        <v>31028412</v>
      </c>
      <c r="AB155">
        <f>ROUND((AC155+AD155+AF155),6)</f>
        <v>4394.2532250000004</v>
      </c>
      <c r="AC155">
        <f>ROUND((ES155),6)</f>
        <v>2622.09</v>
      </c>
      <c r="AD155">
        <f>ROUND(((((ET155*ROUND((1.25*1.15),7)))-((EU155*ROUND((1.25*1.15),7))))+AE155),6)</f>
        <v>77.366249999999994</v>
      </c>
      <c r="AE155">
        <f>ROUND(((EU155*ROUND((1.25*1.15),7))),6)</f>
        <v>26.306249999999999</v>
      </c>
      <c r="AF155">
        <f>ROUND(((EV155*ROUND((1.15*1.15),7))),6)</f>
        <v>1694.796975</v>
      </c>
      <c r="AG155">
        <f>ROUND((AP155),6)</f>
        <v>0</v>
      </c>
      <c r="AH155">
        <f>((EW155*ROUND((1.15*1.15),7)))</f>
        <v>191.28639999999999</v>
      </c>
      <c r="AI155">
        <f>((EX155*ROUND((1.25*1.15),7)))</f>
        <v>2.0699999999999998</v>
      </c>
      <c r="AJ155">
        <f>(AS155)</f>
        <v>0</v>
      </c>
      <c r="AK155">
        <v>3957.42</v>
      </c>
      <c r="AL155">
        <v>2622.09</v>
      </c>
      <c r="AM155">
        <v>53.82</v>
      </c>
      <c r="AN155">
        <v>18.3</v>
      </c>
      <c r="AO155">
        <v>1281.51</v>
      </c>
      <c r="AP155">
        <v>0</v>
      </c>
      <c r="AQ155">
        <v>144.63999999999999</v>
      </c>
      <c r="AR155">
        <v>1.44</v>
      </c>
      <c r="AS155">
        <v>0</v>
      </c>
      <c r="AT155">
        <v>90</v>
      </c>
      <c r="AU155">
        <v>41.65</v>
      </c>
      <c r="AV155">
        <v>1</v>
      </c>
      <c r="AW155">
        <v>1</v>
      </c>
      <c r="AZ155">
        <v>1</v>
      </c>
      <c r="BA155">
        <v>24.22</v>
      </c>
      <c r="BB155">
        <v>1</v>
      </c>
      <c r="BC155">
        <v>1</v>
      </c>
      <c r="BD155" t="s">
        <v>6</v>
      </c>
      <c r="BE155" t="s">
        <v>6</v>
      </c>
      <c r="BF155" t="s">
        <v>6</v>
      </c>
      <c r="BG155" t="s">
        <v>6</v>
      </c>
      <c r="BH155">
        <v>0</v>
      </c>
      <c r="BI155">
        <v>1</v>
      </c>
      <c r="BJ155" t="s">
        <v>352</v>
      </c>
      <c r="BM155">
        <v>15001</v>
      </c>
      <c r="BN155">
        <v>0</v>
      </c>
      <c r="BO155" t="s">
        <v>1327</v>
      </c>
      <c r="BP155">
        <v>1</v>
      </c>
      <c r="BQ155">
        <v>2</v>
      </c>
      <c r="BR155">
        <v>0</v>
      </c>
      <c r="BS155">
        <v>24.22</v>
      </c>
      <c r="BT155">
        <v>1</v>
      </c>
      <c r="BU155">
        <v>1</v>
      </c>
      <c r="BV155">
        <v>1</v>
      </c>
      <c r="BW155">
        <v>1</v>
      </c>
      <c r="BX155">
        <v>1</v>
      </c>
      <c r="BY155" t="s">
        <v>6</v>
      </c>
      <c r="BZ155">
        <v>100</v>
      </c>
      <c r="CA155">
        <v>49</v>
      </c>
      <c r="CB155" t="s">
        <v>6</v>
      </c>
      <c r="CE155">
        <v>0</v>
      </c>
      <c r="CF155">
        <v>0</v>
      </c>
      <c r="CG155">
        <v>0</v>
      </c>
      <c r="CM155">
        <v>0</v>
      </c>
      <c r="CN155" t="s">
        <v>6</v>
      </c>
      <c r="CO155">
        <v>0</v>
      </c>
      <c r="CP155">
        <f>(P155+Q155+S155)</f>
        <v>2074.09</v>
      </c>
      <c r="CQ155">
        <f>AC155*BC155</f>
        <v>2622.09</v>
      </c>
      <c r="CR155">
        <f>AD155*BB155</f>
        <v>77.366249999999994</v>
      </c>
      <c r="CS155">
        <f t="shared" ref="CS155:CX157" si="175">AE155</f>
        <v>26.306249999999999</v>
      </c>
      <c r="CT155">
        <f t="shared" si="175"/>
        <v>1694.796975</v>
      </c>
      <c r="CU155">
        <f t="shared" si="175"/>
        <v>0</v>
      </c>
      <c r="CV155">
        <f t="shared" si="175"/>
        <v>191.28639999999999</v>
      </c>
      <c r="CW155">
        <f t="shared" si="175"/>
        <v>2.0699999999999998</v>
      </c>
      <c r="CX155">
        <f t="shared" si="175"/>
        <v>0</v>
      </c>
      <c r="CY155">
        <f>(((S155+R155)*AT155)/100)</f>
        <v>731.12399999999991</v>
      </c>
      <c r="CZ155">
        <f>(((S155+R155)*AU155)/100)</f>
        <v>338.34793999999999</v>
      </c>
      <c r="DC155" t="s">
        <v>6</v>
      </c>
      <c r="DD155" t="s">
        <v>6</v>
      </c>
      <c r="DE155" t="s">
        <v>126</v>
      </c>
      <c r="DF155" t="s">
        <v>126</v>
      </c>
      <c r="DG155" t="s">
        <v>127</v>
      </c>
      <c r="DH155" t="s">
        <v>6</v>
      </c>
      <c r="DI155" t="s">
        <v>127</v>
      </c>
      <c r="DJ155" t="s">
        <v>126</v>
      </c>
      <c r="DK155" t="s">
        <v>6</v>
      </c>
      <c r="DL155" t="s">
        <v>6</v>
      </c>
      <c r="DM155" t="s">
        <v>6</v>
      </c>
      <c r="DN155">
        <v>0</v>
      </c>
      <c r="DO155">
        <v>0</v>
      </c>
      <c r="DP155">
        <v>1</v>
      </c>
      <c r="DQ155">
        <v>1</v>
      </c>
      <c r="DU155">
        <v>1013</v>
      </c>
      <c r="DV155" t="s">
        <v>172</v>
      </c>
      <c r="DW155" t="s">
        <v>172</v>
      </c>
      <c r="DX155">
        <v>1</v>
      </c>
      <c r="DZ155" t="s">
        <v>6</v>
      </c>
      <c r="EA155" t="s">
        <v>6</v>
      </c>
      <c r="EB155" t="s">
        <v>6</v>
      </c>
      <c r="EC155" t="s">
        <v>6</v>
      </c>
      <c r="EE155">
        <v>30852936</v>
      </c>
      <c r="EF155">
        <v>2</v>
      </c>
      <c r="EG155" t="s">
        <v>26</v>
      </c>
      <c r="EH155">
        <v>0</v>
      </c>
      <c r="EI155" t="s">
        <v>6</v>
      </c>
      <c r="EJ155">
        <v>1</v>
      </c>
      <c r="EK155">
        <v>15001</v>
      </c>
      <c r="EL155" t="s">
        <v>128</v>
      </c>
      <c r="EM155" t="s">
        <v>129</v>
      </c>
      <c r="EO155" t="s">
        <v>6</v>
      </c>
      <c r="EQ155">
        <v>131072</v>
      </c>
      <c r="ER155">
        <v>3957.42</v>
      </c>
      <c r="ES155">
        <v>2622.09</v>
      </c>
      <c r="ET155">
        <v>53.82</v>
      </c>
      <c r="EU155">
        <v>18.3</v>
      </c>
      <c r="EV155">
        <v>1281.51</v>
      </c>
      <c r="EW155">
        <v>144.63999999999999</v>
      </c>
      <c r="EX155">
        <v>1.44</v>
      </c>
      <c r="EY155">
        <v>0</v>
      </c>
      <c r="FQ155">
        <v>0</v>
      </c>
      <c r="FR155">
        <f>ROUND(IF(AND(BH155=3,BI155=3),P155,0),2)</f>
        <v>0</v>
      </c>
      <c r="FS155">
        <v>0</v>
      </c>
      <c r="FT155" t="s">
        <v>29</v>
      </c>
      <c r="FU155" t="s">
        <v>30</v>
      </c>
      <c r="FX155">
        <v>90</v>
      </c>
      <c r="FY155">
        <v>41.65</v>
      </c>
      <c r="GA155" t="s">
        <v>6</v>
      </c>
      <c r="GD155">
        <v>1</v>
      </c>
      <c r="GF155">
        <v>-1260962249</v>
      </c>
      <c r="GG155">
        <v>2</v>
      </c>
      <c r="GH155">
        <v>1</v>
      </c>
      <c r="GI155">
        <v>4</v>
      </c>
      <c r="GJ155">
        <v>0</v>
      </c>
      <c r="GK155">
        <v>0</v>
      </c>
      <c r="GL155">
        <f>ROUND(IF(AND(BH155=3,BI155=3,FS155&lt;&gt;0),P155,0),2)</f>
        <v>0</v>
      </c>
      <c r="GM155">
        <f>ROUND(O155+X155+Y155,2)+GX155</f>
        <v>3143.56</v>
      </c>
      <c r="GN155">
        <f>IF(OR(BI155=0,BI155=1),ROUND(O155+X155+Y155,2),0)</f>
        <v>3143.56</v>
      </c>
      <c r="GO155">
        <f>IF(BI155=2,ROUND(O155+X155+Y155,2),0)</f>
        <v>0</v>
      </c>
      <c r="GP155">
        <f>IF(BI155=4,ROUND(O155+X155+Y155,2)+GX155,0)</f>
        <v>0</v>
      </c>
      <c r="GR155">
        <v>0</v>
      </c>
      <c r="GS155">
        <v>0</v>
      </c>
      <c r="GT155">
        <v>0</v>
      </c>
      <c r="GU155" t="s">
        <v>6</v>
      </c>
      <c r="GV155">
        <f>ROUND((GT155),6)</f>
        <v>0</v>
      </c>
      <c r="GW155">
        <v>1</v>
      </c>
      <c r="GX155">
        <f>ROUND(HC155*I155,2)</f>
        <v>0</v>
      </c>
      <c r="HA155">
        <v>0</v>
      </c>
      <c r="HB155">
        <v>0</v>
      </c>
      <c r="HC155">
        <f>GV155*GW155</f>
        <v>0</v>
      </c>
      <c r="HE155" t="s">
        <v>6</v>
      </c>
      <c r="HF155" t="s">
        <v>6</v>
      </c>
      <c r="HI155">
        <f>ROUND(R155*BS155,0)</f>
        <v>301</v>
      </c>
      <c r="HJ155">
        <f>ROUND(S155*BA155,0)</f>
        <v>19375</v>
      </c>
      <c r="HK155">
        <f>ROUND((((HJ155+HI155)*AT155)/100),0)</f>
        <v>17708</v>
      </c>
      <c r="HL155">
        <f>ROUND((((HJ155+HI155)*AU155)/100),0)</f>
        <v>8195</v>
      </c>
      <c r="HM155" t="s">
        <v>6</v>
      </c>
      <c r="HN155" t="s">
        <v>6</v>
      </c>
      <c r="HO155" t="s">
        <v>6</v>
      </c>
      <c r="HP155" t="s">
        <v>6</v>
      </c>
      <c r="HQ155" t="s">
        <v>6</v>
      </c>
      <c r="IK155">
        <v>0</v>
      </c>
    </row>
    <row r="156" spans="1:245">
      <c r="A156">
        <v>17</v>
      </c>
      <c r="B156">
        <v>1</v>
      </c>
      <c r="C156">
        <f>ROW(SmtRes!A240)</f>
        <v>240</v>
      </c>
      <c r="D156">
        <f>ROW(EtalonRes!A264)</f>
        <v>264</v>
      </c>
      <c r="E156" t="s">
        <v>363</v>
      </c>
      <c r="F156" t="s">
        <v>354</v>
      </c>
      <c r="G156" t="s">
        <v>355</v>
      </c>
      <c r="H156" t="s">
        <v>124</v>
      </c>
      <c r="I156">
        <f>ROUND(11.8*4/100,7)</f>
        <v>0.47199999999999998</v>
      </c>
      <c r="J156">
        <v>0</v>
      </c>
      <c r="K156">
        <f>ROUND(11.8*4/100,7)</f>
        <v>0.47199999999999998</v>
      </c>
      <c r="O156">
        <f>ROUND(CP156,2)</f>
        <v>297.39999999999998</v>
      </c>
      <c r="P156">
        <f>ROUND(CQ156*I156,2)</f>
        <v>200.16</v>
      </c>
      <c r="Q156">
        <f>ROUND(CR156*I156,2)</f>
        <v>2.69</v>
      </c>
      <c r="R156">
        <f>ROUND(CS156*I156,2)</f>
        <v>0.09</v>
      </c>
      <c r="S156">
        <f>ROUND(CT156*I156,2)</f>
        <v>94.55</v>
      </c>
      <c r="T156">
        <f>ROUND(CU156*I156,2)</f>
        <v>0</v>
      </c>
      <c r="U156">
        <f>CV156*I156</f>
        <v>10.299629999999999</v>
      </c>
      <c r="V156">
        <f>CW156*I156</f>
        <v>6.7850000000000002E-3</v>
      </c>
      <c r="W156">
        <f>ROUND(CX156*I156,2)</f>
        <v>0</v>
      </c>
      <c r="X156">
        <f t="shared" si="174"/>
        <v>85.18</v>
      </c>
      <c r="Y156">
        <f t="shared" si="174"/>
        <v>39.42</v>
      </c>
      <c r="AA156">
        <v>31028412</v>
      </c>
      <c r="AB156">
        <f>ROUND((AC156+AD156+AF156),6)</f>
        <v>630.09595000000002</v>
      </c>
      <c r="AC156">
        <f>ROUND((ES156),6)</f>
        <v>424.07</v>
      </c>
      <c r="AD156">
        <f>ROUND(((((ET156*ROUND((1.25*1.15),7)))-((EU156*ROUND((1.25*1.15),7))))+AE156),6)</f>
        <v>5.7068750000000001</v>
      </c>
      <c r="AE156">
        <f>ROUND(((EU156*ROUND((1.25*1.15),7))),6)</f>
        <v>0.18687500000000001</v>
      </c>
      <c r="AF156">
        <f>ROUND(((EV156*ROUND((1.15*1.15),7))),6)</f>
        <v>200.319075</v>
      </c>
      <c r="AG156">
        <f>ROUND((AP156),6)</f>
        <v>0</v>
      </c>
      <c r="AH156">
        <f>((EW156*ROUND((1.15*1.15),7)))</f>
        <v>21.821249999999999</v>
      </c>
      <c r="AI156">
        <f>((EX156*ROUND((1.25*1.15),7)))</f>
        <v>1.4375000000000001E-2</v>
      </c>
      <c r="AJ156">
        <f>(AS156)</f>
        <v>0</v>
      </c>
      <c r="AK156">
        <v>579.51</v>
      </c>
      <c r="AL156">
        <v>424.07</v>
      </c>
      <c r="AM156">
        <v>3.97</v>
      </c>
      <c r="AN156">
        <v>0.13</v>
      </c>
      <c r="AO156">
        <v>151.47</v>
      </c>
      <c r="AP156">
        <v>0</v>
      </c>
      <c r="AQ156">
        <v>16.5</v>
      </c>
      <c r="AR156">
        <v>0.01</v>
      </c>
      <c r="AS156">
        <v>0</v>
      </c>
      <c r="AT156">
        <v>90</v>
      </c>
      <c r="AU156">
        <v>41.65</v>
      </c>
      <c r="AV156">
        <v>1</v>
      </c>
      <c r="AW156">
        <v>1</v>
      </c>
      <c r="AZ156">
        <v>1</v>
      </c>
      <c r="BA156">
        <v>24.22</v>
      </c>
      <c r="BB156">
        <v>1</v>
      </c>
      <c r="BC156">
        <v>1</v>
      </c>
      <c r="BD156" t="s">
        <v>6</v>
      </c>
      <c r="BE156" t="s">
        <v>6</v>
      </c>
      <c r="BF156" t="s">
        <v>6</v>
      </c>
      <c r="BG156" t="s">
        <v>6</v>
      </c>
      <c r="BH156">
        <v>0</v>
      </c>
      <c r="BI156">
        <v>1</v>
      </c>
      <c r="BJ156" t="s">
        <v>356</v>
      </c>
      <c r="BM156">
        <v>15001</v>
      </c>
      <c r="BN156">
        <v>0</v>
      </c>
      <c r="BO156" t="s">
        <v>1327</v>
      </c>
      <c r="BP156">
        <v>1</v>
      </c>
      <c r="BQ156">
        <v>2</v>
      </c>
      <c r="BR156">
        <v>0</v>
      </c>
      <c r="BS156">
        <v>24.22</v>
      </c>
      <c r="BT156">
        <v>1</v>
      </c>
      <c r="BU156">
        <v>1</v>
      </c>
      <c r="BV156">
        <v>1</v>
      </c>
      <c r="BW156">
        <v>1</v>
      </c>
      <c r="BX156">
        <v>1</v>
      </c>
      <c r="BY156" t="s">
        <v>6</v>
      </c>
      <c r="BZ156">
        <v>100</v>
      </c>
      <c r="CA156">
        <v>49</v>
      </c>
      <c r="CB156" t="s">
        <v>6</v>
      </c>
      <c r="CE156">
        <v>0</v>
      </c>
      <c r="CF156">
        <v>0</v>
      </c>
      <c r="CG156">
        <v>0</v>
      </c>
      <c r="CM156">
        <v>0</v>
      </c>
      <c r="CN156" t="s">
        <v>6</v>
      </c>
      <c r="CO156">
        <v>0</v>
      </c>
      <c r="CP156">
        <f>(P156+Q156+S156)</f>
        <v>297.39999999999998</v>
      </c>
      <c r="CQ156">
        <f>AC156*BC156</f>
        <v>424.07</v>
      </c>
      <c r="CR156">
        <f>AD156*BB156</f>
        <v>5.7068750000000001</v>
      </c>
      <c r="CS156">
        <f t="shared" si="175"/>
        <v>0.18687500000000001</v>
      </c>
      <c r="CT156">
        <f t="shared" si="175"/>
        <v>200.319075</v>
      </c>
      <c r="CU156">
        <f t="shared" si="175"/>
        <v>0</v>
      </c>
      <c r="CV156">
        <f t="shared" si="175"/>
        <v>21.821249999999999</v>
      </c>
      <c r="CW156">
        <f t="shared" si="175"/>
        <v>1.4375000000000001E-2</v>
      </c>
      <c r="CX156">
        <f t="shared" si="175"/>
        <v>0</v>
      </c>
      <c r="CY156">
        <f>(((S156+R156)*AT156)/100)</f>
        <v>85.176000000000002</v>
      </c>
      <c r="CZ156">
        <f>(((S156+R156)*AU156)/100)</f>
        <v>39.417560000000002</v>
      </c>
      <c r="DC156" t="s">
        <v>6</v>
      </c>
      <c r="DD156" t="s">
        <v>6</v>
      </c>
      <c r="DE156" t="s">
        <v>126</v>
      </c>
      <c r="DF156" t="s">
        <v>126</v>
      </c>
      <c r="DG156" t="s">
        <v>127</v>
      </c>
      <c r="DH156" t="s">
        <v>6</v>
      </c>
      <c r="DI156" t="s">
        <v>127</v>
      </c>
      <c r="DJ156" t="s">
        <v>126</v>
      </c>
      <c r="DK156" t="s">
        <v>6</v>
      </c>
      <c r="DL156" t="s">
        <v>6</v>
      </c>
      <c r="DM156" t="s">
        <v>6</v>
      </c>
      <c r="DN156">
        <v>0</v>
      </c>
      <c r="DO156">
        <v>0</v>
      </c>
      <c r="DP156">
        <v>1</v>
      </c>
      <c r="DQ156">
        <v>1</v>
      </c>
      <c r="DU156">
        <v>1005</v>
      </c>
      <c r="DV156" t="s">
        <v>124</v>
      </c>
      <c r="DW156" t="s">
        <v>124</v>
      </c>
      <c r="DX156">
        <v>100</v>
      </c>
      <c r="DZ156" t="s">
        <v>6</v>
      </c>
      <c r="EA156" t="s">
        <v>6</v>
      </c>
      <c r="EB156" t="s">
        <v>6</v>
      </c>
      <c r="EC156" t="s">
        <v>6</v>
      </c>
      <c r="EE156">
        <v>30852936</v>
      </c>
      <c r="EF156">
        <v>2</v>
      </c>
      <c r="EG156" t="s">
        <v>26</v>
      </c>
      <c r="EH156">
        <v>0</v>
      </c>
      <c r="EI156" t="s">
        <v>6</v>
      </c>
      <c r="EJ156">
        <v>1</v>
      </c>
      <c r="EK156">
        <v>15001</v>
      </c>
      <c r="EL156" t="s">
        <v>128</v>
      </c>
      <c r="EM156" t="s">
        <v>129</v>
      </c>
      <c r="EO156" t="s">
        <v>6</v>
      </c>
      <c r="EQ156">
        <v>131072</v>
      </c>
      <c r="ER156">
        <v>579.51</v>
      </c>
      <c r="ES156">
        <v>424.07</v>
      </c>
      <c r="ET156">
        <v>3.97</v>
      </c>
      <c r="EU156">
        <v>0.13</v>
      </c>
      <c r="EV156">
        <v>151.47</v>
      </c>
      <c r="EW156">
        <v>16.5</v>
      </c>
      <c r="EX156">
        <v>0.01</v>
      </c>
      <c r="EY156">
        <v>0</v>
      </c>
      <c r="FQ156">
        <v>0</v>
      </c>
      <c r="FR156">
        <f>ROUND(IF(AND(BH156=3,BI156=3),P156,0),2)</f>
        <v>0</v>
      </c>
      <c r="FS156">
        <v>0</v>
      </c>
      <c r="FT156" t="s">
        <v>29</v>
      </c>
      <c r="FU156" t="s">
        <v>30</v>
      </c>
      <c r="FX156">
        <v>90</v>
      </c>
      <c r="FY156">
        <v>41.65</v>
      </c>
      <c r="GA156" t="s">
        <v>6</v>
      </c>
      <c r="GD156">
        <v>1</v>
      </c>
      <c r="GF156">
        <v>568612840</v>
      </c>
      <c r="GG156">
        <v>2</v>
      </c>
      <c r="GH156">
        <v>1</v>
      </c>
      <c r="GI156">
        <v>4</v>
      </c>
      <c r="GJ156">
        <v>0</v>
      </c>
      <c r="GK156">
        <v>0</v>
      </c>
      <c r="GL156">
        <f>ROUND(IF(AND(BH156=3,BI156=3,FS156&lt;&gt;0),P156,0),2)</f>
        <v>0</v>
      </c>
      <c r="GM156">
        <f>ROUND(O156+X156+Y156,2)+GX156</f>
        <v>422</v>
      </c>
      <c r="GN156">
        <f>IF(OR(BI156=0,BI156=1),ROUND(O156+X156+Y156,2),0)</f>
        <v>422</v>
      </c>
      <c r="GO156">
        <f>IF(BI156=2,ROUND(O156+X156+Y156,2),0)</f>
        <v>0</v>
      </c>
      <c r="GP156">
        <f>IF(BI156=4,ROUND(O156+X156+Y156,2)+GX156,0)</f>
        <v>0</v>
      </c>
      <c r="GR156">
        <v>0</v>
      </c>
      <c r="GS156">
        <v>3</v>
      </c>
      <c r="GT156">
        <v>0</v>
      </c>
      <c r="GU156" t="s">
        <v>6</v>
      </c>
      <c r="GV156">
        <f>ROUND((GT156),6)</f>
        <v>0</v>
      </c>
      <c r="GW156">
        <v>1</v>
      </c>
      <c r="GX156">
        <f>ROUND(HC156*I156,2)</f>
        <v>0</v>
      </c>
      <c r="HA156">
        <v>0</v>
      </c>
      <c r="HB156">
        <v>0</v>
      </c>
      <c r="HC156">
        <f>GV156*GW156</f>
        <v>0</v>
      </c>
      <c r="HE156" t="s">
        <v>6</v>
      </c>
      <c r="HF156" t="s">
        <v>6</v>
      </c>
      <c r="HI156">
        <f>ROUND(R156*BS156,0)</f>
        <v>2</v>
      </c>
      <c r="HJ156">
        <f>ROUND(S156*BA156,0)</f>
        <v>2290</v>
      </c>
      <c r="HK156">
        <f>ROUND((((HJ156+HI156)*AT156)/100),0)</f>
        <v>2063</v>
      </c>
      <c r="HL156">
        <f>ROUND((((HJ156+HI156)*AU156)/100),0)</f>
        <v>955</v>
      </c>
      <c r="HM156" t="s">
        <v>6</v>
      </c>
      <c r="HN156" t="s">
        <v>6</v>
      </c>
      <c r="HO156" t="s">
        <v>6</v>
      </c>
      <c r="HP156" t="s">
        <v>6</v>
      </c>
      <c r="HQ156" t="s">
        <v>6</v>
      </c>
      <c r="IK156">
        <v>0</v>
      </c>
    </row>
    <row r="157" spans="1:245">
      <c r="A157">
        <v>17</v>
      </c>
      <c r="B157">
        <v>1</v>
      </c>
      <c r="C157">
        <f>ROW(SmtRes!A248)</f>
        <v>248</v>
      </c>
      <c r="D157">
        <f>ROW(EtalonRes!A272)</f>
        <v>272</v>
      </c>
      <c r="E157" t="s">
        <v>364</v>
      </c>
      <c r="F157" t="s">
        <v>358</v>
      </c>
      <c r="G157" t="s">
        <v>359</v>
      </c>
      <c r="H157" t="s">
        <v>124</v>
      </c>
      <c r="I157">
        <f>ROUND(11.8*4/100,7)</f>
        <v>0.47199999999999998</v>
      </c>
      <c r="J157">
        <v>0</v>
      </c>
      <c r="K157">
        <f>ROUND(11.8*4/100,7)</f>
        <v>0.47199999999999998</v>
      </c>
      <c r="O157">
        <f>ROUND(CP157,2)</f>
        <v>1254.73</v>
      </c>
      <c r="P157">
        <f>ROUND(CQ157*I157,2)</f>
        <v>721.83</v>
      </c>
      <c r="Q157">
        <f>ROUND(CR157*I157,2)</f>
        <v>14.3</v>
      </c>
      <c r="R157">
        <f>ROUND(CS157*I157,2)</f>
        <v>0.26</v>
      </c>
      <c r="S157">
        <f>ROUND(CT157*I157,2)</f>
        <v>518.6</v>
      </c>
      <c r="T157">
        <f>ROUND(CU157*I157,2)</f>
        <v>0</v>
      </c>
      <c r="U157">
        <f>CV157*I157</f>
        <v>55.823994600000006</v>
      </c>
      <c r="V157">
        <f>CW157*I157</f>
        <v>2.0354999999999998E-2</v>
      </c>
      <c r="W157">
        <f>ROUND(CX157*I157,2)</f>
        <v>0</v>
      </c>
      <c r="X157">
        <f t="shared" si="174"/>
        <v>466.97</v>
      </c>
      <c r="Y157">
        <f t="shared" si="174"/>
        <v>216.11</v>
      </c>
      <c r="AA157">
        <v>31028412</v>
      </c>
      <c r="AB157">
        <f>ROUND((AC157+AD157+AF157),6)</f>
        <v>2658.3355000000001</v>
      </c>
      <c r="AC157">
        <f>ROUND((ES157),6)</f>
        <v>1529.3</v>
      </c>
      <c r="AD157">
        <f>ROUND(((((ET157*ROUND((1.25*1.15),7)))-((EU157*ROUND((1.25*1.15),7))))+AE157),6)</f>
        <v>30.302499999999998</v>
      </c>
      <c r="AE157">
        <f>ROUND(((EU157*ROUND((1.25*1.15),7))),6)</f>
        <v>0.56062500000000004</v>
      </c>
      <c r="AF157">
        <f>ROUND(((EV157*ROUND((1.15*1.15),7))),6)</f>
        <v>1098.7329999999999</v>
      </c>
      <c r="AG157">
        <f>ROUND((AP157),6)</f>
        <v>0</v>
      </c>
      <c r="AH157">
        <f>((EW157*ROUND((1.15*1.15),7)))</f>
        <v>118.27117500000001</v>
      </c>
      <c r="AI157">
        <f>((EX157*ROUND((1.25*1.15),7)))</f>
        <v>4.3124999999999997E-2</v>
      </c>
      <c r="AJ157">
        <f>(AS157)</f>
        <v>0</v>
      </c>
      <c r="AK157">
        <v>2381.1799999999998</v>
      </c>
      <c r="AL157">
        <v>1529.3</v>
      </c>
      <c r="AM157">
        <v>21.08</v>
      </c>
      <c r="AN157">
        <v>0.39</v>
      </c>
      <c r="AO157">
        <v>830.8</v>
      </c>
      <c r="AP157">
        <v>0</v>
      </c>
      <c r="AQ157">
        <v>89.43</v>
      </c>
      <c r="AR157">
        <v>0.03</v>
      </c>
      <c r="AS157">
        <v>0</v>
      </c>
      <c r="AT157">
        <v>90</v>
      </c>
      <c r="AU157">
        <v>41.65</v>
      </c>
      <c r="AV157">
        <v>1</v>
      </c>
      <c r="AW157">
        <v>1</v>
      </c>
      <c r="AZ157">
        <v>1</v>
      </c>
      <c r="BA157">
        <v>24.22</v>
      </c>
      <c r="BB157">
        <v>1</v>
      </c>
      <c r="BC157">
        <v>1</v>
      </c>
      <c r="BD157" t="s">
        <v>6</v>
      </c>
      <c r="BE157" t="s">
        <v>6</v>
      </c>
      <c r="BF157" t="s">
        <v>6</v>
      </c>
      <c r="BG157" t="s">
        <v>6</v>
      </c>
      <c r="BH157">
        <v>0</v>
      </c>
      <c r="BI157">
        <v>1</v>
      </c>
      <c r="BJ157" t="s">
        <v>360</v>
      </c>
      <c r="BM157">
        <v>15001</v>
      </c>
      <c r="BN157">
        <v>0</v>
      </c>
      <c r="BO157" t="s">
        <v>1327</v>
      </c>
      <c r="BP157">
        <v>1</v>
      </c>
      <c r="BQ157">
        <v>2</v>
      </c>
      <c r="BR157">
        <v>0</v>
      </c>
      <c r="BS157">
        <v>24.22</v>
      </c>
      <c r="BT157">
        <v>1</v>
      </c>
      <c r="BU157">
        <v>1</v>
      </c>
      <c r="BV157">
        <v>1</v>
      </c>
      <c r="BW157">
        <v>1</v>
      </c>
      <c r="BX157">
        <v>1</v>
      </c>
      <c r="BY157" t="s">
        <v>6</v>
      </c>
      <c r="BZ157">
        <v>100</v>
      </c>
      <c r="CA157">
        <v>49</v>
      </c>
      <c r="CB157" t="s">
        <v>6</v>
      </c>
      <c r="CE157">
        <v>0</v>
      </c>
      <c r="CF157">
        <v>0</v>
      </c>
      <c r="CG157">
        <v>0</v>
      </c>
      <c r="CM157">
        <v>0</v>
      </c>
      <c r="CN157" t="s">
        <v>6</v>
      </c>
      <c r="CO157">
        <v>0</v>
      </c>
      <c r="CP157">
        <f>(P157+Q157+S157)</f>
        <v>1254.73</v>
      </c>
      <c r="CQ157">
        <f>AC157*BC157</f>
        <v>1529.3</v>
      </c>
      <c r="CR157">
        <f>AD157*BB157</f>
        <v>30.302499999999998</v>
      </c>
      <c r="CS157">
        <f t="shared" si="175"/>
        <v>0.56062500000000004</v>
      </c>
      <c r="CT157">
        <f t="shared" si="175"/>
        <v>1098.7329999999999</v>
      </c>
      <c r="CU157">
        <f t="shared" si="175"/>
        <v>0</v>
      </c>
      <c r="CV157">
        <f t="shared" si="175"/>
        <v>118.27117500000001</v>
      </c>
      <c r="CW157">
        <f t="shared" si="175"/>
        <v>4.3124999999999997E-2</v>
      </c>
      <c r="CX157">
        <f t="shared" si="175"/>
        <v>0</v>
      </c>
      <c r="CY157">
        <f>(((S157+R157)*AT157)/100)</f>
        <v>466.97399999999999</v>
      </c>
      <c r="CZ157">
        <f>(((S157+R157)*AU157)/100)</f>
        <v>216.10518999999999</v>
      </c>
      <c r="DC157" t="s">
        <v>6</v>
      </c>
      <c r="DD157" t="s">
        <v>6</v>
      </c>
      <c r="DE157" t="s">
        <v>126</v>
      </c>
      <c r="DF157" t="s">
        <v>126</v>
      </c>
      <c r="DG157" t="s">
        <v>127</v>
      </c>
      <c r="DH157" t="s">
        <v>6</v>
      </c>
      <c r="DI157" t="s">
        <v>127</v>
      </c>
      <c r="DJ157" t="s">
        <v>126</v>
      </c>
      <c r="DK157" t="s">
        <v>6</v>
      </c>
      <c r="DL157" t="s">
        <v>6</v>
      </c>
      <c r="DM157" t="s">
        <v>6</v>
      </c>
      <c r="DN157">
        <v>0</v>
      </c>
      <c r="DO157">
        <v>0</v>
      </c>
      <c r="DP157">
        <v>1</v>
      </c>
      <c r="DQ157">
        <v>1</v>
      </c>
      <c r="DU157">
        <v>1005</v>
      </c>
      <c r="DV157" t="s">
        <v>124</v>
      </c>
      <c r="DW157" t="s">
        <v>124</v>
      </c>
      <c r="DX157">
        <v>100</v>
      </c>
      <c r="DZ157" t="s">
        <v>6</v>
      </c>
      <c r="EA157" t="s">
        <v>6</v>
      </c>
      <c r="EB157" t="s">
        <v>6</v>
      </c>
      <c r="EC157" t="s">
        <v>6</v>
      </c>
      <c r="EE157">
        <v>30852936</v>
      </c>
      <c r="EF157">
        <v>2</v>
      </c>
      <c r="EG157" t="s">
        <v>26</v>
      </c>
      <c r="EH157">
        <v>0</v>
      </c>
      <c r="EI157" t="s">
        <v>6</v>
      </c>
      <c r="EJ157">
        <v>1</v>
      </c>
      <c r="EK157">
        <v>15001</v>
      </c>
      <c r="EL157" t="s">
        <v>128</v>
      </c>
      <c r="EM157" t="s">
        <v>129</v>
      </c>
      <c r="EO157" t="s">
        <v>6</v>
      </c>
      <c r="EQ157">
        <v>131072</v>
      </c>
      <c r="ER157">
        <v>2381.1799999999998</v>
      </c>
      <c r="ES157">
        <v>1529.3</v>
      </c>
      <c r="ET157">
        <v>21.08</v>
      </c>
      <c r="EU157">
        <v>0.39</v>
      </c>
      <c r="EV157">
        <v>830.8</v>
      </c>
      <c r="EW157">
        <v>89.43</v>
      </c>
      <c r="EX157">
        <v>0.03</v>
      </c>
      <c r="EY157">
        <v>0</v>
      </c>
      <c r="FQ157">
        <v>0</v>
      </c>
      <c r="FR157">
        <f>ROUND(IF(AND(BH157=3,BI157=3),P157,0),2)</f>
        <v>0</v>
      </c>
      <c r="FS157">
        <v>0</v>
      </c>
      <c r="FT157" t="s">
        <v>29</v>
      </c>
      <c r="FU157" t="s">
        <v>30</v>
      </c>
      <c r="FX157">
        <v>90</v>
      </c>
      <c r="FY157">
        <v>41.65</v>
      </c>
      <c r="GA157" t="s">
        <v>6</v>
      </c>
      <c r="GD157">
        <v>1</v>
      </c>
      <c r="GF157">
        <v>-636490976</v>
      </c>
      <c r="GG157">
        <v>2</v>
      </c>
      <c r="GH157">
        <v>1</v>
      </c>
      <c r="GI157">
        <v>4</v>
      </c>
      <c r="GJ157">
        <v>0</v>
      </c>
      <c r="GK157">
        <v>0</v>
      </c>
      <c r="GL157">
        <f>ROUND(IF(AND(BH157=3,BI157=3,FS157&lt;&gt;0),P157,0),2)</f>
        <v>0</v>
      </c>
      <c r="GM157">
        <f>ROUND(O157+X157+Y157,2)+GX157</f>
        <v>1937.81</v>
      </c>
      <c r="GN157">
        <f>IF(OR(BI157=0,BI157=1),ROUND(O157+X157+Y157,2),0)</f>
        <v>1937.81</v>
      </c>
      <c r="GO157">
        <f>IF(BI157=2,ROUND(O157+X157+Y157,2),0)</f>
        <v>0</v>
      </c>
      <c r="GP157">
        <f>IF(BI157=4,ROUND(O157+X157+Y157,2)+GX157,0)</f>
        <v>0</v>
      </c>
      <c r="GR157">
        <v>0</v>
      </c>
      <c r="GS157">
        <v>3</v>
      </c>
      <c r="GT157">
        <v>0</v>
      </c>
      <c r="GU157" t="s">
        <v>6</v>
      </c>
      <c r="GV157">
        <f>ROUND((GT157),6)</f>
        <v>0</v>
      </c>
      <c r="GW157">
        <v>1</v>
      </c>
      <c r="GX157">
        <f>ROUND(HC157*I157,2)</f>
        <v>0</v>
      </c>
      <c r="HA157">
        <v>0</v>
      </c>
      <c r="HB157">
        <v>0</v>
      </c>
      <c r="HC157">
        <f>GV157*GW157</f>
        <v>0</v>
      </c>
      <c r="HE157" t="s">
        <v>6</v>
      </c>
      <c r="HF157" t="s">
        <v>6</v>
      </c>
      <c r="HI157">
        <f>ROUND(R157*BS157,0)</f>
        <v>6</v>
      </c>
      <c r="HJ157">
        <f>ROUND(S157*BA157,0)</f>
        <v>12560</v>
      </c>
      <c r="HK157">
        <f>ROUND((((HJ157+HI157)*AT157)/100),0)</f>
        <v>11309</v>
      </c>
      <c r="HL157">
        <f>ROUND((((HJ157+HI157)*AU157)/100),0)</f>
        <v>5234</v>
      </c>
      <c r="HM157" t="s">
        <v>6</v>
      </c>
      <c r="HN157" t="s">
        <v>6</v>
      </c>
      <c r="HO157" t="s">
        <v>6</v>
      </c>
      <c r="HP157" t="s">
        <v>6</v>
      </c>
      <c r="HQ157" t="s">
        <v>6</v>
      </c>
      <c r="IK157">
        <v>0</v>
      </c>
    </row>
    <row r="158" spans="1:245">
      <c r="A158">
        <v>19</v>
      </c>
      <c r="B158">
        <v>1</v>
      </c>
      <c r="F158" t="s">
        <v>6</v>
      </c>
      <c r="G158" t="s">
        <v>365</v>
      </c>
      <c r="H158" t="s">
        <v>6</v>
      </c>
      <c r="AA158">
        <v>1</v>
      </c>
      <c r="IK158">
        <v>0</v>
      </c>
    </row>
    <row r="159" spans="1:245">
      <c r="A159">
        <v>17</v>
      </c>
      <c r="B159">
        <v>1</v>
      </c>
      <c r="C159">
        <f>ROW(SmtRes!A258)</f>
        <v>258</v>
      </c>
      <c r="D159">
        <f>ROW(EtalonRes!A282)</f>
        <v>282</v>
      </c>
      <c r="E159" t="s">
        <v>366</v>
      </c>
      <c r="F159" t="s">
        <v>350</v>
      </c>
      <c r="G159" t="s">
        <v>351</v>
      </c>
      <c r="H159" t="s">
        <v>172</v>
      </c>
      <c r="I159">
        <f>ROUND(11.85*4/100,7)</f>
        <v>0.47399999999999998</v>
      </c>
      <c r="J159">
        <v>0</v>
      </c>
      <c r="K159">
        <f>ROUND(11.85*4/100,7)</f>
        <v>0.47399999999999998</v>
      </c>
      <c r="O159">
        <f>ROUND(CP159,2)</f>
        <v>2082.87</v>
      </c>
      <c r="P159">
        <f>ROUND(CQ159*I159,2)</f>
        <v>1242.8699999999999</v>
      </c>
      <c r="Q159">
        <f>ROUND(CR159*I159,2)</f>
        <v>36.67</v>
      </c>
      <c r="R159">
        <f>ROUND(CS159*I159,2)</f>
        <v>12.47</v>
      </c>
      <c r="S159">
        <f>ROUND(CT159*I159,2)</f>
        <v>803.33</v>
      </c>
      <c r="T159">
        <f>ROUND(CU159*I159,2)</f>
        <v>0</v>
      </c>
      <c r="U159">
        <f>CV159*I159</f>
        <v>90.669753599999993</v>
      </c>
      <c r="V159">
        <f>CW159*I159</f>
        <v>0.98117999999999983</v>
      </c>
      <c r="W159">
        <f>ROUND(CX159*I159,2)</f>
        <v>0</v>
      </c>
      <c r="X159">
        <f t="shared" ref="X159:Y161" si="176">ROUND(CY159,2)</f>
        <v>734.22</v>
      </c>
      <c r="Y159">
        <f t="shared" si="176"/>
        <v>339.78</v>
      </c>
      <c r="AA159">
        <v>31028412</v>
      </c>
      <c r="AB159">
        <f>ROUND((AC159+AD159+AF159),6)</f>
        <v>4394.2532250000004</v>
      </c>
      <c r="AC159">
        <f>ROUND((ES159),6)</f>
        <v>2622.09</v>
      </c>
      <c r="AD159">
        <f>ROUND(((((ET159*ROUND((1.25*1.15),7)))-((EU159*ROUND((1.25*1.15),7))))+AE159),6)</f>
        <v>77.366249999999994</v>
      </c>
      <c r="AE159">
        <f>ROUND(((EU159*ROUND((1.25*1.15),7))),6)</f>
        <v>26.306249999999999</v>
      </c>
      <c r="AF159">
        <f>ROUND(((EV159*ROUND((1.15*1.15),7))),6)</f>
        <v>1694.796975</v>
      </c>
      <c r="AG159">
        <f>ROUND((AP159),6)</f>
        <v>0</v>
      </c>
      <c r="AH159">
        <f>((EW159*ROUND((1.15*1.15),7)))</f>
        <v>191.28639999999999</v>
      </c>
      <c r="AI159">
        <f>((EX159*ROUND((1.25*1.15),7)))</f>
        <v>2.0699999999999998</v>
      </c>
      <c r="AJ159">
        <f>(AS159)</f>
        <v>0</v>
      </c>
      <c r="AK159">
        <v>3957.42</v>
      </c>
      <c r="AL159">
        <v>2622.09</v>
      </c>
      <c r="AM159">
        <v>53.82</v>
      </c>
      <c r="AN159">
        <v>18.3</v>
      </c>
      <c r="AO159">
        <v>1281.51</v>
      </c>
      <c r="AP159">
        <v>0</v>
      </c>
      <c r="AQ159">
        <v>144.63999999999999</v>
      </c>
      <c r="AR159">
        <v>1.44</v>
      </c>
      <c r="AS159">
        <v>0</v>
      </c>
      <c r="AT159">
        <v>90</v>
      </c>
      <c r="AU159">
        <v>41.65</v>
      </c>
      <c r="AV159">
        <v>1</v>
      </c>
      <c r="AW159">
        <v>1</v>
      </c>
      <c r="AZ159">
        <v>1</v>
      </c>
      <c r="BA159">
        <v>24.22</v>
      </c>
      <c r="BB159">
        <v>1</v>
      </c>
      <c r="BC159">
        <v>1</v>
      </c>
      <c r="BD159" t="s">
        <v>6</v>
      </c>
      <c r="BE159" t="s">
        <v>6</v>
      </c>
      <c r="BF159" t="s">
        <v>6</v>
      </c>
      <c r="BG159" t="s">
        <v>6</v>
      </c>
      <c r="BH159">
        <v>0</v>
      </c>
      <c r="BI159">
        <v>1</v>
      </c>
      <c r="BJ159" t="s">
        <v>352</v>
      </c>
      <c r="BM159">
        <v>15001</v>
      </c>
      <c r="BN159">
        <v>0</v>
      </c>
      <c r="BO159" t="s">
        <v>1327</v>
      </c>
      <c r="BP159">
        <v>1</v>
      </c>
      <c r="BQ159">
        <v>2</v>
      </c>
      <c r="BR159">
        <v>0</v>
      </c>
      <c r="BS159">
        <v>24.22</v>
      </c>
      <c r="BT159">
        <v>1</v>
      </c>
      <c r="BU159">
        <v>1</v>
      </c>
      <c r="BV159">
        <v>1</v>
      </c>
      <c r="BW159">
        <v>1</v>
      </c>
      <c r="BX159">
        <v>1</v>
      </c>
      <c r="BY159" t="s">
        <v>6</v>
      </c>
      <c r="BZ159">
        <v>100</v>
      </c>
      <c r="CA159">
        <v>49</v>
      </c>
      <c r="CB159" t="s">
        <v>6</v>
      </c>
      <c r="CE159">
        <v>0</v>
      </c>
      <c r="CF159">
        <v>0</v>
      </c>
      <c r="CG159">
        <v>0</v>
      </c>
      <c r="CM159">
        <v>0</v>
      </c>
      <c r="CN159" t="s">
        <v>6</v>
      </c>
      <c r="CO159">
        <v>0</v>
      </c>
      <c r="CP159">
        <f>(P159+Q159+S159)</f>
        <v>2082.87</v>
      </c>
      <c r="CQ159">
        <f>AC159*BC159</f>
        <v>2622.09</v>
      </c>
      <c r="CR159">
        <f>AD159*BB159</f>
        <v>77.366249999999994</v>
      </c>
      <c r="CS159">
        <f t="shared" ref="CS159:CX161" si="177">AE159</f>
        <v>26.306249999999999</v>
      </c>
      <c r="CT159">
        <f t="shared" si="177"/>
        <v>1694.796975</v>
      </c>
      <c r="CU159">
        <f t="shared" si="177"/>
        <v>0</v>
      </c>
      <c r="CV159">
        <f t="shared" si="177"/>
        <v>191.28639999999999</v>
      </c>
      <c r="CW159">
        <f t="shared" si="177"/>
        <v>2.0699999999999998</v>
      </c>
      <c r="CX159">
        <f t="shared" si="177"/>
        <v>0</v>
      </c>
      <c r="CY159">
        <f>(((S159+R159)*AT159)/100)</f>
        <v>734.22</v>
      </c>
      <c r="CZ159">
        <f>(((S159+R159)*AU159)/100)</f>
        <v>339.78070000000002</v>
      </c>
      <c r="DC159" t="s">
        <v>6</v>
      </c>
      <c r="DD159" t="s">
        <v>6</v>
      </c>
      <c r="DE159" t="s">
        <v>126</v>
      </c>
      <c r="DF159" t="s">
        <v>126</v>
      </c>
      <c r="DG159" t="s">
        <v>127</v>
      </c>
      <c r="DH159" t="s">
        <v>6</v>
      </c>
      <c r="DI159" t="s">
        <v>127</v>
      </c>
      <c r="DJ159" t="s">
        <v>126</v>
      </c>
      <c r="DK159" t="s">
        <v>6</v>
      </c>
      <c r="DL159" t="s">
        <v>6</v>
      </c>
      <c r="DM159" t="s">
        <v>6</v>
      </c>
      <c r="DN159">
        <v>0</v>
      </c>
      <c r="DO159">
        <v>0</v>
      </c>
      <c r="DP159">
        <v>1</v>
      </c>
      <c r="DQ159">
        <v>1</v>
      </c>
      <c r="DU159">
        <v>1013</v>
      </c>
      <c r="DV159" t="s">
        <v>172</v>
      </c>
      <c r="DW159" t="s">
        <v>172</v>
      </c>
      <c r="DX159">
        <v>1</v>
      </c>
      <c r="DZ159" t="s">
        <v>6</v>
      </c>
      <c r="EA159" t="s">
        <v>6</v>
      </c>
      <c r="EB159" t="s">
        <v>6</v>
      </c>
      <c r="EC159" t="s">
        <v>6</v>
      </c>
      <c r="EE159">
        <v>30852936</v>
      </c>
      <c r="EF159">
        <v>2</v>
      </c>
      <c r="EG159" t="s">
        <v>26</v>
      </c>
      <c r="EH159">
        <v>0</v>
      </c>
      <c r="EI159" t="s">
        <v>6</v>
      </c>
      <c r="EJ159">
        <v>1</v>
      </c>
      <c r="EK159">
        <v>15001</v>
      </c>
      <c r="EL159" t="s">
        <v>128</v>
      </c>
      <c r="EM159" t="s">
        <v>129</v>
      </c>
      <c r="EO159" t="s">
        <v>6</v>
      </c>
      <c r="EQ159">
        <v>131072</v>
      </c>
      <c r="ER159">
        <v>3957.42</v>
      </c>
      <c r="ES159">
        <v>2622.09</v>
      </c>
      <c r="ET159">
        <v>53.82</v>
      </c>
      <c r="EU159">
        <v>18.3</v>
      </c>
      <c r="EV159">
        <v>1281.51</v>
      </c>
      <c r="EW159">
        <v>144.63999999999999</v>
      </c>
      <c r="EX159">
        <v>1.44</v>
      </c>
      <c r="EY159">
        <v>0</v>
      </c>
      <c r="FQ159">
        <v>0</v>
      </c>
      <c r="FR159">
        <f>ROUND(IF(AND(BH159=3,BI159=3),P159,0),2)</f>
        <v>0</v>
      </c>
      <c r="FS159">
        <v>0</v>
      </c>
      <c r="FT159" t="s">
        <v>29</v>
      </c>
      <c r="FU159" t="s">
        <v>30</v>
      </c>
      <c r="FX159">
        <v>90</v>
      </c>
      <c r="FY159">
        <v>41.65</v>
      </c>
      <c r="GA159" t="s">
        <v>6</v>
      </c>
      <c r="GD159">
        <v>1</v>
      </c>
      <c r="GF159">
        <v>-1260962249</v>
      </c>
      <c r="GG159">
        <v>2</v>
      </c>
      <c r="GH159">
        <v>1</v>
      </c>
      <c r="GI159">
        <v>4</v>
      </c>
      <c r="GJ159">
        <v>0</v>
      </c>
      <c r="GK159">
        <v>0</v>
      </c>
      <c r="GL159">
        <f>ROUND(IF(AND(BH159=3,BI159=3,FS159&lt;&gt;0),P159,0),2)</f>
        <v>0</v>
      </c>
      <c r="GM159">
        <f>ROUND(O159+X159+Y159,2)+GX159</f>
        <v>3156.87</v>
      </c>
      <c r="GN159">
        <f>IF(OR(BI159=0,BI159=1),ROUND(O159+X159+Y159,2),0)</f>
        <v>3156.87</v>
      </c>
      <c r="GO159">
        <f>IF(BI159=2,ROUND(O159+X159+Y159,2),0)</f>
        <v>0</v>
      </c>
      <c r="GP159">
        <f>IF(BI159=4,ROUND(O159+X159+Y159,2)+GX159,0)</f>
        <v>0</v>
      </c>
      <c r="GR159">
        <v>0</v>
      </c>
      <c r="GS159">
        <v>0</v>
      </c>
      <c r="GT159">
        <v>0</v>
      </c>
      <c r="GU159" t="s">
        <v>6</v>
      </c>
      <c r="GV159">
        <f>ROUND((GT159),6)</f>
        <v>0</v>
      </c>
      <c r="GW159">
        <v>1</v>
      </c>
      <c r="GX159">
        <f>ROUND(HC159*I159,2)</f>
        <v>0</v>
      </c>
      <c r="HA159">
        <v>0</v>
      </c>
      <c r="HB159">
        <v>0</v>
      </c>
      <c r="HC159">
        <f>GV159*GW159</f>
        <v>0</v>
      </c>
      <c r="HE159" t="s">
        <v>6</v>
      </c>
      <c r="HF159" t="s">
        <v>6</v>
      </c>
      <c r="HI159">
        <f>ROUND(R159*BS159,0)</f>
        <v>302</v>
      </c>
      <c r="HJ159">
        <f>ROUND(S159*BA159,0)</f>
        <v>19457</v>
      </c>
      <c r="HK159">
        <f>ROUND((((HJ159+HI159)*AT159)/100),0)</f>
        <v>17783</v>
      </c>
      <c r="HL159">
        <f>ROUND((((HJ159+HI159)*AU159)/100),0)</f>
        <v>8230</v>
      </c>
      <c r="HM159" t="s">
        <v>6</v>
      </c>
      <c r="HN159" t="s">
        <v>6</v>
      </c>
      <c r="HO159" t="s">
        <v>6</v>
      </c>
      <c r="HP159" t="s">
        <v>6</v>
      </c>
      <c r="HQ159" t="s">
        <v>6</v>
      </c>
      <c r="IK159">
        <v>0</v>
      </c>
    </row>
    <row r="160" spans="1:245">
      <c r="A160">
        <v>17</v>
      </c>
      <c r="B160">
        <v>1</v>
      </c>
      <c r="C160">
        <f>ROW(SmtRes!A265)</f>
        <v>265</v>
      </c>
      <c r="D160">
        <f>ROW(EtalonRes!A289)</f>
        <v>289</v>
      </c>
      <c r="E160" t="s">
        <v>367</v>
      </c>
      <c r="F160" t="s">
        <v>354</v>
      </c>
      <c r="G160" t="s">
        <v>355</v>
      </c>
      <c r="H160" t="s">
        <v>124</v>
      </c>
      <c r="I160">
        <f>ROUND(11.85*4/100,7)</f>
        <v>0.47399999999999998</v>
      </c>
      <c r="J160">
        <v>0</v>
      </c>
      <c r="K160">
        <f>ROUND(11.85*4/100,7)</f>
        <v>0.47399999999999998</v>
      </c>
      <c r="O160">
        <f>ROUND(CP160,2)</f>
        <v>298.67</v>
      </c>
      <c r="P160">
        <f>ROUND(CQ160*I160,2)</f>
        <v>201.01</v>
      </c>
      <c r="Q160">
        <f>ROUND(CR160*I160,2)</f>
        <v>2.71</v>
      </c>
      <c r="R160">
        <f>ROUND(CS160*I160,2)</f>
        <v>0.09</v>
      </c>
      <c r="S160">
        <f>ROUND(CT160*I160,2)</f>
        <v>94.95</v>
      </c>
      <c r="T160">
        <f>ROUND(CU160*I160,2)</f>
        <v>0</v>
      </c>
      <c r="U160">
        <f>CV160*I160</f>
        <v>10.343272499999999</v>
      </c>
      <c r="V160">
        <f>CW160*I160</f>
        <v>6.8137500000000004E-3</v>
      </c>
      <c r="W160">
        <f>ROUND(CX160*I160,2)</f>
        <v>0</v>
      </c>
      <c r="X160">
        <f t="shared" si="176"/>
        <v>85.54</v>
      </c>
      <c r="Y160">
        <f t="shared" si="176"/>
        <v>39.58</v>
      </c>
      <c r="AA160">
        <v>31028412</v>
      </c>
      <c r="AB160">
        <f>ROUND((AC160+AD160+AF160),6)</f>
        <v>630.09595000000002</v>
      </c>
      <c r="AC160">
        <f>ROUND((ES160),6)</f>
        <v>424.07</v>
      </c>
      <c r="AD160">
        <f>ROUND(((((ET160*ROUND((1.25*1.15),7)))-((EU160*ROUND((1.25*1.15),7))))+AE160),6)</f>
        <v>5.7068750000000001</v>
      </c>
      <c r="AE160">
        <f>ROUND(((EU160*ROUND((1.25*1.15),7))),6)</f>
        <v>0.18687500000000001</v>
      </c>
      <c r="AF160">
        <f>ROUND(((EV160*ROUND((1.15*1.15),7))),6)</f>
        <v>200.319075</v>
      </c>
      <c r="AG160">
        <f>ROUND((AP160),6)</f>
        <v>0</v>
      </c>
      <c r="AH160">
        <f>((EW160*ROUND((1.15*1.15),7)))</f>
        <v>21.821249999999999</v>
      </c>
      <c r="AI160">
        <f>((EX160*ROUND((1.25*1.15),7)))</f>
        <v>1.4375000000000001E-2</v>
      </c>
      <c r="AJ160">
        <f>(AS160)</f>
        <v>0</v>
      </c>
      <c r="AK160">
        <v>579.51</v>
      </c>
      <c r="AL160">
        <v>424.07</v>
      </c>
      <c r="AM160">
        <v>3.97</v>
      </c>
      <c r="AN160">
        <v>0.13</v>
      </c>
      <c r="AO160">
        <v>151.47</v>
      </c>
      <c r="AP160">
        <v>0</v>
      </c>
      <c r="AQ160">
        <v>16.5</v>
      </c>
      <c r="AR160">
        <v>0.01</v>
      </c>
      <c r="AS160">
        <v>0</v>
      </c>
      <c r="AT160">
        <v>90</v>
      </c>
      <c r="AU160">
        <v>41.65</v>
      </c>
      <c r="AV160">
        <v>1</v>
      </c>
      <c r="AW160">
        <v>1</v>
      </c>
      <c r="AZ160">
        <v>1</v>
      </c>
      <c r="BA160">
        <v>24.22</v>
      </c>
      <c r="BB160">
        <v>1</v>
      </c>
      <c r="BC160">
        <v>1</v>
      </c>
      <c r="BD160" t="s">
        <v>6</v>
      </c>
      <c r="BE160" t="s">
        <v>6</v>
      </c>
      <c r="BF160" t="s">
        <v>6</v>
      </c>
      <c r="BG160" t="s">
        <v>6</v>
      </c>
      <c r="BH160">
        <v>0</v>
      </c>
      <c r="BI160">
        <v>1</v>
      </c>
      <c r="BJ160" t="s">
        <v>356</v>
      </c>
      <c r="BM160">
        <v>15001</v>
      </c>
      <c r="BN160">
        <v>0</v>
      </c>
      <c r="BO160" t="s">
        <v>1327</v>
      </c>
      <c r="BP160">
        <v>1</v>
      </c>
      <c r="BQ160">
        <v>2</v>
      </c>
      <c r="BR160">
        <v>0</v>
      </c>
      <c r="BS160">
        <v>24.22</v>
      </c>
      <c r="BT160">
        <v>1</v>
      </c>
      <c r="BU160">
        <v>1</v>
      </c>
      <c r="BV160">
        <v>1</v>
      </c>
      <c r="BW160">
        <v>1</v>
      </c>
      <c r="BX160">
        <v>1</v>
      </c>
      <c r="BY160" t="s">
        <v>6</v>
      </c>
      <c r="BZ160">
        <v>100</v>
      </c>
      <c r="CA160">
        <v>49</v>
      </c>
      <c r="CB160" t="s">
        <v>6</v>
      </c>
      <c r="CE160">
        <v>0</v>
      </c>
      <c r="CF160">
        <v>0</v>
      </c>
      <c r="CG160">
        <v>0</v>
      </c>
      <c r="CM160">
        <v>0</v>
      </c>
      <c r="CN160" t="s">
        <v>6</v>
      </c>
      <c r="CO160">
        <v>0</v>
      </c>
      <c r="CP160">
        <f>(P160+Q160+S160)</f>
        <v>298.67</v>
      </c>
      <c r="CQ160">
        <f>AC160*BC160</f>
        <v>424.07</v>
      </c>
      <c r="CR160">
        <f>AD160*BB160</f>
        <v>5.7068750000000001</v>
      </c>
      <c r="CS160">
        <f t="shared" si="177"/>
        <v>0.18687500000000001</v>
      </c>
      <c r="CT160">
        <f t="shared" si="177"/>
        <v>200.319075</v>
      </c>
      <c r="CU160">
        <f t="shared" si="177"/>
        <v>0</v>
      </c>
      <c r="CV160">
        <f t="shared" si="177"/>
        <v>21.821249999999999</v>
      </c>
      <c r="CW160">
        <f t="shared" si="177"/>
        <v>1.4375000000000001E-2</v>
      </c>
      <c r="CX160">
        <f t="shared" si="177"/>
        <v>0</v>
      </c>
      <c r="CY160">
        <f>(((S160+R160)*AT160)/100)</f>
        <v>85.536000000000001</v>
      </c>
      <c r="CZ160">
        <f>(((S160+R160)*AU160)/100)</f>
        <v>39.584160000000004</v>
      </c>
      <c r="DC160" t="s">
        <v>6</v>
      </c>
      <c r="DD160" t="s">
        <v>6</v>
      </c>
      <c r="DE160" t="s">
        <v>126</v>
      </c>
      <c r="DF160" t="s">
        <v>126</v>
      </c>
      <c r="DG160" t="s">
        <v>127</v>
      </c>
      <c r="DH160" t="s">
        <v>6</v>
      </c>
      <c r="DI160" t="s">
        <v>127</v>
      </c>
      <c r="DJ160" t="s">
        <v>126</v>
      </c>
      <c r="DK160" t="s">
        <v>6</v>
      </c>
      <c r="DL160" t="s">
        <v>6</v>
      </c>
      <c r="DM160" t="s">
        <v>6</v>
      </c>
      <c r="DN160">
        <v>0</v>
      </c>
      <c r="DO160">
        <v>0</v>
      </c>
      <c r="DP160">
        <v>1</v>
      </c>
      <c r="DQ160">
        <v>1</v>
      </c>
      <c r="DU160">
        <v>1005</v>
      </c>
      <c r="DV160" t="s">
        <v>124</v>
      </c>
      <c r="DW160" t="s">
        <v>124</v>
      </c>
      <c r="DX160">
        <v>100</v>
      </c>
      <c r="DZ160" t="s">
        <v>6</v>
      </c>
      <c r="EA160" t="s">
        <v>6</v>
      </c>
      <c r="EB160" t="s">
        <v>6</v>
      </c>
      <c r="EC160" t="s">
        <v>6</v>
      </c>
      <c r="EE160">
        <v>30852936</v>
      </c>
      <c r="EF160">
        <v>2</v>
      </c>
      <c r="EG160" t="s">
        <v>26</v>
      </c>
      <c r="EH160">
        <v>0</v>
      </c>
      <c r="EI160" t="s">
        <v>6</v>
      </c>
      <c r="EJ160">
        <v>1</v>
      </c>
      <c r="EK160">
        <v>15001</v>
      </c>
      <c r="EL160" t="s">
        <v>128</v>
      </c>
      <c r="EM160" t="s">
        <v>129</v>
      </c>
      <c r="EO160" t="s">
        <v>6</v>
      </c>
      <c r="EQ160">
        <v>131072</v>
      </c>
      <c r="ER160">
        <v>579.51</v>
      </c>
      <c r="ES160">
        <v>424.07</v>
      </c>
      <c r="ET160">
        <v>3.97</v>
      </c>
      <c r="EU160">
        <v>0.13</v>
      </c>
      <c r="EV160">
        <v>151.47</v>
      </c>
      <c r="EW160">
        <v>16.5</v>
      </c>
      <c r="EX160">
        <v>0.01</v>
      </c>
      <c r="EY160">
        <v>0</v>
      </c>
      <c r="FQ160">
        <v>0</v>
      </c>
      <c r="FR160">
        <f>ROUND(IF(AND(BH160=3,BI160=3),P160,0),2)</f>
        <v>0</v>
      </c>
      <c r="FS160">
        <v>0</v>
      </c>
      <c r="FT160" t="s">
        <v>29</v>
      </c>
      <c r="FU160" t="s">
        <v>30</v>
      </c>
      <c r="FX160">
        <v>90</v>
      </c>
      <c r="FY160">
        <v>41.65</v>
      </c>
      <c r="GA160" t="s">
        <v>6</v>
      </c>
      <c r="GD160">
        <v>1</v>
      </c>
      <c r="GF160">
        <v>568612840</v>
      </c>
      <c r="GG160">
        <v>2</v>
      </c>
      <c r="GH160">
        <v>1</v>
      </c>
      <c r="GI160">
        <v>4</v>
      </c>
      <c r="GJ160">
        <v>0</v>
      </c>
      <c r="GK160">
        <v>0</v>
      </c>
      <c r="GL160">
        <f>ROUND(IF(AND(BH160=3,BI160=3,FS160&lt;&gt;0),P160,0),2)</f>
        <v>0</v>
      </c>
      <c r="GM160">
        <f>ROUND(O160+X160+Y160,2)+GX160</f>
        <v>423.79</v>
      </c>
      <c r="GN160">
        <f>IF(OR(BI160=0,BI160=1),ROUND(O160+X160+Y160,2),0)</f>
        <v>423.79</v>
      </c>
      <c r="GO160">
        <f>IF(BI160=2,ROUND(O160+X160+Y160,2),0)</f>
        <v>0</v>
      </c>
      <c r="GP160">
        <f>IF(BI160=4,ROUND(O160+X160+Y160,2)+GX160,0)</f>
        <v>0</v>
      </c>
      <c r="GR160">
        <v>0</v>
      </c>
      <c r="GS160">
        <v>3</v>
      </c>
      <c r="GT160">
        <v>0</v>
      </c>
      <c r="GU160" t="s">
        <v>6</v>
      </c>
      <c r="GV160">
        <f>ROUND((GT160),6)</f>
        <v>0</v>
      </c>
      <c r="GW160">
        <v>1</v>
      </c>
      <c r="GX160">
        <f>ROUND(HC160*I160,2)</f>
        <v>0</v>
      </c>
      <c r="HA160">
        <v>0</v>
      </c>
      <c r="HB160">
        <v>0</v>
      </c>
      <c r="HC160">
        <f>GV160*GW160</f>
        <v>0</v>
      </c>
      <c r="HE160" t="s">
        <v>6</v>
      </c>
      <c r="HF160" t="s">
        <v>6</v>
      </c>
      <c r="HI160">
        <f>ROUND(R160*BS160,0)</f>
        <v>2</v>
      </c>
      <c r="HJ160">
        <f>ROUND(S160*BA160,0)</f>
        <v>2300</v>
      </c>
      <c r="HK160">
        <f>ROUND((((HJ160+HI160)*AT160)/100),0)</f>
        <v>2072</v>
      </c>
      <c r="HL160">
        <f>ROUND((((HJ160+HI160)*AU160)/100),0)</f>
        <v>959</v>
      </c>
      <c r="HM160" t="s">
        <v>6</v>
      </c>
      <c r="HN160" t="s">
        <v>6</v>
      </c>
      <c r="HO160" t="s">
        <v>6</v>
      </c>
      <c r="HP160" t="s">
        <v>6</v>
      </c>
      <c r="HQ160" t="s">
        <v>6</v>
      </c>
      <c r="IK160">
        <v>0</v>
      </c>
    </row>
    <row r="161" spans="1:245">
      <c r="A161">
        <v>17</v>
      </c>
      <c r="B161">
        <v>1</v>
      </c>
      <c r="C161">
        <f>ROW(SmtRes!A273)</f>
        <v>273</v>
      </c>
      <c r="D161">
        <f>ROW(EtalonRes!A297)</f>
        <v>297</v>
      </c>
      <c r="E161" t="s">
        <v>368</v>
      </c>
      <c r="F161" t="s">
        <v>358</v>
      </c>
      <c r="G161" t="s">
        <v>359</v>
      </c>
      <c r="H161" t="s">
        <v>124</v>
      </c>
      <c r="I161">
        <f>ROUND(11.85*4/100,7)</f>
        <v>0.47399999999999998</v>
      </c>
      <c r="J161">
        <v>0</v>
      </c>
      <c r="K161">
        <f>ROUND(11.85*4/100,7)</f>
        <v>0.47399999999999998</v>
      </c>
      <c r="O161">
        <f>ROUND(CP161,2)</f>
        <v>1260.05</v>
      </c>
      <c r="P161">
        <f>ROUND(CQ161*I161,2)</f>
        <v>724.89</v>
      </c>
      <c r="Q161">
        <f>ROUND(CR161*I161,2)</f>
        <v>14.36</v>
      </c>
      <c r="R161">
        <f>ROUND(CS161*I161,2)</f>
        <v>0.27</v>
      </c>
      <c r="S161">
        <f>ROUND(CT161*I161,2)</f>
        <v>520.79999999999995</v>
      </c>
      <c r="T161">
        <f>ROUND(CU161*I161,2)</f>
        <v>0</v>
      </c>
      <c r="U161">
        <f>CV161*I161</f>
        <v>56.060536950000007</v>
      </c>
      <c r="V161">
        <f>CW161*I161</f>
        <v>2.0441249999999998E-2</v>
      </c>
      <c r="W161">
        <f>ROUND(CX161*I161,2)</f>
        <v>0</v>
      </c>
      <c r="X161">
        <f t="shared" si="176"/>
        <v>468.96</v>
      </c>
      <c r="Y161">
        <f t="shared" si="176"/>
        <v>217.03</v>
      </c>
      <c r="AA161">
        <v>31028412</v>
      </c>
      <c r="AB161">
        <f>ROUND((AC161+AD161+AF161),6)</f>
        <v>2658.3355000000001</v>
      </c>
      <c r="AC161">
        <f>ROUND((ES161),6)</f>
        <v>1529.3</v>
      </c>
      <c r="AD161">
        <f>ROUND(((((ET161*ROUND((1.25*1.15),7)))-((EU161*ROUND((1.25*1.15),7))))+AE161),6)</f>
        <v>30.302499999999998</v>
      </c>
      <c r="AE161">
        <f>ROUND(((EU161*ROUND((1.25*1.15),7))),6)</f>
        <v>0.56062500000000004</v>
      </c>
      <c r="AF161">
        <f>ROUND(((EV161*ROUND((1.15*1.15),7))),6)</f>
        <v>1098.7329999999999</v>
      </c>
      <c r="AG161">
        <f>ROUND((AP161),6)</f>
        <v>0</v>
      </c>
      <c r="AH161">
        <f>((EW161*ROUND((1.15*1.15),7)))</f>
        <v>118.27117500000001</v>
      </c>
      <c r="AI161">
        <f>((EX161*ROUND((1.25*1.15),7)))</f>
        <v>4.3124999999999997E-2</v>
      </c>
      <c r="AJ161">
        <f>(AS161)</f>
        <v>0</v>
      </c>
      <c r="AK161">
        <v>2381.1799999999998</v>
      </c>
      <c r="AL161">
        <v>1529.3</v>
      </c>
      <c r="AM161">
        <v>21.08</v>
      </c>
      <c r="AN161">
        <v>0.39</v>
      </c>
      <c r="AO161">
        <v>830.8</v>
      </c>
      <c r="AP161">
        <v>0</v>
      </c>
      <c r="AQ161">
        <v>89.43</v>
      </c>
      <c r="AR161">
        <v>0.03</v>
      </c>
      <c r="AS161">
        <v>0</v>
      </c>
      <c r="AT161">
        <v>90</v>
      </c>
      <c r="AU161">
        <v>41.65</v>
      </c>
      <c r="AV161">
        <v>1</v>
      </c>
      <c r="AW161">
        <v>1</v>
      </c>
      <c r="AZ161">
        <v>1</v>
      </c>
      <c r="BA161">
        <v>24.22</v>
      </c>
      <c r="BB161">
        <v>1</v>
      </c>
      <c r="BC161">
        <v>1</v>
      </c>
      <c r="BD161" t="s">
        <v>6</v>
      </c>
      <c r="BE161" t="s">
        <v>6</v>
      </c>
      <c r="BF161" t="s">
        <v>6</v>
      </c>
      <c r="BG161" t="s">
        <v>6</v>
      </c>
      <c r="BH161">
        <v>0</v>
      </c>
      <c r="BI161">
        <v>1</v>
      </c>
      <c r="BJ161" t="s">
        <v>360</v>
      </c>
      <c r="BM161">
        <v>15001</v>
      </c>
      <c r="BN161">
        <v>0</v>
      </c>
      <c r="BO161" t="s">
        <v>1327</v>
      </c>
      <c r="BP161">
        <v>1</v>
      </c>
      <c r="BQ161">
        <v>2</v>
      </c>
      <c r="BR161">
        <v>0</v>
      </c>
      <c r="BS161">
        <v>24.22</v>
      </c>
      <c r="BT161">
        <v>1</v>
      </c>
      <c r="BU161">
        <v>1</v>
      </c>
      <c r="BV161">
        <v>1</v>
      </c>
      <c r="BW161">
        <v>1</v>
      </c>
      <c r="BX161">
        <v>1</v>
      </c>
      <c r="BY161" t="s">
        <v>6</v>
      </c>
      <c r="BZ161">
        <v>100</v>
      </c>
      <c r="CA161">
        <v>49</v>
      </c>
      <c r="CB161" t="s">
        <v>6</v>
      </c>
      <c r="CE161">
        <v>0</v>
      </c>
      <c r="CF161">
        <v>0</v>
      </c>
      <c r="CG161">
        <v>0</v>
      </c>
      <c r="CM161">
        <v>0</v>
      </c>
      <c r="CN161" t="s">
        <v>6</v>
      </c>
      <c r="CO161">
        <v>0</v>
      </c>
      <c r="CP161">
        <f>(P161+Q161+S161)</f>
        <v>1260.05</v>
      </c>
      <c r="CQ161">
        <f>AC161*BC161</f>
        <v>1529.3</v>
      </c>
      <c r="CR161">
        <f>AD161*BB161</f>
        <v>30.302499999999998</v>
      </c>
      <c r="CS161">
        <f t="shared" si="177"/>
        <v>0.56062500000000004</v>
      </c>
      <c r="CT161">
        <f t="shared" si="177"/>
        <v>1098.7329999999999</v>
      </c>
      <c r="CU161">
        <f t="shared" si="177"/>
        <v>0</v>
      </c>
      <c r="CV161">
        <f t="shared" si="177"/>
        <v>118.27117500000001</v>
      </c>
      <c r="CW161">
        <f t="shared" si="177"/>
        <v>4.3124999999999997E-2</v>
      </c>
      <c r="CX161">
        <f t="shared" si="177"/>
        <v>0</v>
      </c>
      <c r="CY161">
        <f>(((S161+R161)*AT161)/100)</f>
        <v>468.96299999999997</v>
      </c>
      <c r="CZ161">
        <f>(((S161+R161)*AU161)/100)</f>
        <v>217.02565499999997</v>
      </c>
      <c r="DC161" t="s">
        <v>6</v>
      </c>
      <c r="DD161" t="s">
        <v>6</v>
      </c>
      <c r="DE161" t="s">
        <v>126</v>
      </c>
      <c r="DF161" t="s">
        <v>126</v>
      </c>
      <c r="DG161" t="s">
        <v>127</v>
      </c>
      <c r="DH161" t="s">
        <v>6</v>
      </c>
      <c r="DI161" t="s">
        <v>127</v>
      </c>
      <c r="DJ161" t="s">
        <v>126</v>
      </c>
      <c r="DK161" t="s">
        <v>6</v>
      </c>
      <c r="DL161" t="s">
        <v>6</v>
      </c>
      <c r="DM161" t="s">
        <v>6</v>
      </c>
      <c r="DN161">
        <v>0</v>
      </c>
      <c r="DO161">
        <v>0</v>
      </c>
      <c r="DP161">
        <v>1</v>
      </c>
      <c r="DQ161">
        <v>1</v>
      </c>
      <c r="DU161">
        <v>1005</v>
      </c>
      <c r="DV161" t="s">
        <v>124</v>
      </c>
      <c r="DW161" t="s">
        <v>124</v>
      </c>
      <c r="DX161">
        <v>100</v>
      </c>
      <c r="DZ161" t="s">
        <v>6</v>
      </c>
      <c r="EA161" t="s">
        <v>6</v>
      </c>
      <c r="EB161" t="s">
        <v>6</v>
      </c>
      <c r="EC161" t="s">
        <v>6</v>
      </c>
      <c r="EE161">
        <v>30852936</v>
      </c>
      <c r="EF161">
        <v>2</v>
      </c>
      <c r="EG161" t="s">
        <v>26</v>
      </c>
      <c r="EH161">
        <v>0</v>
      </c>
      <c r="EI161" t="s">
        <v>6</v>
      </c>
      <c r="EJ161">
        <v>1</v>
      </c>
      <c r="EK161">
        <v>15001</v>
      </c>
      <c r="EL161" t="s">
        <v>128</v>
      </c>
      <c r="EM161" t="s">
        <v>129</v>
      </c>
      <c r="EO161" t="s">
        <v>6</v>
      </c>
      <c r="EQ161">
        <v>131072</v>
      </c>
      <c r="ER161">
        <v>2381.1799999999998</v>
      </c>
      <c r="ES161">
        <v>1529.3</v>
      </c>
      <c r="ET161">
        <v>21.08</v>
      </c>
      <c r="EU161">
        <v>0.39</v>
      </c>
      <c r="EV161">
        <v>830.8</v>
      </c>
      <c r="EW161">
        <v>89.43</v>
      </c>
      <c r="EX161">
        <v>0.03</v>
      </c>
      <c r="EY161">
        <v>0</v>
      </c>
      <c r="FQ161">
        <v>0</v>
      </c>
      <c r="FR161">
        <f>ROUND(IF(AND(BH161=3,BI161=3),P161,0),2)</f>
        <v>0</v>
      </c>
      <c r="FS161">
        <v>0</v>
      </c>
      <c r="FT161" t="s">
        <v>29</v>
      </c>
      <c r="FU161" t="s">
        <v>30</v>
      </c>
      <c r="FX161">
        <v>90</v>
      </c>
      <c r="FY161">
        <v>41.65</v>
      </c>
      <c r="GA161" t="s">
        <v>6</v>
      </c>
      <c r="GD161">
        <v>1</v>
      </c>
      <c r="GF161">
        <v>-636490976</v>
      </c>
      <c r="GG161">
        <v>2</v>
      </c>
      <c r="GH161">
        <v>1</v>
      </c>
      <c r="GI161">
        <v>4</v>
      </c>
      <c r="GJ161">
        <v>0</v>
      </c>
      <c r="GK161">
        <v>0</v>
      </c>
      <c r="GL161">
        <f>ROUND(IF(AND(BH161=3,BI161=3,FS161&lt;&gt;0),P161,0),2)</f>
        <v>0</v>
      </c>
      <c r="GM161">
        <f>ROUND(O161+X161+Y161,2)+GX161</f>
        <v>1946.04</v>
      </c>
      <c r="GN161">
        <f>IF(OR(BI161=0,BI161=1),ROUND(O161+X161+Y161,2),0)</f>
        <v>1946.04</v>
      </c>
      <c r="GO161">
        <f>IF(BI161=2,ROUND(O161+X161+Y161,2),0)</f>
        <v>0</v>
      </c>
      <c r="GP161">
        <f>IF(BI161=4,ROUND(O161+X161+Y161,2)+GX161,0)</f>
        <v>0</v>
      </c>
      <c r="GR161">
        <v>0</v>
      </c>
      <c r="GS161">
        <v>3</v>
      </c>
      <c r="GT161">
        <v>0</v>
      </c>
      <c r="GU161" t="s">
        <v>6</v>
      </c>
      <c r="GV161">
        <f>ROUND((GT161),6)</f>
        <v>0</v>
      </c>
      <c r="GW161">
        <v>1</v>
      </c>
      <c r="GX161">
        <f>ROUND(HC161*I161,2)</f>
        <v>0</v>
      </c>
      <c r="HA161">
        <v>0</v>
      </c>
      <c r="HB161">
        <v>0</v>
      </c>
      <c r="HC161">
        <f>GV161*GW161</f>
        <v>0</v>
      </c>
      <c r="HE161" t="s">
        <v>6</v>
      </c>
      <c r="HF161" t="s">
        <v>6</v>
      </c>
      <c r="HI161">
        <f>ROUND(R161*BS161,0)</f>
        <v>7</v>
      </c>
      <c r="HJ161">
        <f>ROUND(S161*BA161,0)</f>
        <v>12614</v>
      </c>
      <c r="HK161">
        <f>ROUND((((HJ161+HI161)*AT161)/100),0)</f>
        <v>11359</v>
      </c>
      <c r="HL161">
        <f>ROUND((((HJ161+HI161)*AU161)/100),0)</f>
        <v>5257</v>
      </c>
      <c r="HM161" t="s">
        <v>6</v>
      </c>
      <c r="HN161" t="s">
        <v>6</v>
      </c>
      <c r="HO161" t="s">
        <v>6</v>
      </c>
      <c r="HP161" t="s">
        <v>6</v>
      </c>
      <c r="HQ161" t="s">
        <v>6</v>
      </c>
      <c r="IK161">
        <v>0</v>
      </c>
    </row>
    <row r="162" spans="1:245">
      <c r="A162">
        <v>19</v>
      </c>
      <c r="B162">
        <v>1</v>
      </c>
      <c r="F162" t="s">
        <v>6</v>
      </c>
      <c r="G162" t="s">
        <v>369</v>
      </c>
      <c r="H162" t="s">
        <v>6</v>
      </c>
      <c r="AA162">
        <v>1</v>
      </c>
      <c r="IK162">
        <v>0</v>
      </c>
    </row>
    <row r="163" spans="1:245">
      <c r="A163">
        <v>17</v>
      </c>
      <c r="B163">
        <v>1</v>
      </c>
      <c r="C163">
        <f>ROW(SmtRes!A283)</f>
        <v>283</v>
      </c>
      <c r="D163">
        <f>ROW(EtalonRes!A307)</f>
        <v>307</v>
      </c>
      <c r="E163" t="s">
        <v>370</v>
      </c>
      <c r="F163" t="s">
        <v>337</v>
      </c>
      <c r="G163" t="s">
        <v>338</v>
      </c>
      <c r="H163" t="s">
        <v>172</v>
      </c>
      <c r="I163">
        <f>ROUND(35.3*4/100,7)</f>
        <v>1.4119999999999999</v>
      </c>
      <c r="J163">
        <v>0</v>
      </c>
      <c r="K163">
        <f>ROUND(35.3*4/100,7)</f>
        <v>1.4119999999999999</v>
      </c>
      <c r="O163">
        <f>ROUND(CP163,2)</f>
        <v>5903.45</v>
      </c>
      <c r="P163">
        <f>ROUND(CQ163*I163,2)</f>
        <v>3644.19</v>
      </c>
      <c r="Q163">
        <f>ROUND(CR163*I163,2)</f>
        <v>109.24</v>
      </c>
      <c r="R163">
        <f>ROUND(CS163*I163,2)</f>
        <v>37.14</v>
      </c>
      <c r="S163">
        <f>ROUND(CT163*I163,2)</f>
        <v>2150.02</v>
      </c>
      <c r="T163">
        <f>ROUND(CU163*I163,2)</f>
        <v>0</v>
      </c>
      <c r="U163">
        <f>CV163*I163</f>
        <v>242.66473149999996</v>
      </c>
      <c r="V163">
        <f>CW163*I163</f>
        <v>2.9228399999999994</v>
      </c>
      <c r="W163">
        <f>ROUND(CX163*I163,2)</f>
        <v>0</v>
      </c>
      <c r="X163">
        <f t="shared" ref="X163:Y166" si="178">ROUND(CY163,2)</f>
        <v>1968.44</v>
      </c>
      <c r="Y163">
        <f t="shared" si="178"/>
        <v>910.95</v>
      </c>
      <c r="AA163">
        <v>31028412</v>
      </c>
      <c r="AB163">
        <f>ROUND((AC163+AD163+AF163),6)</f>
        <v>4180.90985</v>
      </c>
      <c r="AC163">
        <f>ROUND((ES163),6)</f>
        <v>2580.87</v>
      </c>
      <c r="AD163">
        <f>ROUND(((((ET163*ROUND((1.25*1.15),7)))-((EU163*ROUND((1.25*1.15),7))))+AE163),6)</f>
        <v>77.366249999999994</v>
      </c>
      <c r="AE163">
        <f>ROUND(((EU163*ROUND((1.25*1.15),7))),6)</f>
        <v>26.306249999999999</v>
      </c>
      <c r="AF163">
        <f>ROUND(((EV163*ROUND((1.15*1.15),7))),6)</f>
        <v>1522.6736000000001</v>
      </c>
      <c r="AG163">
        <f>ROUND((AP163),6)</f>
        <v>0</v>
      </c>
      <c r="AH163">
        <f>((EW163*ROUND((1.15*1.15),7)))</f>
        <v>171.85887499999998</v>
      </c>
      <c r="AI163">
        <f>((EX163*ROUND((1.25*1.15),7)))</f>
        <v>2.0699999999999998</v>
      </c>
      <c r="AJ163">
        <f>(AS163)</f>
        <v>0</v>
      </c>
      <c r="AK163">
        <v>3786.05</v>
      </c>
      <c r="AL163">
        <v>2580.87</v>
      </c>
      <c r="AM163">
        <v>53.82</v>
      </c>
      <c r="AN163">
        <v>18.3</v>
      </c>
      <c r="AO163">
        <v>1151.3599999999999</v>
      </c>
      <c r="AP163">
        <v>0</v>
      </c>
      <c r="AQ163">
        <v>129.94999999999999</v>
      </c>
      <c r="AR163">
        <v>1.44</v>
      </c>
      <c r="AS163">
        <v>0</v>
      </c>
      <c r="AT163">
        <v>90</v>
      </c>
      <c r="AU163">
        <v>41.65</v>
      </c>
      <c r="AV163">
        <v>1</v>
      </c>
      <c r="AW163">
        <v>1</v>
      </c>
      <c r="AZ163">
        <v>1</v>
      </c>
      <c r="BA163">
        <v>24.22</v>
      </c>
      <c r="BB163">
        <v>1</v>
      </c>
      <c r="BC163">
        <v>1</v>
      </c>
      <c r="BD163" t="s">
        <v>6</v>
      </c>
      <c r="BE163" t="s">
        <v>6</v>
      </c>
      <c r="BF163" t="s">
        <v>6</v>
      </c>
      <c r="BG163" t="s">
        <v>6</v>
      </c>
      <c r="BH163">
        <v>0</v>
      </c>
      <c r="BI163">
        <v>1</v>
      </c>
      <c r="BJ163" t="s">
        <v>339</v>
      </c>
      <c r="BM163">
        <v>15001</v>
      </c>
      <c r="BN163">
        <v>0</v>
      </c>
      <c r="BO163" t="s">
        <v>1327</v>
      </c>
      <c r="BP163">
        <v>1</v>
      </c>
      <c r="BQ163">
        <v>2</v>
      </c>
      <c r="BR163">
        <v>0</v>
      </c>
      <c r="BS163">
        <v>24.22</v>
      </c>
      <c r="BT163">
        <v>1</v>
      </c>
      <c r="BU163">
        <v>1</v>
      </c>
      <c r="BV163">
        <v>1</v>
      </c>
      <c r="BW163">
        <v>1</v>
      </c>
      <c r="BX163">
        <v>1</v>
      </c>
      <c r="BY163" t="s">
        <v>6</v>
      </c>
      <c r="BZ163">
        <v>100</v>
      </c>
      <c r="CA163">
        <v>49</v>
      </c>
      <c r="CB163" t="s">
        <v>6</v>
      </c>
      <c r="CE163">
        <v>0</v>
      </c>
      <c r="CF163">
        <v>0</v>
      </c>
      <c r="CG163">
        <v>0</v>
      </c>
      <c r="CM163">
        <v>0</v>
      </c>
      <c r="CN163" t="s">
        <v>6</v>
      </c>
      <c r="CO163">
        <v>0</v>
      </c>
      <c r="CP163">
        <f>(P163+Q163+S163)</f>
        <v>5903.45</v>
      </c>
      <c r="CQ163">
        <f>AC163*BC163</f>
        <v>2580.87</v>
      </c>
      <c r="CR163">
        <f>AD163*BB163</f>
        <v>77.366249999999994</v>
      </c>
      <c r="CS163">
        <f t="shared" ref="CS163:CX166" si="179">AE163</f>
        <v>26.306249999999999</v>
      </c>
      <c r="CT163">
        <f t="shared" si="179"/>
        <v>1522.6736000000001</v>
      </c>
      <c r="CU163">
        <f t="shared" si="179"/>
        <v>0</v>
      </c>
      <c r="CV163">
        <f t="shared" si="179"/>
        <v>171.85887499999998</v>
      </c>
      <c r="CW163">
        <f t="shared" si="179"/>
        <v>2.0699999999999998</v>
      </c>
      <c r="CX163">
        <f t="shared" si="179"/>
        <v>0</v>
      </c>
      <c r="CY163">
        <f>(((S163+R163)*AT163)/100)</f>
        <v>1968.444</v>
      </c>
      <c r="CZ163">
        <f>(((S163+R163)*AU163)/100)</f>
        <v>910.95213999999987</v>
      </c>
      <c r="DC163" t="s">
        <v>6</v>
      </c>
      <c r="DD163" t="s">
        <v>6</v>
      </c>
      <c r="DE163" t="s">
        <v>126</v>
      </c>
      <c r="DF163" t="s">
        <v>126</v>
      </c>
      <c r="DG163" t="s">
        <v>127</v>
      </c>
      <c r="DH163" t="s">
        <v>6</v>
      </c>
      <c r="DI163" t="s">
        <v>127</v>
      </c>
      <c r="DJ163" t="s">
        <v>126</v>
      </c>
      <c r="DK163" t="s">
        <v>6</v>
      </c>
      <c r="DL163" t="s">
        <v>6</v>
      </c>
      <c r="DM163" t="s">
        <v>6</v>
      </c>
      <c r="DN163">
        <v>0</v>
      </c>
      <c r="DO163">
        <v>0</v>
      </c>
      <c r="DP163">
        <v>1</v>
      </c>
      <c r="DQ163">
        <v>1</v>
      </c>
      <c r="DU163">
        <v>1013</v>
      </c>
      <c r="DV163" t="s">
        <v>172</v>
      </c>
      <c r="DW163" t="s">
        <v>172</v>
      </c>
      <c r="DX163">
        <v>1</v>
      </c>
      <c r="DZ163" t="s">
        <v>6</v>
      </c>
      <c r="EA163" t="s">
        <v>6</v>
      </c>
      <c r="EB163" t="s">
        <v>6</v>
      </c>
      <c r="EC163" t="s">
        <v>6</v>
      </c>
      <c r="EE163">
        <v>30852936</v>
      </c>
      <c r="EF163">
        <v>2</v>
      </c>
      <c r="EG163" t="s">
        <v>26</v>
      </c>
      <c r="EH163">
        <v>0</v>
      </c>
      <c r="EI163" t="s">
        <v>6</v>
      </c>
      <c r="EJ163">
        <v>1</v>
      </c>
      <c r="EK163">
        <v>15001</v>
      </c>
      <c r="EL163" t="s">
        <v>128</v>
      </c>
      <c r="EM163" t="s">
        <v>129</v>
      </c>
      <c r="EO163" t="s">
        <v>6</v>
      </c>
      <c r="EQ163">
        <v>131072</v>
      </c>
      <c r="ER163">
        <v>3786.05</v>
      </c>
      <c r="ES163">
        <v>2580.87</v>
      </c>
      <c r="ET163">
        <v>53.82</v>
      </c>
      <c r="EU163">
        <v>18.3</v>
      </c>
      <c r="EV163">
        <v>1151.3599999999999</v>
      </c>
      <c r="EW163">
        <v>129.94999999999999</v>
      </c>
      <c r="EX163">
        <v>1.44</v>
      </c>
      <c r="EY163">
        <v>0</v>
      </c>
      <c r="FQ163">
        <v>0</v>
      </c>
      <c r="FR163">
        <f>ROUND(IF(AND(BH163=3,BI163=3),P163,0),2)</f>
        <v>0</v>
      </c>
      <c r="FS163">
        <v>0</v>
      </c>
      <c r="FT163" t="s">
        <v>29</v>
      </c>
      <c r="FU163" t="s">
        <v>30</v>
      </c>
      <c r="FX163">
        <v>90</v>
      </c>
      <c r="FY163">
        <v>41.65</v>
      </c>
      <c r="GA163" t="s">
        <v>6</v>
      </c>
      <c r="GD163">
        <v>1</v>
      </c>
      <c r="GF163">
        <v>-1692303622</v>
      </c>
      <c r="GG163">
        <v>2</v>
      </c>
      <c r="GH163">
        <v>1</v>
      </c>
      <c r="GI163">
        <v>4</v>
      </c>
      <c r="GJ163">
        <v>0</v>
      </c>
      <c r="GK163">
        <v>0</v>
      </c>
      <c r="GL163">
        <f>ROUND(IF(AND(BH163=3,BI163=3,FS163&lt;&gt;0),P163,0),2)</f>
        <v>0</v>
      </c>
      <c r="GM163">
        <f>ROUND(O163+X163+Y163,2)+GX163</f>
        <v>8782.84</v>
      </c>
      <c r="GN163">
        <f>IF(OR(BI163=0,BI163=1),ROUND(O163+X163+Y163,2),0)</f>
        <v>8782.84</v>
      </c>
      <c r="GO163">
        <f>IF(BI163=2,ROUND(O163+X163+Y163,2),0)</f>
        <v>0</v>
      </c>
      <c r="GP163">
        <f>IF(BI163=4,ROUND(O163+X163+Y163,2)+GX163,0)</f>
        <v>0</v>
      </c>
      <c r="GR163">
        <v>0</v>
      </c>
      <c r="GS163">
        <v>0</v>
      </c>
      <c r="GT163">
        <v>0</v>
      </c>
      <c r="GU163" t="s">
        <v>6</v>
      </c>
      <c r="GV163">
        <f>ROUND((GT163),6)</f>
        <v>0</v>
      </c>
      <c r="GW163">
        <v>1</v>
      </c>
      <c r="GX163">
        <f>ROUND(HC163*I163,2)</f>
        <v>0</v>
      </c>
      <c r="HA163">
        <v>0</v>
      </c>
      <c r="HB163">
        <v>0</v>
      </c>
      <c r="HC163">
        <f>GV163*GW163</f>
        <v>0</v>
      </c>
      <c r="HE163" t="s">
        <v>6</v>
      </c>
      <c r="HF163" t="s">
        <v>6</v>
      </c>
      <c r="HI163">
        <f>ROUND(R163*BS163,0)</f>
        <v>900</v>
      </c>
      <c r="HJ163">
        <f>ROUND(S163*BA163,0)</f>
        <v>52073</v>
      </c>
      <c r="HK163">
        <f>ROUND((((HJ163+HI163)*AT163)/100),0)</f>
        <v>47676</v>
      </c>
      <c r="HL163">
        <f>ROUND((((HJ163+HI163)*AU163)/100),0)</f>
        <v>22063</v>
      </c>
      <c r="HM163" t="s">
        <v>6</v>
      </c>
      <c r="HN163" t="s">
        <v>6</v>
      </c>
      <c r="HO163" t="s">
        <v>6</v>
      </c>
      <c r="HP163" t="s">
        <v>6</v>
      </c>
      <c r="HQ163" t="s">
        <v>6</v>
      </c>
      <c r="IK163">
        <v>0</v>
      </c>
    </row>
    <row r="164" spans="1:245">
      <c r="A164">
        <v>17</v>
      </c>
      <c r="B164">
        <v>1</v>
      </c>
      <c r="C164">
        <f>ROW(SmtRes!A290)</f>
        <v>290</v>
      </c>
      <c r="D164">
        <f>ROW(EtalonRes!A314)</f>
        <v>314</v>
      </c>
      <c r="E164" t="s">
        <v>371</v>
      </c>
      <c r="F164" t="s">
        <v>341</v>
      </c>
      <c r="G164" t="s">
        <v>342</v>
      </c>
      <c r="H164" t="s">
        <v>124</v>
      </c>
      <c r="I164">
        <f>ROUND(11.8*4/100,7)</f>
        <v>0.47199999999999998</v>
      </c>
      <c r="J164">
        <v>0</v>
      </c>
      <c r="K164">
        <f>ROUND(11.8*4/100,7)</f>
        <v>0.47199999999999998</v>
      </c>
      <c r="O164">
        <f>ROUND(CP164,2)</f>
        <v>266.49</v>
      </c>
      <c r="P164">
        <f>ROUND(CQ164*I164,2)</f>
        <v>195.7</v>
      </c>
      <c r="Q164">
        <f>ROUND(CR164*I164,2)</f>
        <v>2.08</v>
      </c>
      <c r="R164">
        <f>ROUND(CS164*I164,2)</f>
        <v>0.09</v>
      </c>
      <c r="S164">
        <f>ROUND(CT164*I164,2)</f>
        <v>68.709999999999994</v>
      </c>
      <c r="T164">
        <f>ROUND(CU164*I164,2)</f>
        <v>0</v>
      </c>
      <c r="U164">
        <f>CV164*I164</f>
        <v>7.4843978</v>
      </c>
      <c r="V164">
        <f>CW164*I164</f>
        <v>6.7850000000000002E-3</v>
      </c>
      <c r="W164">
        <f>ROUND(CX164*I164,2)</f>
        <v>0</v>
      </c>
      <c r="X164">
        <f t="shared" si="178"/>
        <v>61.92</v>
      </c>
      <c r="Y164">
        <f t="shared" si="178"/>
        <v>28.66</v>
      </c>
      <c r="AA164">
        <v>31028412</v>
      </c>
      <c r="AB164">
        <f>ROUND((AC164+AD164+AF164),6)</f>
        <v>564.576325</v>
      </c>
      <c r="AC164">
        <f>ROUND((ES164),6)</f>
        <v>414.61</v>
      </c>
      <c r="AD164">
        <f>ROUND(((((ET164*ROUND((1.25*1.15),7)))-((EU164*ROUND((1.25*1.15),7))))+AE164),6)</f>
        <v>4.3987499999999997</v>
      </c>
      <c r="AE164">
        <f>ROUND(((EU164*ROUND((1.25*1.15),7))),6)</f>
        <v>0.18687500000000001</v>
      </c>
      <c r="AF164">
        <f>ROUND(((EV164*ROUND((1.15*1.15),7))),6)</f>
        <v>145.56757500000001</v>
      </c>
      <c r="AG164">
        <f>ROUND((AP164),6)</f>
        <v>0</v>
      </c>
      <c r="AH164">
        <f>((EW164*ROUND((1.15*1.15),7)))</f>
        <v>15.856775000000001</v>
      </c>
      <c r="AI164">
        <f>((EX164*ROUND((1.25*1.15),7)))</f>
        <v>1.4375000000000001E-2</v>
      </c>
      <c r="AJ164">
        <f>(AS164)</f>
        <v>0</v>
      </c>
      <c r="AK164">
        <v>527.74</v>
      </c>
      <c r="AL164">
        <v>414.61</v>
      </c>
      <c r="AM164">
        <v>3.06</v>
      </c>
      <c r="AN164">
        <v>0.13</v>
      </c>
      <c r="AO164">
        <v>110.07</v>
      </c>
      <c r="AP164">
        <v>0</v>
      </c>
      <c r="AQ164">
        <v>11.99</v>
      </c>
      <c r="AR164">
        <v>0.01</v>
      </c>
      <c r="AS164">
        <v>0</v>
      </c>
      <c r="AT164">
        <v>90</v>
      </c>
      <c r="AU164">
        <v>41.65</v>
      </c>
      <c r="AV164">
        <v>1</v>
      </c>
      <c r="AW164">
        <v>1</v>
      </c>
      <c r="AZ164">
        <v>1</v>
      </c>
      <c r="BA164">
        <v>24.22</v>
      </c>
      <c r="BB164">
        <v>1</v>
      </c>
      <c r="BC164">
        <v>1</v>
      </c>
      <c r="BD164" t="s">
        <v>6</v>
      </c>
      <c r="BE164" t="s">
        <v>6</v>
      </c>
      <c r="BF164" t="s">
        <v>6</v>
      </c>
      <c r="BG164" t="s">
        <v>6</v>
      </c>
      <c r="BH164">
        <v>0</v>
      </c>
      <c r="BI164">
        <v>1</v>
      </c>
      <c r="BJ164" t="s">
        <v>343</v>
      </c>
      <c r="BM164">
        <v>15001</v>
      </c>
      <c r="BN164">
        <v>0</v>
      </c>
      <c r="BO164" t="s">
        <v>1327</v>
      </c>
      <c r="BP164">
        <v>1</v>
      </c>
      <c r="BQ164">
        <v>2</v>
      </c>
      <c r="BR164">
        <v>0</v>
      </c>
      <c r="BS164">
        <v>24.22</v>
      </c>
      <c r="BT164">
        <v>1</v>
      </c>
      <c r="BU164">
        <v>1</v>
      </c>
      <c r="BV164">
        <v>1</v>
      </c>
      <c r="BW164">
        <v>1</v>
      </c>
      <c r="BX164">
        <v>1</v>
      </c>
      <c r="BY164" t="s">
        <v>6</v>
      </c>
      <c r="BZ164">
        <v>100</v>
      </c>
      <c r="CA164">
        <v>49</v>
      </c>
      <c r="CB164" t="s">
        <v>6</v>
      </c>
      <c r="CE164">
        <v>0</v>
      </c>
      <c r="CF164">
        <v>0</v>
      </c>
      <c r="CG164">
        <v>0</v>
      </c>
      <c r="CM164">
        <v>0</v>
      </c>
      <c r="CN164" t="s">
        <v>6</v>
      </c>
      <c r="CO164">
        <v>0</v>
      </c>
      <c r="CP164">
        <f>(P164+Q164+S164)</f>
        <v>266.49</v>
      </c>
      <c r="CQ164">
        <f>AC164*BC164</f>
        <v>414.61</v>
      </c>
      <c r="CR164">
        <f>AD164*BB164</f>
        <v>4.3987499999999997</v>
      </c>
      <c r="CS164">
        <f t="shared" si="179"/>
        <v>0.18687500000000001</v>
      </c>
      <c r="CT164">
        <f t="shared" si="179"/>
        <v>145.56757500000001</v>
      </c>
      <c r="CU164">
        <f t="shared" si="179"/>
        <v>0</v>
      </c>
      <c r="CV164">
        <f t="shared" si="179"/>
        <v>15.856775000000001</v>
      </c>
      <c r="CW164">
        <f t="shared" si="179"/>
        <v>1.4375000000000001E-2</v>
      </c>
      <c r="CX164">
        <f t="shared" si="179"/>
        <v>0</v>
      </c>
      <c r="CY164">
        <f>(((S164+R164)*AT164)/100)</f>
        <v>61.92</v>
      </c>
      <c r="CZ164">
        <f>(((S164+R164)*AU164)/100)</f>
        <v>28.655200000000001</v>
      </c>
      <c r="DC164" t="s">
        <v>6</v>
      </c>
      <c r="DD164" t="s">
        <v>6</v>
      </c>
      <c r="DE164" t="s">
        <v>126</v>
      </c>
      <c r="DF164" t="s">
        <v>126</v>
      </c>
      <c r="DG164" t="s">
        <v>127</v>
      </c>
      <c r="DH164" t="s">
        <v>6</v>
      </c>
      <c r="DI164" t="s">
        <v>127</v>
      </c>
      <c r="DJ164" t="s">
        <v>126</v>
      </c>
      <c r="DK164" t="s">
        <v>6</v>
      </c>
      <c r="DL164" t="s">
        <v>6</v>
      </c>
      <c r="DM164" t="s">
        <v>6</v>
      </c>
      <c r="DN164">
        <v>0</v>
      </c>
      <c r="DO164">
        <v>0</v>
      </c>
      <c r="DP164">
        <v>1</v>
      </c>
      <c r="DQ164">
        <v>1</v>
      </c>
      <c r="DU164">
        <v>1005</v>
      </c>
      <c r="DV164" t="s">
        <v>124</v>
      </c>
      <c r="DW164" t="s">
        <v>124</v>
      </c>
      <c r="DX164">
        <v>100</v>
      </c>
      <c r="DZ164" t="s">
        <v>6</v>
      </c>
      <c r="EA164" t="s">
        <v>6</v>
      </c>
      <c r="EB164" t="s">
        <v>6</v>
      </c>
      <c r="EC164" t="s">
        <v>6</v>
      </c>
      <c r="EE164">
        <v>30852936</v>
      </c>
      <c r="EF164">
        <v>2</v>
      </c>
      <c r="EG164" t="s">
        <v>26</v>
      </c>
      <c r="EH164">
        <v>0</v>
      </c>
      <c r="EI164" t="s">
        <v>6</v>
      </c>
      <c r="EJ164">
        <v>1</v>
      </c>
      <c r="EK164">
        <v>15001</v>
      </c>
      <c r="EL164" t="s">
        <v>128</v>
      </c>
      <c r="EM164" t="s">
        <v>129</v>
      </c>
      <c r="EO164" t="s">
        <v>6</v>
      </c>
      <c r="EQ164">
        <v>131072</v>
      </c>
      <c r="ER164">
        <v>527.74</v>
      </c>
      <c r="ES164">
        <v>414.61</v>
      </c>
      <c r="ET164">
        <v>3.06</v>
      </c>
      <c r="EU164">
        <v>0.13</v>
      </c>
      <c r="EV164">
        <v>110.07</v>
      </c>
      <c r="EW164">
        <v>11.99</v>
      </c>
      <c r="EX164">
        <v>0.01</v>
      </c>
      <c r="EY164">
        <v>0</v>
      </c>
      <c r="FQ164">
        <v>0</v>
      </c>
      <c r="FR164">
        <f>ROUND(IF(AND(BH164=3,BI164=3),P164,0),2)</f>
        <v>0</v>
      </c>
      <c r="FS164">
        <v>0</v>
      </c>
      <c r="FT164" t="s">
        <v>29</v>
      </c>
      <c r="FU164" t="s">
        <v>30</v>
      </c>
      <c r="FX164">
        <v>90</v>
      </c>
      <c r="FY164">
        <v>41.65</v>
      </c>
      <c r="GA164" t="s">
        <v>6</v>
      </c>
      <c r="GD164">
        <v>1</v>
      </c>
      <c r="GF164">
        <v>-1641234498</v>
      </c>
      <c r="GG164">
        <v>2</v>
      </c>
      <c r="GH164">
        <v>1</v>
      </c>
      <c r="GI164">
        <v>4</v>
      </c>
      <c r="GJ164">
        <v>0</v>
      </c>
      <c r="GK164">
        <v>0</v>
      </c>
      <c r="GL164">
        <f>ROUND(IF(AND(BH164=3,BI164=3,FS164&lt;&gt;0),P164,0),2)</f>
        <v>0</v>
      </c>
      <c r="GM164">
        <f>ROUND(O164+X164+Y164,2)+GX164</f>
        <v>357.07</v>
      </c>
      <c r="GN164">
        <f>IF(OR(BI164=0,BI164=1),ROUND(O164+X164+Y164,2),0)</f>
        <v>357.07</v>
      </c>
      <c r="GO164">
        <f>IF(BI164=2,ROUND(O164+X164+Y164,2),0)</f>
        <v>0</v>
      </c>
      <c r="GP164">
        <f>IF(BI164=4,ROUND(O164+X164+Y164,2)+GX164,0)</f>
        <v>0</v>
      </c>
      <c r="GR164">
        <v>0</v>
      </c>
      <c r="GS164">
        <v>3</v>
      </c>
      <c r="GT164">
        <v>0</v>
      </c>
      <c r="GU164" t="s">
        <v>6</v>
      </c>
      <c r="GV164">
        <f>ROUND((GT164),6)</f>
        <v>0</v>
      </c>
      <c r="GW164">
        <v>1</v>
      </c>
      <c r="GX164">
        <f>ROUND(HC164*I164,2)</f>
        <v>0</v>
      </c>
      <c r="HA164">
        <v>0</v>
      </c>
      <c r="HB164">
        <v>0</v>
      </c>
      <c r="HC164">
        <f>GV164*GW164</f>
        <v>0</v>
      </c>
      <c r="HE164" t="s">
        <v>6</v>
      </c>
      <c r="HF164" t="s">
        <v>6</v>
      </c>
      <c r="HI164">
        <f>ROUND(R164*BS164,0)</f>
        <v>2</v>
      </c>
      <c r="HJ164">
        <f>ROUND(S164*BA164,0)</f>
        <v>1664</v>
      </c>
      <c r="HK164">
        <f>ROUND((((HJ164+HI164)*AT164)/100),0)</f>
        <v>1499</v>
      </c>
      <c r="HL164">
        <f>ROUND((((HJ164+HI164)*AU164)/100),0)</f>
        <v>694</v>
      </c>
      <c r="HM164" t="s">
        <v>6</v>
      </c>
      <c r="HN164" t="s">
        <v>6</v>
      </c>
      <c r="HO164" t="s">
        <v>6</v>
      </c>
      <c r="HP164" t="s">
        <v>6</v>
      </c>
      <c r="HQ164" t="s">
        <v>6</v>
      </c>
      <c r="IK164">
        <v>0</v>
      </c>
    </row>
    <row r="165" spans="1:245">
      <c r="A165">
        <v>17</v>
      </c>
      <c r="B165">
        <v>1</v>
      </c>
      <c r="C165">
        <f>ROW(SmtRes!A300)</f>
        <v>300</v>
      </c>
      <c r="D165">
        <f>ROW(EtalonRes!A324)</f>
        <v>324</v>
      </c>
      <c r="E165" t="s">
        <v>372</v>
      </c>
      <c r="F165" t="s">
        <v>373</v>
      </c>
      <c r="G165" t="s">
        <v>374</v>
      </c>
      <c r="H165" t="s">
        <v>375</v>
      </c>
      <c r="I165">
        <f>ROUND(23.5*4/100,7)</f>
        <v>0.94</v>
      </c>
      <c r="J165">
        <v>0</v>
      </c>
      <c r="K165">
        <f>ROUND(23.5*4/100,7)</f>
        <v>0.94</v>
      </c>
      <c r="O165">
        <f>ROUND(CP165,2)</f>
        <v>10736.97</v>
      </c>
      <c r="P165">
        <f>ROUND(CQ165*I165,2)</f>
        <v>8935.31</v>
      </c>
      <c r="Q165">
        <f>ROUND(CR165*I165,2)</f>
        <v>43</v>
      </c>
      <c r="R165">
        <f>ROUND(CS165*I165,2)</f>
        <v>22.85</v>
      </c>
      <c r="S165">
        <f>ROUND(CT165*I165,2)</f>
        <v>1758.66</v>
      </c>
      <c r="T165">
        <f>ROUND(CU165*I165,2)</f>
        <v>0</v>
      </c>
      <c r="U165">
        <f>CV165*I165</f>
        <v>198.49376049999998</v>
      </c>
      <c r="V165">
        <f>CW165*I165</f>
        <v>2.2295624999999997</v>
      </c>
      <c r="W165">
        <f>ROUND(CX165*I165,2)</f>
        <v>0</v>
      </c>
      <c r="X165">
        <f t="shared" si="178"/>
        <v>1603.36</v>
      </c>
      <c r="Y165">
        <f t="shared" si="178"/>
        <v>742</v>
      </c>
      <c r="AA165">
        <v>31028412</v>
      </c>
      <c r="AB165">
        <f>ROUND((AC165+AD165+AF165),6)</f>
        <v>11422.305549999999</v>
      </c>
      <c r="AC165">
        <f>ROUND((ES165),6)</f>
        <v>9505.65</v>
      </c>
      <c r="AD165">
        <f>ROUND(((((ET165*ROUND((1.25*1.15),7)))-((EU165*ROUND((1.25*1.15),7))))+AE165),6)</f>
        <v>45.741250000000001</v>
      </c>
      <c r="AE165">
        <f>ROUND(((EU165*ROUND((1.25*1.15),7))),6)</f>
        <v>24.308125</v>
      </c>
      <c r="AF165">
        <f>ROUND(((EV165*ROUND((1.15*1.15),7))),6)</f>
        <v>1870.9142999999999</v>
      </c>
      <c r="AG165">
        <f>ROUND((AP165),6)</f>
        <v>0</v>
      </c>
      <c r="AH165">
        <f>((EW165*ROUND((1.15*1.15),7)))</f>
        <v>211.16357499999998</v>
      </c>
      <c r="AI165">
        <f>((EX165*ROUND((1.25*1.15),7)))</f>
        <v>2.3718749999999997</v>
      </c>
      <c r="AJ165">
        <f>(AS165)</f>
        <v>0</v>
      </c>
      <c r="AK165">
        <v>10952.15</v>
      </c>
      <c r="AL165">
        <v>9505.65</v>
      </c>
      <c r="AM165">
        <v>31.82</v>
      </c>
      <c r="AN165">
        <v>16.91</v>
      </c>
      <c r="AO165">
        <v>1414.68</v>
      </c>
      <c r="AP165">
        <v>0</v>
      </c>
      <c r="AQ165">
        <v>159.66999999999999</v>
      </c>
      <c r="AR165">
        <v>1.65</v>
      </c>
      <c r="AS165">
        <v>0</v>
      </c>
      <c r="AT165">
        <v>90</v>
      </c>
      <c r="AU165">
        <v>41.65</v>
      </c>
      <c r="AV165">
        <v>1</v>
      </c>
      <c r="AW165">
        <v>1</v>
      </c>
      <c r="AZ165">
        <v>1</v>
      </c>
      <c r="BA165">
        <v>24.22</v>
      </c>
      <c r="BB165">
        <v>1</v>
      </c>
      <c r="BC165">
        <v>1</v>
      </c>
      <c r="BD165" t="s">
        <v>6</v>
      </c>
      <c r="BE165" t="s">
        <v>6</v>
      </c>
      <c r="BF165" t="s">
        <v>6</v>
      </c>
      <c r="BG165" t="s">
        <v>6</v>
      </c>
      <c r="BH165">
        <v>0</v>
      </c>
      <c r="BI165">
        <v>1</v>
      </c>
      <c r="BJ165" t="s">
        <v>376</v>
      </c>
      <c r="BM165">
        <v>15001</v>
      </c>
      <c r="BN165">
        <v>0</v>
      </c>
      <c r="BO165" t="s">
        <v>1327</v>
      </c>
      <c r="BP165">
        <v>1</v>
      </c>
      <c r="BQ165">
        <v>2</v>
      </c>
      <c r="BR165">
        <v>0</v>
      </c>
      <c r="BS165">
        <v>24.22</v>
      </c>
      <c r="BT165">
        <v>1</v>
      </c>
      <c r="BU165">
        <v>1</v>
      </c>
      <c r="BV165">
        <v>1</v>
      </c>
      <c r="BW165">
        <v>1</v>
      </c>
      <c r="BX165">
        <v>1</v>
      </c>
      <c r="BY165" t="s">
        <v>6</v>
      </c>
      <c r="BZ165">
        <v>100</v>
      </c>
      <c r="CA165">
        <v>49</v>
      </c>
      <c r="CB165" t="s">
        <v>6</v>
      </c>
      <c r="CE165">
        <v>0</v>
      </c>
      <c r="CF165">
        <v>0</v>
      </c>
      <c r="CG165">
        <v>0</v>
      </c>
      <c r="CM165">
        <v>0</v>
      </c>
      <c r="CN165" t="s">
        <v>6</v>
      </c>
      <c r="CO165">
        <v>0</v>
      </c>
      <c r="CP165">
        <f>(P165+Q165+S165)</f>
        <v>10736.97</v>
      </c>
      <c r="CQ165">
        <f>AC165*BC165</f>
        <v>9505.65</v>
      </c>
      <c r="CR165">
        <f>AD165*BB165</f>
        <v>45.741250000000001</v>
      </c>
      <c r="CS165">
        <f t="shared" si="179"/>
        <v>24.308125</v>
      </c>
      <c r="CT165">
        <f t="shared" si="179"/>
        <v>1870.9142999999999</v>
      </c>
      <c r="CU165">
        <f t="shared" si="179"/>
        <v>0</v>
      </c>
      <c r="CV165">
        <f t="shared" si="179"/>
        <v>211.16357499999998</v>
      </c>
      <c r="CW165">
        <f t="shared" si="179"/>
        <v>2.3718749999999997</v>
      </c>
      <c r="CX165">
        <f t="shared" si="179"/>
        <v>0</v>
      </c>
      <c r="CY165">
        <f>(((S165+R165)*AT165)/100)</f>
        <v>1603.3589999999999</v>
      </c>
      <c r="CZ165">
        <f>(((S165+R165)*AU165)/100)</f>
        <v>741.99891500000001</v>
      </c>
      <c r="DC165" t="s">
        <v>6</v>
      </c>
      <c r="DD165" t="s">
        <v>6</v>
      </c>
      <c r="DE165" t="s">
        <v>126</v>
      </c>
      <c r="DF165" t="s">
        <v>126</v>
      </c>
      <c r="DG165" t="s">
        <v>127</v>
      </c>
      <c r="DH165" t="s">
        <v>6</v>
      </c>
      <c r="DI165" t="s">
        <v>127</v>
      </c>
      <c r="DJ165" t="s">
        <v>126</v>
      </c>
      <c r="DK165" t="s">
        <v>6</v>
      </c>
      <c r="DL165" t="s">
        <v>6</v>
      </c>
      <c r="DM165" t="s">
        <v>6</v>
      </c>
      <c r="DN165">
        <v>0</v>
      </c>
      <c r="DO165">
        <v>0</v>
      </c>
      <c r="DP165">
        <v>1</v>
      </c>
      <c r="DQ165">
        <v>1</v>
      </c>
      <c r="DU165">
        <v>1013</v>
      </c>
      <c r="DV165" t="s">
        <v>375</v>
      </c>
      <c r="DW165" t="s">
        <v>375</v>
      </c>
      <c r="DX165">
        <v>1</v>
      </c>
      <c r="DZ165" t="s">
        <v>6</v>
      </c>
      <c r="EA165" t="s">
        <v>6</v>
      </c>
      <c r="EB165" t="s">
        <v>6</v>
      </c>
      <c r="EC165" t="s">
        <v>6</v>
      </c>
      <c r="EE165">
        <v>30852936</v>
      </c>
      <c r="EF165">
        <v>2</v>
      </c>
      <c r="EG165" t="s">
        <v>26</v>
      </c>
      <c r="EH165">
        <v>0</v>
      </c>
      <c r="EI165" t="s">
        <v>6</v>
      </c>
      <c r="EJ165">
        <v>1</v>
      </c>
      <c r="EK165">
        <v>15001</v>
      </c>
      <c r="EL165" t="s">
        <v>128</v>
      </c>
      <c r="EM165" t="s">
        <v>129</v>
      </c>
      <c r="EO165" t="s">
        <v>6</v>
      </c>
      <c r="EQ165">
        <v>131072</v>
      </c>
      <c r="ER165">
        <v>10952.15</v>
      </c>
      <c r="ES165">
        <v>9505.65</v>
      </c>
      <c r="ET165">
        <v>31.82</v>
      </c>
      <c r="EU165">
        <v>16.91</v>
      </c>
      <c r="EV165">
        <v>1414.68</v>
      </c>
      <c r="EW165">
        <v>159.66999999999999</v>
      </c>
      <c r="EX165">
        <v>1.65</v>
      </c>
      <c r="EY165">
        <v>0</v>
      </c>
      <c r="FQ165">
        <v>0</v>
      </c>
      <c r="FR165">
        <f>ROUND(IF(AND(BH165=3,BI165=3),P165,0),2)</f>
        <v>0</v>
      </c>
      <c r="FS165">
        <v>0</v>
      </c>
      <c r="FT165" t="s">
        <v>29</v>
      </c>
      <c r="FU165" t="s">
        <v>30</v>
      </c>
      <c r="FX165">
        <v>90</v>
      </c>
      <c r="FY165">
        <v>41.65</v>
      </c>
      <c r="GA165" t="s">
        <v>6</v>
      </c>
      <c r="GD165">
        <v>1</v>
      </c>
      <c r="GF165">
        <v>262240231</v>
      </c>
      <c r="GG165">
        <v>2</v>
      </c>
      <c r="GH165">
        <v>1</v>
      </c>
      <c r="GI165">
        <v>4</v>
      </c>
      <c r="GJ165">
        <v>0</v>
      </c>
      <c r="GK165">
        <v>0</v>
      </c>
      <c r="GL165">
        <f>ROUND(IF(AND(BH165=3,BI165=3,FS165&lt;&gt;0),P165,0),2)</f>
        <v>0</v>
      </c>
      <c r="GM165">
        <f>ROUND(O165+X165+Y165,2)+GX165</f>
        <v>13082.33</v>
      </c>
      <c r="GN165">
        <f>IF(OR(BI165=0,BI165=1),ROUND(O165+X165+Y165,2),0)</f>
        <v>13082.33</v>
      </c>
      <c r="GO165">
        <f>IF(BI165=2,ROUND(O165+X165+Y165,2),0)</f>
        <v>0</v>
      </c>
      <c r="GP165">
        <f>IF(BI165=4,ROUND(O165+X165+Y165,2)+GX165,0)</f>
        <v>0</v>
      </c>
      <c r="GR165">
        <v>0</v>
      </c>
      <c r="GS165">
        <v>3</v>
      </c>
      <c r="GT165">
        <v>0</v>
      </c>
      <c r="GU165" t="s">
        <v>6</v>
      </c>
      <c r="GV165">
        <f>ROUND((GT165),6)</f>
        <v>0</v>
      </c>
      <c r="GW165">
        <v>1</v>
      </c>
      <c r="GX165">
        <f>ROUND(HC165*I165,2)</f>
        <v>0</v>
      </c>
      <c r="HA165">
        <v>0</v>
      </c>
      <c r="HB165">
        <v>0</v>
      </c>
      <c r="HC165">
        <f>GV165*GW165</f>
        <v>0</v>
      </c>
      <c r="HE165" t="s">
        <v>6</v>
      </c>
      <c r="HF165" t="s">
        <v>6</v>
      </c>
      <c r="HI165">
        <f>ROUND(R165*BS165,0)</f>
        <v>553</v>
      </c>
      <c r="HJ165">
        <f>ROUND(S165*BA165,0)</f>
        <v>42595</v>
      </c>
      <c r="HK165">
        <f>ROUND((((HJ165+HI165)*AT165)/100),0)</f>
        <v>38833</v>
      </c>
      <c r="HL165">
        <f>ROUND((((HJ165+HI165)*AU165)/100),0)</f>
        <v>17971</v>
      </c>
      <c r="HM165" t="s">
        <v>6</v>
      </c>
      <c r="HN165" t="s">
        <v>6</v>
      </c>
      <c r="HO165" t="s">
        <v>6</v>
      </c>
      <c r="HP165" t="s">
        <v>6</v>
      </c>
      <c r="HQ165" t="s">
        <v>6</v>
      </c>
      <c r="IK165">
        <v>0</v>
      </c>
    </row>
    <row r="166" spans="1:245">
      <c r="A166">
        <v>17</v>
      </c>
      <c r="B166">
        <v>1</v>
      </c>
      <c r="C166">
        <f>ROW(SmtRes!A308)</f>
        <v>308</v>
      </c>
      <c r="D166">
        <f>ROW(EtalonRes!A332)</f>
        <v>332</v>
      </c>
      <c r="E166" t="s">
        <v>377</v>
      </c>
      <c r="F166" t="s">
        <v>345</v>
      </c>
      <c r="G166" t="s">
        <v>346</v>
      </c>
      <c r="H166" t="s">
        <v>124</v>
      </c>
      <c r="I166">
        <f>ROUND(47.2/100,7)</f>
        <v>0.47199999999999998</v>
      </c>
      <c r="J166">
        <v>0</v>
      </c>
      <c r="K166">
        <f>ROUND(47.2/100,7)</f>
        <v>0.47199999999999998</v>
      </c>
      <c r="O166">
        <f>ROUND(CP166,2)</f>
        <v>1065.67</v>
      </c>
      <c r="P166">
        <f>ROUND(CQ166*I166,2)</f>
        <v>653.92999999999995</v>
      </c>
      <c r="Q166">
        <f>ROUND(CR166*I166,2)</f>
        <v>13.06</v>
      </c>
      <c r="R166">
        <f>ROUND(CS166*I166,2)</f>
        <v>0.26</v>
      </c>
      <c r="S166">
        <f>ROUND(CT166*I166,2)</f>
        <v>398.68</v>
      </c>
      <c r="T166">
        <f>ROUND(CU166*I166,2)</f>
        <v>0</v>
      </c>
      <c r="U166">
        <f>CV166*I166</f>
        <v>42.915124999999996</v>
      </c>
      <c r="V166">
        <f>CW166*I166</f>
        <v>2.0354999999999998E-2</v>
      </c>
      <c r="W166">
        <f>ROUND(CX166*I166,2)</f>
        <v>0</v>
      </c>
      <c r="X166">
        <f t="shared" si="178"/>
        <v>359.05</v>
      </c>
      <c r="Y166">
        <f t="shared" si="178"/>
        <v>166.16</v>
      </c>
      <c r="AA166">
        <v>31028412</v>
      </c>
      <c r="AB166">
        <f>ROUND((AC166+AD166+AF166),6)</f>
        <v>2257.7793999999999</v>
      </c>
      <c r="AC166">
        <f>ROUND((ES166),6)</f>
        <v>1385.44</v>
      </c>
      <c r="AD166">
        <f>ROUND(((((ET166*ROUND((1.25*1.15),7)))-((EU166*ROUND((1.25*1.15),7))))+AE166),6)</f>
        <v>27.671875</v>
      </c>
      <c r="AE166">
        <f>ROUND(((EU166*ROUND((1.25*1.15),7))),6)</f>
        <v>0.56062500000000004</v>
      </c>
      <c r="AF166">
        <f>ROUND(((EV166*ROUND((1.15*1.15),7))),6)</f>
        <v>844.66752499999996</v>
      </c>
      <c r="AG166">
        <f>ROUND((AP166),6)</f>
        <v>0</v>
      </c>
      <c r="AH166">
        <f>((EW166*ROUND((1.15*1.15),7)))</f>
        <v>90.921875</v>
      </c>
      <c r="AI166">
        <f>((EX166*ROUND((1.25*1.15),7)))</f>
        <v>4.3124999999999997E-2</v>
      </c>
      <c r="AJ166">
        <f>(AS166)</f>
        <v>0</v>
      </c>
      <c r="AK166">
        <v>2043.38</v>
      </c>
      <c r="AL166">
        <v>1385.44</v>
      </c>
      <c r="AM166">
        <v>19.25</v>
      </c>
      <c r="AN166">
        <v>0.39</v>
      </c>
      <c r="AO166">
        <v>638.69000000000005</v>
      </c>
      <c r="AP166">
        <v>0</v>
      </c>
      <c r="AQ166">
        <v>68.75</v>
      </c>
      <c r="AR166">
        <v>0.03</v>
      </c>
      <c r="AS166">
        <v>0</v>
      </c>
      <c r="AT166">
        <v>90</v>
      </c>
      <c r="AU166">
        <v>41.65</v>
      </c>
      <c r="AV166">
        <v>1</v>
      </c>
      <c r="AW166">
        <v>1</v>
      </c>
      <c r="AZ166">
        <v>1</v>
      </c>
      <c r="BA166">
        <v>24.22</v>
      </c>
      <c r="BB166">
        <v>1</v>
      </c>
      <c r="BC166">
        <v>1</v>
      </c>
      <c r="BD166" t="s">
        <v>6</v>
      </c>
      <c r="BE166" t="s">
        <v>6</v>
      </c>
      <c r="BF166" t="s">
        <v>6</v>
      </c>
      <c r="BG166" t="s">
        <v>6</v>
      </c>
      <c r="BH166">
        <v>0</v>
      </c>
      <c r="BI166">
        <v>1</v>
      </c>
      <c r="BJ166" t="s">
        <v>347</v>
      </c>
      <c r="BM166">
        <v>15001</v>
      </c>
      <c r="BN166">
        <v>0</v>
      </c>
      <c r="BO166" t="s">
        <v>1327</v>
      </c>
      <c r="BP166">
        <v>1</v>
      </c>
      <c r="BQ166">
        <v>2</v>
      </c>
      <c r="BR166">
        <v>0</v>
      </c>
      <c r="BS166">
        <v>24.22</v>
      </c>
      <c r="BT166">
        <v>1</v>
      </c>
      <c r="BU166">
        <v>1</v>
      </c>
      <c r="BV166">
        <v>1</v>
      </c>
      <c r="BW166">
        <v>1</v>
      </c>
      <c r="BX166">
        <v>1</v>
      </c>
      <c r="BY166" t="s">
        <v>6</v>
      </c>
      <c r="BZ166">
        <v>100</v>
      </c>
      <c r="CA166">
        <v>49</v>
      </c>
      <c r="CB166" t="s">
        <v>6</v>
      </c>
      <c r="CE166">
        <v>0</v>
      </c>
      <c r="CF166">
        <v>0</v>
      </c>
      <c r="CG166">
        <v>0</v>
      </c>
      <c r="CM166">
        <v>0</v>
      </c>
      <c r="CN166" t="s">
        <v>6</v>
      </c>
      <c r="CO166">
        <v>0</v>
      </c>
      <c r="CP166">
        <f>(P166+Q166+S166)</f>
        <v>1065.6699999999998</v>
      </c>
      <c r="CQ166">
        <f>AC166*BC166</f>
        <v>1385.44</v>
      </c>
      <c r="CR166">
        <f>AD166*BB166</f>
        <v>27.671875</v>
      </c>
      <c r="CS166">
        <f t="shared" si="179"/>
        <v>0.56062500000000004</v>
      </c>
      <c r="CT166">
        <f t="shared" si="179"/>
        <v>844.66752499999996</v>
      </c>
      <c r="CU166">
        <f t="shared" si="179"/>
        <v>0</v>
      </c>
      <c r="CV166">
        <f t="shared" si="179"/>
        <v>90.921875</v>
      </c>
      <c r="CW166">
        <f t="shared" si="179"/>
        <v>4.3124999999999997E-2</v>
      </c>
      <c r="CX166">
        <f t="shared" si="179"/>
        <v>0</v>
      </c>
      <c r="CY166">
        <f>(((S166+R166)*AT166)/100)</f>
        <v>359.04599999999999</v>
      </c>
      <c r="CZ166">
        <f>(((S166+R166)*AU166)/100)</f>
        <v>166.15850999999998</v>
      </c>
      <c r="DC166" t="s">
        <v>6</v>
      </c>
      <c r="DD166" t="s">
        <v>6</v>
      </c>
      <c r="DE166" t="s">
        <v>126</v>
      </c>
      <c r="DF166" t="s">
        <v>126</v>
      </c>
      <c r="DG166" t="s">
        <v>127</v>
      </c>
      <c r="DH166" t="s">
        <v>6</v>
      </c>
      <c r="DI166" t="s">
        <v>127</v>
      </c>
      <c r="DJ166" t="s">
        <v>126</v>
      </c>
      <c r="DK166" t="s">
        <v>6</v>
      </c>
      <c r="DL166" t="s">
        <v>6</v>
      </c>
      <c r="DM166" t="s">
        <v>6</v>
      </c>
      <c r="DN166">
        <v>0</v>
      </c>
      <c r="DO166">
        <v>0</v>
      </c>
      <c r="DP166">
        <v>1</v>
      </c>
      <c r="DQ166">
        <v>1</v>
      </c>
      <c r="DU166">
        <v>1005</v>
      </c>
      <c r="DV166" t="s">
        <v>124</v>
      </c>
      <c r="DW166" t="s">
        <v>124</v>
      </c>
      <c r="DX166">
        <v>100</v>
      </c>
      <c r="DZ166" t="s">
        <v>6</v>
      </c>
      <c r="EA166" t="s">
        <v>6</v>
      </c>
      <c r="EB166" t="s">
        <v>6</v>
      </c>
      <c r="EC166" t="s">
        <v>6</v>
      </c>
      <c r="EE166">
        <v>30852936</v>
      </c>
      <c r="EF166">
        <v>2</v>
      </c>
      <c r="EG166" t="s">
        <v>26</v>
      </c>
      <c r="EH166">
        <v>0</v>
      </c>
      <c r="EI166" t="s">
        <v>6</v>
      </c>
      <c r="EJ166">
        <v>1</v>
      </c>
      <c r="EK166">
        <v>15001</v>
      </c>
      <c r="EL166" t="s">
        <v>128</v>
      </c>
      <c r="EM166" t="s">
        <v>129</v>
      </c>
      <c r="EO166" t="s">
        <v>6</v>
      </c>
      <c r="EQ166">
        <v>0</v>
      </c>
      <c r="ER166">
        <v>2043.38</v>
      </c>
      <c r="ES166">
        <v>1385.44</v>
      </c>
      <c r="ET166">
        <v>19.25</v>
      </c>
      <c r="EU166">
        <v>0.39</v>
      </c>
      <c r="EV166">
        <v>638.69000000000005</v>
      </c>
      <c r="EW166">
        <v>68.75</v>
      </c>
      <c r="EX166">
        <v>0.03</v>
      </c>
      <c r="EY166">
        <v>0</v>
      </c>
      <c r="FQ166">
        <v>0</v>
      </c>
      <c r="FR166">
        <f>ROUND(IF(AND(BH166=3,BI166=3),P166,0),2)</f>
        <v>0</v>
      </c>
      <c r="FS166">
        <v>0</v>
      </c>
      <c r="FT166" t="s">
        <v>29</v>
      </c>
      <c r="FU166" t="s">
        <v>30</v>
      </c>
      <c r="FX166">
        <v>90</v>
      </c>
      <c r="FY166">
        <v>41.65</v>
      </c>
      <c r="GA166" t="s">
        <v>6</v>
      </c>
      <c r="GD166">
        <v>1</v>
      </c>
      <c r="GF166">
        <v>-377485160</v>
      </c>
      <c r="GG166">
        <v>2</v>
      </c>
      <c r="GH166">
        <v>1</v>
      </c>
      <c r="GI166">
        <v>4</v>
      </c>
      <c r="GJ166">
        <v>0</v>
      </c>
      <c r="GK166">
        <v>0</v>
      </c>
      <c r="GL166">
        <f>ROUND(IF(AND(BH166=3,BI166=3,FS166&lt;&gt;0),P166,0),2)</f>
        <v>0</v>
      </c>
      <c r="GM166">
        <f>ROUND(O166+X166+Y166,2)+GX166</f>
        <v>1590.88</v>
      </c>
      <c r="GN166">
        <f>IF(OR(BI166=0,BI166=1),ROUND(O166+X166+Y166,2),0)</f>
        <v>1590.88</v>
      </c>
      <c r="GO166">
        <f>IF(BI166=2,ROUND(O166+X166+Y166,2),0)</f>
        <v>0</v>
      </c>
      <c r="GP166">
        <f>IF(BI166=4,ROUND(O166+X166+Y166,2)+GX166,0)</f>
        <v>0</v>
      </c>
      <c r="GR166">
        <v>0</v>
      </c>
      <c r="GS166">
        <v>3</v>
      </c>
      <c r="GT166">
        <v>0</v>
      </c>
      <c r="GU166" t="s">
        <v>6</v>
      </c>
      <c r="GV166">
        <f>ROUND((GT166),6)</f>
        <v>0</v>
      </c>
      <c r="GW166">
        <v>1</v>
      </c>
      <c r="GX166">
        <f>ROUND(HC166*I166,2)</f>
        <v>0</v>
      </c>
      <c r="HA166">
        <v>0</v>
      </c>
      <c r="HB166">
        <v>0</v>
      </c>
      <c r="HC166">
        <f>GV166*GW166</f>
        <v>0</v>
      </c>
      <c r="HE166" t="s">
        <v>6</v>
      </c>
      <c r="HF166" t="s">
        <v>6</v>
      </c>
      <c r="HI166">
        <f>ROUND(R166*BS166,0)</f>
        <v>6</v>
      </c>
      <c r="HJ166">
        <f>ROUND(S166*BA166,0)</f>
        <v>9656</v>
      </c>
      <c r="HK166">
        <f>ROUND((((HJ166+HI166)*AT166)/100),0)</f>
        <v>8696</v>
      </c>
      <c r="HL166">
        <f>ROUND((((HJ166+HI166)*AU166)/100),0)</f>
        <v>4024</v>
      </c>
      <c r="HM166" t="s">
        <v>6</v>
      </c>
      <c r="HN166" t="s">
        <v>6</v>
      </c>
      <c r="HO166" t="s">
        <v>6</v>
      </c>
      <c r="HP166" t="s">
        <v>6</v>
      </c>
      <c r="HQ166" t="s">
        <v>6</v>
      </c>
      <c r="IK166">
        <v>0</v>
      </c>
    </row>
    <row r="167" spans="1:245">
      <c r="A167">
        <v>19</v>
      </c>
      <c r="B167">
        <v>1</v>
      </c>
      <c r="F167" t="s">
        <v>6</v>
      </c>
      <c r="G167" t="s">
        <v>378</v>
      </c>
      <c r="H167" t="s">
        <v>6</v>
      </c>
      <c r="AA167">
        <v>1</v>
      </c>
      <c r="IK167">
        <v>0</v>
      </c>
    </row>
    <row r="168" spans="1:245">
      <c r="A168">
        <v>17</v>
      </c>
      <c r="B168">
        <v>1</v>
      </c>
      <c r="C168">
        <f>ROW(SmtRes!A318)</f>
        <v>318</v>
      </c>
      <c r="D168">
        <f>ROW(EtalonRes!A342)</f>
        <v>342</v>
      </c>
      <c r="E168" t="s">
        <v>379</v>
      </c>
      <c r="F168" t="s">
        <v>337</v>
      </c>
      <c r="G168" t="s">
        <v>338</v>
      </c>
      <c r="H168" t="s">
        <v>172</v>
      </c>
      <c r="I168">
        <f>ROUND(33.4*4/100,7)</f>
        <v>1.3360000000000001</v>
      </c>
      <c r="J168">
        <v>0</v>
      </c>
      <c r="K168">
        <f>ROUND(33.4*4/100,7)</f>
        <v>1.3360000000000001</v>
      </c>
      <c r="O168">
        <f>ROUND(CP168,2)</f>
        <v>5585.69</v>
      </c>
      <c r="P168">
        <f>ROUND(CQ168*I168,2)</f>
        <v>3448.04</v>
      </c>
      <c r="Q168">
        <f>ROUND(CR168*I168,2)</f>
        <v>103.36</v>
      </c>
      <c r="R168">
        <f>ROUND(CS168*I168,2)</f>
        <v>35.15</v>
      </c>
      <c r="S168">
        <f>ROUND(CT168*I168,2)</f>
        <v>2034.29</v>
      </c>
      <c r="T168">
        <f>ROUND(CU168*I168,2)</f>
        <v>0</v>
      </c>
      <c r="U168">
        <f>CV168*I168</f>
        <v>229.60345699999999</v>
      </c>
      <c r="V168">
        <f>CW168*I168</f>
        <v>2.76552</v>
      </c>
      <c r="W168">
        <f>ROUND(CX168*I168,2)</f>
        <v>0</v>
      </c>
      <c r="X168">
        <f t="shared" ref="X168:Y171" si="180">ROUND(CY168,2)</f>
        <v>1862.5</v>
      </c>
      <c r="Y168">
        <f t="shared" si="180"/>
        <v>861.92</v>
      </c>
      <c r="AA168">
        <v>31028412</v>
      </c>
      <c r="AB168">
        <f>ROUND((AC168+AD168+AF168),6)</f>
        <v>4180.90985</v>
      </c>
      <c r="AC168">
        <f>ROUND((ES168),6)</f>
        <v>2580.87</v>
      </c>
      <c r="AD168">
        <f>ROUND(((((ET168*ROUND((1.25*1.15),7)))-((EU168*ROUND((1.25*1.15),7))))+AE168),6)</f>
        <v>77.366249999999994</v>
      </c>
      <c r="AE168">
        <f>ROUND(((EU168*ROUND((1.25*1.15),7))),6)</f>
        <v>26.306249999999999</v>
      </c>
      <c r="AF168">
        <f>ROUND(((EV168*ROUND((1.15*1.15),7))),6)</f>
        <v>1522.6736000000001</v>
      </c>
      <c r="AG168">
        <f>ROUND((AP168),6)</f>
        <v>0</v>
      </c>
      <c r="AH168">
        <f>((EW168*ROUND((1.15*1.15),7)))</f>
        <v>171.85887499999998</v>
      </c>
      <c r="AI168">
        <f>((EX168*ROUND((1.25*1.15),7)))</f>
        <v>2.0699999999999998</v>
      </c>
      <c r="AJ168">
        <f>(AS168)</f>
        <v>0</v>
      </c>
      <c r="AK168">
        <v>3786.05</v>
      </c>
      <c r="AL168">
        <v>2580.87</v>
      </c>
      <c r="AM168">
        <v>53.82</v>
      </c>
      <c r="AN168">
        <v>18.3</v>
      </c>
      <c r="AO168">
        <v>1151.3599999999999</v>
      </c>
      <c r="AP168">
        <v>0</v>
      </c>
      <c r="AQ168">
        <v>129.94999999999999</v>
      </c>
      <c r="AR168">
        <v>1.44</v>
      </c>
      <c r="AS168">
        <v>0</v>
      </c>
      <c r="AT168">
        <v>90</v>
      </c>
      <c r="AU168">
        <v>41.65</v>
      </c>
      <c r="AV168">
        <v>1</v>
      </c>
      <c r="AW168">
        <v>1</v>
      </c>
      <c r="AZ168">
        <v>1</v>
      </c>
      <c r="BA168">
        <v>24.22</v>
      </c>
      <c r="BB168">
        <v>1</v>
      </c>
      <c r="BC168">
        <v>1</v>
      </c>
      <c r="BD168" t="s">
        <v>6</v>
      </c>
      <c r="BE168" t="s">
        <v>6</v>
      </c>
      <c r="BF168" t="s">
        <v>6</v>
      </c>
      <c r="BG168" t="s">
        <v>6</v>
      </c>
      <c r="BH168">
        <v>0</v>
      </c>
      <c r="BI168">
        <v>1</v>
      </c>
      <c r="BJ168" t="s">
        <v>339</v>
      </c>
      <c r="BM168">
        <v>15001</v>
      </c>
      <c r="BN168">
        <v>0</v>
      </c>
      <c r="BO168" t="s">
        <v>1327</v>
      </c>
      <c r="BP168">
        <v>1</v>
      </c>
      <c r="BQ168">
        <v>2</v>
      </c>
      <c r="BR168">
        <v>0</v>
      </c>
      <c r="BS168">
        <v>24.22</v>
      </c>
      <c r="BT168">
        <v>1</v>
      </c>
      <c r="BU168">
        <v>1</v>
      </c>
      <c r="BV168">
        <v>1</v>
      </c>
      <c r="BW168">
        <v>1</v>
      </c>
      <c r="BX168">
        <v>1</v>
      </c>
      <c r="BY168" t="s">
        <v>6</v>
      </c>
      <c r="BZ168">
        <v>100</v>
      </c>
      <c r="CA168">
        <v>49</v>
      </c>
      <c r="CB168" t="s">
        <v>6</v>
      </c>
      <c r="CE168">
        <v>0</v>
      </c>
      <c r="CF168">
        <v>0</v>
      </c>
      <c r="CG168">
        <v>0</v>
      </c>
      <c r="CM168">
        <v>0</v>
      </c>
      <c r="CN168" t="s">
        <v>6</v>
      </c>
      <c r="CO168">
        <v>0</v>
      </c>
      <c r="CP168">
        <f>(P168+Q168+S168)</f>
        <v>5585.6900000000005</v>
      </c>
      <c r="CQ168">
        <f>AC168*BC168</f>
        <v>2580.87</v>
      </c>
      <c r="CR168">
        <f>AD168*BB168</f>
        <v>77.366249999999994</v>
      </c>
      <c r="CS168">
        <f t="shared" ref="CS168:CX171" si="181">AE168</f>
        <v>26.306249999999999</v>
      </c>
      <c r="CT168">
        <f t="shared" si="181"/>
        <v>1522.6736000000001</v>
      </c>
      <c r="CU168">
        <f t="shared" si="181"/>
        <v>0</v>
      </c>
      <c r="CV168">
        <f t="shared" si="181"/>
        <v>171.85887499999998</v>
      </c>
      <c r="CW168">
        <f t="shared" si="181"/>
        <v>2.0699999999999998</v>
      </c>
      <c r="CX168">
        <f t="shared" si="181"/>
        <v>0</v>
      </c>
      <c r="CY168">
        <f>(((S168+R168)*AT168)/100)</f>
        <v>1862.4960000000001</v>
      </c>
      <c r="CZ168">
        <f>(((S168+R168)*AU168)/100)</f>
        <v>861.92175999999995</v>
      </c>
      <c r="DC168" t="s">
        <v>6</v>
      </c>
      <c r="DD168" t="s">
        <v>6</v>
      </c>
      <c r="DE168" t="s">
        <v>126</v>
      </c>
      <c r="DF168" t="s">
        <v>126</v>
      </c>
      <c r="DG168" t="s">
        <v>127</v>
      </c>
      <c r="DH168" t="s">
        <v>6</v>
      </c>
      <c r="DI168" t="s">
        <v>127</v>
      </c>
      <c r="DJ168" t="s">
        <v>126</v>
      </c>
      <c r="DK168" t="s">
        <v>6</v>
      </c>
      <c r="DL168" t="s">
        <v>6</v>
      </c>
      <c r="DM168" t="s">
        <v>6</v>
      </c>
      <c r="DN168">
        <v>0</v>
      </c>
      <c r="DO168">
        <v>0</v>
      </c>
      <c r="DP168">
        <v>1</v>
      </c>
      <c r="DQ168">
        <v>1</v>
      </c>
      <c r="DU168">
        <v>1013</v>
      </c>
      <c r="DV168" t="s">
        <v>172</v>
      </c>
      <c r="DW168" t="s">
        <v>172</v>
      </c>
      <c r="DX168">
        <v>1</v>
      </c>
      <c r="DZ168" t="s">
        <v>6</v>
      </c>
      <c r="EA168" t="s">
        <v>6</v>
      </c>
      <c r="EB168" t="s">
        <v>6</v>
      </c>
      <c r="EC168" t="s">
        <v>6</v>
      </c>
      <c r="EE168">
        <v>30852936</v>
      </c>
      <c r="EF168">
        <v>2</v>
      </c>
      <c r="EG168" t="s">
        <v>26</v>
      </c>
      <c r="EH168">
        <v>0</v>
      </c>
      <c r="EI168" t="s">
        <v>6</v>
      </c>
      <c r="EJ168">
        <v>1</v>
      </c>
      <c r="EK168">
        <v>15001</v>
      </c>
      <c r="EL168" t="s">
        <v>128</v>
      </c>
      <c r="EM168" t="s">
        <v>129</v>
      </c>
      <c r="EO168" t="s">
        <v>6</v>
      </c>
      <c r="EQ168">
        <v>131072</v>
      </c>
      <c r="ER168">
        <v>3786.05</v>
      </c>
      <c r="ES168">
        <v>2580.87</v>
      </c>
      <c r="ET168">
        <v>53.82</v>
      </c>
      <c r="EU168">
        <v>18.3</v>
      </c>
      <c r="EV168">
        <v>1151.3599999999999</v>
      </c>
      <c r="EW168">
        <v>129.94999999999999</v>
      </c>
      <c r="EX168">
        <v>1.44</v>
      </c>
      <c r="EY168">
        <v>0</v>
      </c>
      <c r="FQ168">
        <v>0</v>
      </c>
      <c r="FR168">
        <f>ROUND(IF(AND(BH168=3,BI168=3),P168,0),2)</f>
        <v>0</v>
      </c>
      <c r="FS168">
        <v>0</v>
      </c>
      <c r="FT168" t="s">
        <v>29</v>
      </c>
      <c r="FU168" t="s">
        <v>30</v>
      </c>
      <c r="FX168">
        <v>90</v>
      </c>
      <c r="FY168">
        <v>41.65</v>
      </c>
      <c r="GA168" t="s">
        <v>6</v>
      </c>
      <c r="GD168">
        <v>1</v>
      </c>
      <c r="GF168">
        <v>-1692303622</v>
      </c>
      <c r="GG168">
        <v>2</v>
      </c>
      <c r="GH168">
        <v>1</v>
      </c>
      <c r="GI168">
        <v>4</v>
      </c>
      <c r="GJ168">
        <v>0</v>
      </c>
      <c r="GK168">
        <v>0</v>
      </c>
      <c r="GL168">
        <f>ROUND(IF(AND(BH168=3,BI168=3,FS168&lt;&gt;0),P168,0),2)</f>
        <v>0</v>
      </c>
      <c r="GM168">
        <f>ROUND(O168+X168+Y168,2)+GX168</f>
        <v>8310.11</v>
      </c>
      <c r="GN168">
        <f>IF(OR(BI168=0,BI168=1),ROUND(O168+X168+Y168,2),0)</f>
        <v>8310.11</v>
      </c>
      <c r="GO168">
        <f>IF(BI168=2,ROUND(O168+X168+Y168,2),0)</f>
        <v>0</v>
      </c>
      <c r="GP168">
        <f>IF(BI168=4,ROUND(O168+X168+Y168,2)+GX168,0)</f>
        <v>0</v>
      </c>
      <c r="GR168">
        <v>0</v>
      </c>
      <c r="GS168">
        <v>0</v>
      </c>
      <c r="GT168">
        <v>0</v>
      </c>
      <c r="GU168" t="s">
        <v>6</v>
      </c>
      <c r="GV168">
        <f>ROUND((GT168),6)</f>
        <v>0</v>
      </c>
      <c r="GW168">
        <v>1</v>
      </c>
      <c r="GX168">
        <f>ROUND(HC168*I168,2)</f>
        <v>0</v>
      </c>
      <c r="HA168">
        <v>0</v>
      </c>
      <c r="HB168">
        <v>0</v>
      </c>
      <c r="HC168">
        <f>GV168*GW168</f>
        <v>0</v>
      </c>
      <c r="HE168" t="s">
        <v>6</v>
      </c>
      <c r="HF168" t="s">
        <v>6</v>
      </c>
      <c r="HI168">
        <f>ROUND(R168*BS168,0)</f>
        <v>851</v>
      </c>
      <c r="HJ168">
        <f>ROUND(S168*BA168,0)</f>
        <v>49271</v>
      </c>
      <c r="HK168">
        <f>ROUND((((HJ168+HI168)*AT168)/100),0)</f>
        <v>45110</v>
      </c>
      <c r="HL168">
        <f>ROUND((((HJ168+HI168)*AU168)/100),0)</f>
        <v>20876</v>
      </c>
      <c r="HM168" t="s">
        <v>6</v>
      </c>
      <c r="HN168" t="s">
        <v>6</v>
      </c>
      <c r="HO168" t="s">
        <v>6</v>
      </c>
      <c r="HP168" t="s">
        <v>6</v>
      </c>
      <c r="HQ168" t="s">
        <v>6</v>
      </c>
      <c r="IK168">
        <v>0</v>
      </c>
    </row>
    <row r="169" spans="1:245">
      <c r="A169">
        <v>17</v>
      </c>
      <c r="B169">
        <v>1</v>
      </c>
      <c r="C169">
        <f>ROW(SmtRes!A325)</f>
        <v>325</v>
      </c>
      <c r="D169">
        <f>ROW(EtalonRes!A349)</f>
        <v>349</v>
      </c>
      <c r="E169" t="s">
        <v>380</v>
      </c>
      <c r="F169" t="s">
        <v>341</v>
      </c>
      <c r="G169" t="s">
        <v>342</v>
      </c>
      <c r="H169" t="s">
        <v>124</v>
      </c>
      <c r="I169">
        <f>ROUND(11.2*4/100,7)</f>
        <v>0.44800000000000001</v>
      </c>
      <c r="J169">
        <v>0</v>
      </c>
      <c r="K169">
        <f>ROUND(11.2*4/100,7)</f>
        <v>0.44800000000000001</v>
      </c>
      <c r="O169">
        <f>ROUND(CP169,2)</f>
        <v>252.93</v>
      </c>
      <c r="P169">
        <f>ROUND(CQ169*I169,2)</f>
        <v>185.75</v>
      </c>
      <c r="Q169">
        <f>ROUND(CR169*I169,2)</f>
        <v>1.97</v>
      </c>
      <c r="R169">
        <f>ROUND(CS169*I169,2)</f>
        <v>0.08</v>
      </c>
      <c r="S169">
        <f>ROUND(CT169*I169,2)</f>
        <v>65.209999999999994</v>
      </c>
      <c r="T169">
        <f>ROUND(CU169*I169,2)</f>
        <v>0</v>
      </c>
      <c r="U169">
        <f>CV169*I169</f>
        <v>7.1038352000000007</v>
      </c>
      <c r="V169">
        <f>CW169*I169</f>
        <v>6.4400000000000004E-3</v>
      </c>
      <c r="W169">
        <f>ROUND(CX169*I169,2)</f>
        <v>0</v>
      </c>
      <c r="X169">
        <f t="shared" si="180"/>
        <v>58.76</v>
      </c>
      <c r="Y169">
        <f t="shared" si="180"/>
        <v>27.19</v>
      </c>
      <c r="AA169">
        <v>31028412</v>
      </c>
      <c r="AB169">
        <f>ROUND((AC169+AD169+AF169),6)</f>
        <v>564.576325</v>
      </c>
      <c r="AC169">
        <f>ROUND((ES169),6)</f>
        <v>414.61</v>
      </c>
      <c r="AD169">
        <f>ROUND(((((ET169*ROUND((1.25*1.15),7)))-((EU169*ROUND((1.25*1.15),7))))+AE169),6)</f>
        <v>4.3987499999999997</v>
      </c>
      <c r="AE169">
        <f>ROUND(((EU169*ROUND((1.25*1.15),7))),6)</f>
        <v>0.18687500000000001</v>
      </c>
      <c r="AF169">
        <f>ROUND(((EV169*ROUND((1.15*1.15),7))),6)</f>
        <v>145.56757500000001</v>
      </c>
      <c r="AG169">
        <f>ROUND((AP169),6)</f>
        <v>0</v>
      </c>
      <c r="AH169">
        <f>((EW169*ROUND((1.15*1.15),7)))</f>
        <v>15.856775000000001</v>
      </c>
      <c r="AI169">
        <f>((EX169*ROUND((1.25*1.15),7)))</f>
        <v>1.4375000000000001E-2</v>
      </c>
      <c r="AJ169">
        <f>(AS169)</f>
        <v>0</v>
      </c>
      <c r="AK169">
        <v>527.74</v>
      </c>
      <c r="AL169">
        <v>414.61</v>
      </c>
      <c r="AM169">
        <v>3.06</v>
      </c>
      <c r="AN169">
        <v>0.13</v>
      </c>
      <c r="AO169">
        <v>110.07</v>
      </c>
      <c r="AP169">
        <v>0</v>
      </c>
      <c r="AQ169">
        <v>11.99</v>
      </c>
      <c r="AR169">
        <v>0.01</v>
      </c>
      <c r="AS169">
        <v>0</v>
      </c>
      <c r="AT169">
        <v>90</v>
      </c>
      <c r="AU169">
        <v>41.65</v>
      </c>
      <c r="AV169">
        <v>1</v>
      </c>
      <c r="AW169">
        <v>1</v>
      </c>
      <c r="AZ169">
        <v>1</v>
      </c>
      <c r="BA169">
        <v>24.22</v>
      </c>
      <c r="BB169">
        <v>1</v>
      </c>
      <c r="BC169">
        <v>1</v>
      </c>
      <c r="BD169" t="s">
        <v>6</v>
      </c>
      <c r="BE169" t="s">
        <v>6</v>
      </c>
      <c r="BF169" t="s">
        <v>6</v>
      </c>
      <c r="BG169" t="s">
        <v>6</v>
      </c>
      <c r="BH169">
        <v>0</v>
      </c>
      <c r="BI169">
        <v>1</v>
      </c>
      <c r="BJ169" t="s">
        <v>343</v>
      </c>
      <c r="BM169">
        <v>15001</v>
      </c>
      <c r="BN169">
        <v>0</v>
      </c>
      <c r="BO169" t="s">
        <v>1327</v>
      </c>
      <c r="BP169">
        <v>1</v>
      </c>
      <c r="BQ169">
        <v>2</v>
      </c>
      <c r="BR169">
        <v>0</v>
      </c>
      <c r="BS169">
        <v>24.22</v>
      </c>
      <c r="BT169">
        <v>1</v>
      </c>
      <c r="BU169">
        <v>1</v>
      </c>
      <c r="BV169">
        <v>1</v>
      </c>
      <c r="BW169">
        <v>1</v>
      </c>
      <c r="BX169">
        <v>1</v>
      </c>
      <c r="BY169" t="s">
        <v>6</v>
      </c>
      <c r="BZ169">
        <v>100</v>
      </c>
      <c r="CA169">
        <v>49</v>
      </c>
      <c r="CB169" t="s">
        <v>6</v>
      </c>
      <c r="CE169">
        <v>0</v>
      </c>
      <c r="CF169">
        <v>0</v>
      </c>
      <c r="CG169">
        <v>0</v>
      </c>
      <c r="CM169">
        <v>0</v>
      </c>
      <c r="CN169" t="s">
        <v>6</v>
      </c>
      <c r="CO169">
        <v>0</v>
      </c>
      <c r="CP169">
        <f>(P169+Q169+S169)</f>
        <v>252.93</v>
      </c>
      <c r="CQ169">
        <f>AC169*BC169</f>
        <v>414.61</v>
      </c>
      <c r="CR169">
        <f>AD169*BB169</f>
        <v>4.3987499999999997</v>
      </c>
      <c r="CS169">
        <f t="shared" si="181"/>
        <v>0.18687500000000001</v>
      </c>
      <c r="CT169">
        <f t="shared" si="181"/>
        <v>145.56757500000001</v>
      </c>
      <c r="CU169">
        <f t="shared" si="181"/>
        <v>0</v>
      </c>
      <c r="CV169">
        <f t="shared" si="181"/>
        <v>15.856775000000001</v>
      </c>
      <c r="CW169">
        <f t="shared" si="181"/>
        <v>1.4375000000000001E-2</v>
      </c>
      <c r="CX169">
        <f t="shared" si="181"/>
        <v>0</v>
      </c>
      <c r="CY169">
        <f>(((S169+R169)*AT169)/100)</f>
        <v>58.760999999999996</v>
      </c>
      <c r="CZ169">
        <f>(((S169+R169)*AU169)/100)</f>
        <v>27.193284999999996</v>
      </c>
      <c r="DC169" t="s">
        <v>6</v>
      </c>
      <c r="DD169" t="s">
        <v>6</v>
      </c>
      <c r="DE169" t="s">
        <v>126</v>
      </c>
      <c r="DF169" t="s">
        <v>126</v>
      </c>
      <c r="DG169" t="s">
        <v>127</v>
      </c>
      <c r="DH169" t="s">
        <v>6</v>
      </c>
      <c r="DI169" t="s">
        <v>127</v>
      </c>
      <c r="DJ169" t="s">
        <v>126</v>
      </c>
      <c r="DK169" t="s">
        <v>6</v>
      </c>
      <c r="DL169" t="s">
        <v>6</v>
      </c>
      <c r="DM169" t="s">
        <v>6</v>
      </c>
      <c r="DN169">
        <v>0</v>
      </c>
      <c r="DO169">
        <v>0</v>
      </c>
      <c r="DP169">
        <v>1</v>
      </c>
      <c r="DQ169">
        <v>1</v>
      </c>
      <c r="DU169">
        <v>1005</v>
      </c>
      <c r="DV169" t="s">
        <v>124</v>
      </c>
      <c r="DW169" t="s">
        <v>124</v>
      </c>
      <c r="DX169">
        <v>100</v>
      </c>
      <c r="DZ169" t="s">
        <v>6</v>
      </c>
      <c r="EA169" t="s">
        <v>6</v>
      </c>
      <c r="EB169" t="s">
        <v>6</v>
      </c>
      <c r="EC169" t="s">
        <v>6</v>
      </c>
      <c r="EE169">
        <v>30852936</v>
      </c>
      <c r="EF169">
        <v>2</v>
      </c>
      <c r="EG169" t="s">
        <v>26</v>
      </c>
      <c r="EH169">
        <v>0</v>
      </c>
      <c r="EI169" t="s">
        <v>6</v>
      </c>
      <c r="EJ169">
        <v>1</v>
      </c>
      <c r="EK169">
        <v>15001</v>
      </c>
      <c r="EL169" t="s">
        <v>128</v>
      </c>
      <c r="EM169" t="s">
        <v>129</v>
      </c>
      <c r="EO169" t="s">
        <v>6</v>
      </c>
      <c r="EQ169">
        <v>131072</v>
      </c>
      <c r="ER169">
        <v>527.74</v>
      </c>
      <c r="ES169">
        <v>414.61</v>
      </c>
      <c r="ET169">
        <v>3.06</v>
      </c>
      <c r="EU169">
        <v>0.13</v>
      </c>
      <c r="EV169">
        <v>110.07</v>
      </c>
      <c r="EW169">
        <v>11.99</v>
      </c>
      <c r="EX169">
        <v>0.01</v>
      </c>
      <c r="EY169">
        <v>0</v>
      </c>
      <c r="FQ169">
        <v>0</v>
      </c>
      <c r="FR169">
        <f>ROUND(IF(AND(BH169=3,BI169=3),P169,0),2)</f>
        <v>0</v>
      </c>
      <c r="FS169">
        <v>0</v>
      </c>
      <c r="FT169" t="s">
        <v>29</v>
      </c>
      <c r="FU169" t="s">
        <v>30</v>
      </c>
      <c r="FX169">
        <v>90</v>
      </c>
      <c r="FY169">
        <v>41.65</v>
      </c>
      <c r="GA169" t="s">
        <v>6</v>
      </c>
      <c r="GD169">
        <v>1</v>
      </c>
      <c r="GF169">
        <v>-1641234498</v>
      </c>
      <c r="GG169">
        <v>2</v>
      </c>
      <c r="GH169">
        <v>1</v>
      </c>
      <c r="GI169">
        <v>4</v>
      </c>
      <c r="GJ169">
        <v>0</v>
      </c>
      <c r="GK169">
        <v>0</v>
      </c>
      <c r="GL169">
        <f>ROUND(IF(AND(BH169=3,BI169=3,FS169&lt;&gt;0),P169,0),2)</f>
        <v>0</v>
      </c>
      <c r="GM169">
        <f>ROUND(O169+X169+Y169,2)+GX169</f>
        <v>338.88</v>
      </c>
      <c r="GN169">
        <f>IF(OR(BI169=0,BI169=1),ROUND(O169+X169+Y169,2),0)</f>
        <v>338.88</v>
      </c>
      <c r="GO169">
        <f>IF(BI169=2,ROUND(O169+X169+Y169,2),0)</f>
        <v>0</v>
      </c>
      <c r="GP169">
        <f>IF(BI169=4,ROUND(O169+X169+Y169,2)+GX169,0)</f>
        <v>0</v>
      </c>
      <c r="GR169">
        <v>0</v>
      </c>
      <c r="GS169">
        <v>3</v>
      </c>
      <c r="GT169">
        <v>0</v>
      </c>
      <c r="GU169" t="s">
        <v>6</v>
      </c>
      <c r="GV169">
        <f>ROUND((GT169),6)</f>
        <v>0</v>
      </c>
      <c r="GW169">
        <v>1</v>
      </c>
      <c r="GX169">
        <f>ROUND(HC169*I169,2)</f>
        <v>0</v>
      </c>
      <c r="HA169">
        <v>0</v>
      </c>
      <c r="HB169">
        <v>0</v>
      </c>
      <c r="HC169">
        <f>GV169*GW169</f>
        <v>0</v>
      </c>
      <c r="HE169" t="s">
        <v>6</v>
      </c>
      <c r="HF169" t="s">
        <v>6</v>
      </c>
      <c r="HI169">
        <f>ROUND(R169*BS169,0)</f>
        <v>2</v>
      </c>
      <c r="HJ169">
        <f>ROUND(S169*BA169,0)</f>
        <v>1579</v>
      </c>
      <c r="HK169">
        <f>ROUND((((HJ169+HI169)*AT169)/100),0)</f>
        <v>1423</v>
      </c>
      <c r="HL169">
        <f>ROUND((((HJ169+HI169)*AU169)/100),0)</f>
        <v>658</v>
      </c>
      <c r="HM169" t="s">
        <v>6</v>
      </c>
      <c r="HN169" t="s">
        <v>6</v>
      </c>
      <c r="HO169" t="s">
        <v>6</v>
      </c>
      <c r="HP169" t="s">
        <v>6</v>
      </c>
      <c r="HQ169" t="s">
        <v>6</v>
      </c>
      <c r="IK169">
        <v>0</v>
      </c>
    </row>
    <row r="170" spans="1:245">
      <c r="A170">
        <v>17</v>
      </c>
      <c r="B170">
        <v>1</v>
      </c>
      <c r="C170">
        <f>ROW(SmtRes!A335)</f>
        <v>335</v>
      </c>
      <c r="D170">
        <f>ROW(EtalonRes!A359)</f>
        <v>359</v>
      </c>
      <c r="E170" t="s">
        <v>381</v>
      </c>
      <c r="F170" t="s">
        <v>373</v>
      </c>
      <c r="G170" t="s">
        <v>374</v>
      </c>
      <c r="H170" t="s">
        <v>375</v>
      </c>
      <c r="I170">
        <f>ROUND(22.2*4/100,7)</f>
        <v>0.88800000000000001</v>
      </c>
      <c r="J170">
        <v>0</v>
      </c>
      <c r="K170">
        <f>ROUND(22.2*4/100,7)</f>
        <v>0.88800000000000001</v>
      </c>
      <c r="O170">
        <f>ROUND(CP170,2)</f>
        <v>10143.01</v>
      </c>
      <c r="P170">
        <f>ROUND(CQ170*I170,2)</f>
        <v>8441.02</v>
      </c>
      <c r="Q170">
        <f>ROUND(CR170*I170,2)</f>
        <v>40.619999999999997</v>
      </c>
      <c r="R170">
        <f>ROUND(CS170*I170,2)</f>
        <v>21.59</v>
      </c>
      <c r="S170">
        <f>ROUND(CT170*I170,2)</f>
        <v>1661.37</v>
      </c>
      <c r="T170">
        <f>ROUND(CU170*I170,2)</f>
        <v>0</v>
      </c>
      <c r="U170">
        <f>CV170*I170</f>
        <v>187.51325459999998</v>
      </c>
      <c r="V170">
        <f>CW170*I170</f>
        <v>2.1062249999999998</v>
      </c>
      <c r="W170">
        <f>ROUND(CX170*I170,2)</f>
        <v>0</v>
      </c>
      <c r="X170">
        <f t="shared" si="180"/>
        <v>1514.66</v>
      </c>
      <c r="Y170">
        <f t="shared" si="180"/>
        <v>700.95</v>
      </c>
      <c r="AA170">
        <v>31028412</v>
      </c>
      <c r="AB170">
        <f>ROUND((AC170+AD170+AF170),6)</f>
        <v>11422.305549999999</v>
      </c>
      <c r="AC170">
        <f>ROUND((ES170),6)</f>
        <v>9505.65</v>
      </c>
      <c r="AD170">
        <f>ROUND(((((ET170*ROUND((1.25*1.15),7)))-((EU170*ROUND((1.25*1.15),7))))+AE170),6)</f>
        <v>45.741250000000001</v>
      </c>
      <c r="AE170">
        <f>ROUND(((EU170*ROUND((1.25*1.15),7))),6)</f>
        <v>24.308125</v>
      </c>
      <c r="AF170">
        <f>ROUND(((EV170*ROUND((1.15*1.15),7))),6)</f>
        <v>1870.9142999999999</v>
      </c>
      <c r="AG170">
        <f>ROUND((AP170),6)</f>
        <v>0</v>
      </c>
      <c r="AH170">
        <f>((EW170*ROUND((1.15*1.15),7)))</f>
        <v>211.16357499999998</v>
      </c>
      <c r="AI170">
        <f>((EX170*ROUND((1.25*1.15),7)))</f>
        <v>2.3718749999999997</v>
      </c>
      <c r="AJ170">
        <f>(AS170)</f>
        <v>0</v>
      </c>
      <c r="AK170">
        <v>10952.15</v>
      </c>
      <c r="AL170">
        <v>9505.65</v>
      </c>
      <c r="AM170">
        <v>31.82</v>
      </c>
      <c r="AN170">
        <v>16.91</v>
      </c>
      <c r="AO170">
        <v>1414.68</v>
      </c>
      <c r="AP170">
        <v>0</v>
      </c>
      <c r="AQ170">
        <v>159.66999999999999</v>
      </c>
      <c r="AR170">
        <v>1.65</v>
      </c>
      <c r="AS170">
        <v>0</v>
      </c>
      <c r="AT170">
        <v>90</v>
      </c>
      <c r="AU170">
        <v>41.65</v>
      </c>
      <c r="AV170">
        <v>1</v>
      </c>
      <c r="AW170">
        <v>1</v>
      </c>
      <c r="AZ170">
        <v>1</v>
      </c>
      <c r="BA170">
        <v>24.22</v>
      </c>
      <c r="BB170">
        <v>1</v>
      </c>
      <c r="BC170">
        <v>1</v>
      </c>
      <c r="BD170" t="s">
        <v>6</v>
      </c>
      <c r="BE170" t="s">
        <v>6</v>
      </c>
      <c r="BF170" t="s">
        <v>6</v>
      </c>
      <c r="BG170" t="s">
        <v>6</v>
      </c>
      <c r="BH170">
        <v>0</v>
      </c>
      <c r="BI170">
        <v>1</v>
      </c>
      <c r="BJ170" t="s">
        <v>376</v>
      </c>
      <c r="BM170">
        <v>15001</v>
      </c>
      <c r="BN170">
        <v>0</v>
      </c>
      <c r="BO170" t="s">
        <v>1327</v>
      </c>
      <c r="BP170">
        <v>1</v>
      </c>
      <c r="BQ170">
        <v>2</v>
      </c>
      <c r="BR170">
        <v>0</v>
      </c>
      <c r="BS170">
        <v>24.22</v>
      </c>
      <c r="BT170">
        <v>1</v>
      </c>
      <c r="BU170">
        <v>1</v>
      </c>
      <c r="BV170">
        <v>1</v>
      </c>
      <c r="BW170">
        <v>1</v>
      </c>
      <c r="BX170">
        <v>1</v>
      </c>
      <c r="BY170" t="s">
        <v>6</v>
      </c>
      <c r="BZ170">
        <v>100</v>
      </c>
      <c r="CA170">
        <v>49</v>
      </c>
      <c r="CB170" t="s">
        <v>6</v>
      </c>
      <c r="CE170">
        <v>0</v>
      </c>
      <c r="CF170">
        <v>0</v>
      </c>
      <c r="CG170">
        <v>0</v>
      </c>
      <c r="CM170">
        <v>0</v>
      </c>
      <c r="CN170" t="s">
        <v>6</v>
      </c>
      <c r="CO170">
        <v>0</v>
      </c>
      <c r="CP170">
        <f>(P170+Q170+S170)</f>
        <v>10143.010000000002</v>
      </c>
      <c r="CQ170">
        <f>AC170*BC170</f>
        <v>9505.65</v>
      </c>
      <c r="CR170">
        <f>AD170*BB170</f>
        <v>45.741250000000001</v>
      </c>
      <c r="CS170">
        <f t="shared" si="181"/>
        <v>24.308125</v>
      </c>
      <c r="CT170">
        <f t="shared" si="181"/>
        <v>1870.9142999999999</v>
      </c>
      <c r="CU170">
        <f t="shared" si="181"/>
        <v>0</v>
      </c>
      <c r="CV170">
        <f t="shared" si="181"/>
        <v>211.16357499999998</v>
      </c>
      <c r="CW170">
        <f t="shared" si="181"/>
        <v>2.3718749999999997</v>
      </c>
      <c r="CX170">
        <f t="shared" si="181"/>
        <v>0</v>
      </c>
      <c r="CY170">
        <f>(((S170+R170)*AT170)/100)</f>
        <v>1514.664</v>
      </c>
      <c r="CZ170">
        <f>(((S170+R170)*AU170)/100)</f>
        <v>700.95283999999981</v>
      </c>
      <c r="DC170" t="s">
        <v>6</v>
      </c>
      <c r="DD170" t="s">
        <v>6</v>
      </c>
      <c r="DE170" t="s">
        <v>126</v>
      </c>
      <c r="DF170" t="s">
        <v>126</v>
      </c>
      <c r="DG170" t="s">
        <v>127</v>
      </c>
      <c r="DH170" t="s">
        <v>6</v>
      </c>
      <c r="DI170" t="s">
        <v>127</v>
      </c>
      <c r="DJ170" t="s">
        <v>126</v>
      </c>
      <c r="DK170" t="s">
        <v>6</v>
      </c>
      <c r="DL170" t="s">
        <v>6</v>
      </c>
      <c r="DM170" t="s">
        <v>6</v>
      </c>
      <c r="DN170">
        <v>0</v>
      </c>
      <c r="DO170">
        <v>0</v>
      </c>
      <c r="DP170">
        <v>1</v>
      </c>
      <c r="DQ170">
        <v>1</v>
      </c>
      <c r="DU170">
        <v>1013</v>
      </c>
      <c r="DV170" t="s">
        <v>375</v>
      </c>
      <c r="DW170" t="s">
        <v>375</v>
      </c>
      <c r="DX170">
        <v>1</v>
      </c>
      <c r="DZ170" t="s">
        <v>6</v>
      </c>
      <c r="EA170" t="s">
        <v>6</v>
      </c>
      <c r="EB170" t="s">
        <v>6</v>
      </c>
      <c r="EC170" t="s">
        <v>6</v>
      </c>
      <c r="EE170">
        <v>30852936</v>
      </c>
      <c r="EF170">
        <v>2</v>
      </c>
      <c r="EG170" t="s">
        <v>26</v>
      </c>
      <c r="EH170">
        <v>0</v>
      </c>
      <c r="EI170" t="s">
        <v>6</v>
      </c>
      <c r="EJ170">
        <v>1</v>
      </c>
      <c r="EK170">
        <v>15001</v>
      </c>
      <c r="EL170" t="s">
        <v>128</v>
      </c>
      <c r="EM170" t="s">
        <v>129</v>
      </c>
      <c r="EO170" t="s">
        <v>6</v>
      </c>
      <c r="EQ170">
        <v>131072</v>
      </c>
      <c r="ER170">
        <v>10952.15</v>
      </c>
      <c r="ES170">
        <v>9505.65</v>
      </c>
      <c r="ET170">
        <v>31.82</v>
      </c>
      <c r="EU170">
        <v>16.91</v>
      </c>
      <c r="EV170">
        <v>1414.68</v>
      </c>
      <c r="EW170">
        <v>159.66999999999999</v>
      </c>
      <c r="EX170">
        <v>1.65</v>
      </c>
      <c r="EY170">
        <v>0</v>
      </c>
      <c r="FQ170">
        <v>0</v>
      </c>
      <c r="FR170">
        <f>ROUND(IF(AND(BH170=3,BI170=3),P170,0),2)</f>
        <v>0</v>
      </c>
      <c r="FS170">
        <v>0</v>
      </c>
      <c r="FT170" t="s">
        <v>29</v>
      </c>
      <c r="FU170" t="s">
        <v>30</v>
      </c>
      <c r="FX170">
        <v>90</v>
      </c>
      <c r="FY170">
        <v>41.65</v>
      </c>
      <c r="GA170" t="s">
        <v>6</v>
      </c>
      <c r="GD170">
        <v>1</v>
      </c>
      <c r="GF170">
        <v>262240231</v>
      </c>
      <c r="GG170">
        <v>2</v>
      </c>
      <c r="GH170">
        <v>1</v>
      </c>
      <c r="GI170">
        <v>4</v>
      </c>
      <c r="GJ170">
        <v>0</v>
      </c>
      <c r="GK170">
        <v>0</v>
      </c>
      <c r="GL170">
        <f>ROUND(IF(AND(BH170=3,BI170=3,FS170&lt;&gt;0),P170,0),2)</f>
        <v>0</v>
      </c>
      <c r="GM170">
        <f>ROUND(O170+X170+Y170,2)+GX170</f>
        <v>12358.62</v>
      </c>
      <c r="GN170">
        <f>IF(OR(BI170=0,BI170=1),ROUND(O170+X170+Y170,2),0)</f>
        <v>12358.62</v>
      </c>
      <c r="GO170">
        <f>IF(BI170=2,ROUND(O170+X170+Y170,2),0)</f>
        <v>0</v>
      </c>
      <c r="GP170">
        <f>IF(BI170=4,ROUND(O170+X170+Y170,2)+GX170,0)</f>
        <v>0</v>
      </c>
      <c r="GR170">
        <v>0</v>
      </c>
      <c r="GS170">
        <v>3</v>
      </c>
      <c r="GT170">
        <v>0</v>
      </c>
      <c r="GU170" t="s">
        <v>6</v>
      </c>
      <c r="GV170">
        <f>ROUND((GT170),6)</f>
        <v>0</v>
      </c>
      <c r="GW170">
        <v>1</v>
      </c>
      <c r="GX170">
        <f>ROUND(HC170*I170,2)</f>
        <v>0</v>
      </c>
      <c r="HA170">
        <v>0</v>
      </c>
      <c r="HB170">
        <v>0</v>
      </c>
      <c r="HC170">
        <f>GV170*GW170</f>
        <v>0</v>
      </c>
      <c r="HE170" t="s">
        <v>6</v>
      </c>
      <c r="HF170" t="s">
        <v>6</v>
      </c>
      <c r="HI170">
        <f>ROUND(R170*BS170,0)</f>
        <v>523</v>
      </c>
      <c r="HJ170">
        <f>ROUND(S170*BA170,0)</f>
        <v>40238</v>
      </c>
      <c r="HK170">
        <f>ROUND((((HJ170+HI170)*AT170)/100),0)</f>
        <v>36685</v>
      </c>
      <c r="HL170">
        <f>ROUND((((HJ170+HI170)*AU170)/100),0)</f>
        <v>16977</v>
      </c>
      <c r="HM170" t="s">
        <v>6</v>
      </c>
      <c r="HN170" t="s">
        <v>6</v>
      </c>
      <c r="HO170" t="s">
        <v>6</v>
      </c>
      <c r="HP170" t="s">
        <v>6</v>
      </c>
      <c r="HQ170" t="s">
        <v>6</v>
      </c>
      <c r="IK170">
        <v>0</v>
      </c>
    </row>
    <row r="171" spans="1:245">
      <c r="A171">
        <v>17</v>
      </c>
      <c r="B171">
        <v>1</v>
      </c>
      <c r="C171">
        <f>ROW(SmtRes!A343)</f>
        <v>343</v>
      </c>
      <c r="D171">
        <f>ROW(EtalonRes!A367)</f>
        <v>367</v>
      </c>
      <c r="E171" t="s">
        <v>382</v>
      </c>
      <c r="F171" t="s">
        <v>345</v>
      </c>
      <c r="G171" t="s">
        <v>346</v>
      </c>
      <c r="H171" t="s">
        <v>124</v>
      </c>
      <c r="I171">
        <f>ROUND(44.8/100,7)</f>
        <v>0.44800000000000001</v>
      </c>
      <c r="J171">
        <v>0</v>
      </c>
      <c r="K171">
        <f>ROUND(44.8/100,7)</f>
        <v>0.44800000000000001</v>
      </c>
      <c r="O171">
        <f>ROUND(CP171,2)</f>
        <v>1011.49</v>
      </c>
      <c r="P171">
        <f>ROUND(CQ171*I171,2)</f>
        <v>620.67999999999995</v>
      </c>
      <c r="Q171">
        <f>ROUND(CR171*I171,2)</f>
        <v>12.4</v>
      </c>
      <c r="R171">
        <f>ROUND(CS171*I171,2)</f>
        <v>0.25</v>
      </c>
      <c r="S171">
        <f>ROUND(CT171*I171,2)</f>
        <v>378.41</v>
      </c>
      <c r="T171">
        <f>ROUND(CU171*I171,2)</f>
        <v>0</v>
      </c>
      <c r="U171">
        <f>CV171*I171</f>
        <v>40.733000000000004</v>
      </c>
      <c r="V171">
        <f>CW171*I171</f>
        <v>1.932E-2</v>
      </c>
      <c r="W171">
        <f>ROUND(CX171*I171,2)</f>
        <v>0</v>
      </c>
      <c r="X171">
        <f t="shared" si="180"/>
        <v>340.79</v>
      </c>
      <c r="Y171">
        <f t="shared" si="180"/>
        <v>157.71</v>
      </c>
      <c r="AA171">
        <v>31028412</v>
      </c>
      <c r="AB171">
        <f>ROUND((AC171+AD171+AF171),6)</f>
        <v>2257.7793999999999</v>
      </c>
      <c r="AC171">
        <f>ROUND((ES171),6)</f>
        <v>1385.44</v>
      </c>
      <c r="AD171">
        <f>ROUND(((((ET171*ROUND((1.25*1.15),7)))-((EU171*ROUND((1.25*1.15),7))))+AE171),6)</f>
        <v>27.671875</v>
      </c>
      <c r="AE171">
        <f>ROUND(((EU171*ROUND((1.25*1.15),7))),6)</f>
        <v>0.56062500000000004</v>
      </c>
      <c r="AF171">
        <f>ROUND(((EV171*ROUND((1.15*1.15),7))),6)</f>
        <v>844.66752499999996</v>
      </c>
      <c r="AG171">
        <f>ROUND((AP171),6)</f>
        <v>0</v>
      </c>
      <c r="AH171">
        <f>((EW171*ROUND((1.15*1.15),7)))</f>
        <v>90.921875</v>
      </c>
      <c r="AI171">
        <f>((EX171*ROUND((1.25*1.15),7)))</f>
        <v>4.3124999999999997E-2</v>
      </c>
      <c r="AJ171">
        <f>(AS171)</f>
        <v>0</v>
      </c>
      <c r="AK171">
        <v>2043.38</v>
      </c>
      <c r="AL171">
        <v>1385.44</v>
      </c>
      <c r="AM171">
        <v>19.25</v>
      </c>
      <c r="AN171">
        <v>0.39</v>
      </c>
      <c r="AO171">
        <v>638.69000000000005</v>
      </c>
      <c r="AP171">
        <v>0</v>
      </c>
      <c r="AQ171">
        <v>68.75</v>
      </c>
      <c r="AR171">
        <v>0.03</v>
      </c>
      <c r="AS171">
        <v>0</v>
      </c>
      <c r="AT171">
        <v>90</v>
      </c>
      <c r="AU171">
        <v>41.65</v>
      </c>
      <c r="AV171">
        <v>1</v>
      </c>
      <c r="AW171">
        <v>1</v>
      </c>
      <c r="AZ171">
        <v>1</v>
      </c>
      <c r="BA171">
        <v>24.22</v>
      </c>
      <c r="BB171">
        <v>1</v>
      </c>
      <c r="BC171">
        <v>1</v>
      </c>
      <c r="BD171" t="s">
        <v>6</v>
      </c>
      <c r="BE171" t="s">
        <v>6</v>
      </c>
      <c r="BF171" t="s">
        <v>6</v>
      </c>
      <c r="BG171" t="s">
        <v>6</v>
      </c>
      <c r="BH171">
        <v>0</v>
      </c>
      <c r="BI171">
        <v>1</v>
      </c>
      <c r="BJ171" t="s">
        <v>347</v>
      </c>
      <c r="BM171">
        <v>15001</v>
      </c>
      <c r="BN171">
        <v>0</v>
      </c>
      <c r="BO171" t="s">
        <v>1327</v>
      </c>
      <c r="BP171">
        <v>1</v>
      </c>
      <c r="BQ171">
        <v>2</v>
      </c>
      <c r="BR171">
        <v>0</v>
      </c>
      <c r="BS171">
        <v>24.22</v>
      </c>
      <c r="BT171">
        <v>1</v>
      </c>
      <c r="BU171">
        <v>1</v>
      </c>
      <c r="BV171">
        <v>1</v>
      </c>
      <c r="BW171">
        <v>1</v>
      </c>
      <c r="BX171">
        <v>1</v>
      </c>
      <c r="BY171" t="s">
        <v>6</v>
      </c>
      <c r="BZ171">
        <v>100</v>
      </c>
      <c r="CA171">
        <v>49</v>
      </c>
      <c r="CB171" t="s">
        <v>6</v>
      </c>
      <c r="CE171">
        <v>0</v>
      </c>
      <c r="CF171">
        <v>0</v>
      </c>
      <c r="CG171">
        <v>0</v>
      </c>
      <c r="CM171">
        <v>0</v>
      </c>
      <c r="CN171" t="s">
        <v>6</v>
      </c>
      <c r="CO171">
        <v>0</v>
      </c>
      <c r="CP171">
        <f>(P171+Q171+S171)</f>
        <v>1011.49</v>
      </c>
      <c r="CQ171">
        <f>AC171*BC171</f>
        <v>1385.44</v>
      </c>
      <c r="CR171">
        <f>AD171*BB171</f>
        <v>27.671875</v>
      </c>
      <c r="CS171">
        <f t="shared" si="181"/>
        <v>0.56062500000000004</v>
      </c>
      <c r="CT171">
        <f t="shared" si="181"/>
        <v>844.66752499999996</v>
      </c>
      <c r="CU171">
        <f t="shared" si="181"/>
        <v>0</v>
      </c>
      <c r="CV171">
        <f t="shared" si="181"/>
        <v>90.921875</v>
      </c>
      <c r="CW171">
        <f t="shared" si="181"/>
        <v>4.3124999999999997E-2</v>
      </c>
      <c r="CX171">
        <f t="shared" si="181"/>
        <v>0</v>
      </c>
      <c r="CY171">
        <f>(((S171+R171)*AT171)/100)</f>
        <v>340.79400000000004</v>
      </c>
      <c r="CZ171">
        <f>(((S171+R171)*AU171)/100)</f>
        <v>157.71189000000001</v>
      </c>
      <c r="DC171" t="s">
        <v>6</v>
      </c>
      <c r="DD171" t="s">
        <v>6</v>
      </c>
      <c r="DE171" t="s">
        <v>126</v>
      </c>
      <c r="DF171" t="s">
        <v>126</v>
      </c>
      <c r="DG171" t="s">
        <v>127</v>
      </c>
      <c r="DH171" t="s">
        <v>6</v>
      </c>
      <c r="DI171" t="s">
        <v>127</v>
      </c>
      <c r="DJ171" t="s">
        <v>126</v>
      </c>
      <c r="DK171" t="s">
        <v>6</v>
      </c>
      <c r="DL171" t="s">
        <v>6</v>
      </c>
      <c r="DM171" t="s">
        <v>6</v>
      </c>
      <c r="DN171">
        <v>0</v>
      </c>
      <c r="DO171">
        <v>0</v>
      </c>
      <c r="DP171">
        <v>1</v>
      </c>
      <c r="DQ171">
        <v>1</v>
      </c>
      <c r="DU171">
        <v>1005</v>
      </c>
      <c r="DV171" t="s">
        <v>124</v>
      </c>
      <c r="DW171" t="s">
        <v>124</v>
      </c>
      <c r="DX171">
        <v>100</v>
      </c>
      <c r="DZ171" t="s">
        <v>6</v>
      </c>
      <c r="EA171" t="s">
        <v>6</v>
      </c>
      <c r="EB171" t="s">
        <v>6</v>
      </c>
      <c r="EC171" t="s">
        <v>6</v>
      </c>
      <c r="EE171">
        <v>30852936</v>
      </c>
      <c r="EF171">
        <v>2</v>
      </c>
      <c r="EG171" t="s">
        <v>26</v>
      </c>
      <c r="EH171">
        <v>0</v>
      </c>
      <c r="EI171" t="s">
        <v>6</v>
      </c>
      <c r="EJ171">
        <v>1</v>
      </c>
      <c r="EK171">
        <v>15001</v>
      </c>
      <c r="EL171" t="s">
        <v>128</v>
      </c>
      <c r="EM171" t="s">
        <v>129</v>
      </c>
      <c r="EO171" t="s">
        <v>6</v>
      </c>
      <c r="EQ171">
        <v>0</v>
      </c>
      <c r="ER171">
        <v>2043.38</v>
      </c>
      <c r="ES171">
        <v>1385.44</v>
      </c>
      <c r="ET171">
        <v>19.25</v>
      </c>
      <c r="EU171">
        <v>0.39</v>
      </c>
      <c r="EV171">
        <v>638.69000000000005</v>
      </c>
      <c r="EW171">
        <v>68.75</v>
      </c>
      <c r="EX171">
        <v>0.03</v>
      </c>
      <c r="EY171">
        <v>0</v>
      </c>
      <c r="FQ171">
        <v>0</v>
      </c>
      <c r="FR171">
        <f>ROUND(IF(AND(BH171=3,BI171=3),P171,0),2)</f>
        <v>0</v>
      </c>
      <c r="FS171">
        <v>0</v>
      </c>
      <c r="FT171" t="s">
        <v>29</v>
      </c>
      <c r="FU171" t="s">
        <v>30</v>
      </c>
      <c r="FX171">
        <v>90</v>
      </c>
      <c r="FY171">
        <v>41.65</v>
      </c>
      <c r="GA171" t="s">
        <v>6</v>
      </c>
      <c r="GD171">
        <v>1</v>
      </c>
      <c r="GF171">
        <v>-377485160</v>
      </c>
      <c r="GG171">
        <v>2</v>
      </c>
      <c r="GH171">
        <v>1</v>
      </c>
      <c r="GI171">
        <v>4</v>
      </c>
      <c r="GJ171">
        <v>0</v>
      </c>
      <c r="GK171">
        <v>0</v>
      </c>
      <c r="GL171">
        <f>ROUND(IF(AND(BH171=3,BI171=3,FS171&lt;&gt;0),P171,0),2)</f>
        <v>0</v>
      </c>
      <c r="GM171">
        <f>ROUND(O171+X171+Y171,2)+GX171</f>
        <v>1509.99</v>
      </c>
      <c r="GN171">
        <f>IF(OR(BI171=0,BI171=1),ROUND(O171+X171+Y171,2),0)</f>
        <v>1509.99</v>
      </c>
      <c r="GO171">
        <f>IF(BI171=2,ROUND(O171+X171+Y171,2),0)</f>
        <v>0</v>
      </c>
      <c r="GP171">
        <f>IF(BI171=4,ROUND(O171+X171+Y171,2)+GX171,0)</f>
        <v>0</v>
      </c>
      <c r="GR171">
        <v>0</v>
      </c>
      <c r="GS171">
        <v>3</v>
      </c>
      <c r="GT171">
        <v>0</v>
      </c>
      <c r="GU171" t="s">
        <v>6</v>
      </c>
      <c r="GV171">
        <f>ROUND((GT171),6)</f>
        <v>0</v>
      </c>
      <c r="GW171">
        <v>1</v>
      </c>
      <c r="GX171">
        <f>ROUND(HC171*I171,2)</f>
        <v>0</v>
      </c>
      <c r="HA171">
        <v>0</v>
      </c>
      <c r="HB171">
        <v>0</v>
      </c>
      <c r="HC171">
        <f>GV171*GW171</f>
        <v>0</v>
      </c>
      <c r="HE171" t="s">
        <v>6</v>
      </c>
      <c r="HF171" t="s">
        <v>6</v>
      </c>
      <c r="HI171">
        <f>ROUND(R171*BS171,0)</f>
        <v>6</v>
      </c>
      <c r="HJ171">
        <f>ROUND(S171*BA171,0)</f>
        <v>9165</v>
      </c>
      <c r="HK171">
        <f>ROUND((((HJ171+HI171)*AT171)/100),0)</f>
        <v>8254</v>
      </c>
      <c r="HL171">
        <f>ROUND((((HJ171+HI171)*AU171)/100),0)</f>
        <v>3820</v>
      </c>
      <c r="HM171" t="s">
        <v>6</v>
      </c>
      <c r="HN171" t="s">
        <v>6</v>
      </c>
      <c r="HO171" t="s">
        <v>6</v>
      </c>
      <c r="HP171" t="s">
        <v>6</v>
      </c>
      <c r="HQ171" t="s">
        <v>6</v>
      </c>
      <c r="IK171">
        <v>0</v>
      </c>
    </row>
    <row r="172" spans="1:245">
      <c r="A172">
        <v>19</v>
      </c>
      <c r="B172">
        <v>1</v>
      </c>
      <c r="F172" t="s">
        <v>6</v>
      </c>
      <c r="G172" t="s">
        <v>383</v>
      </c>
      <c r="H172" t="s">
        <v>6</v>
      </c>
      <c r="AA172">
        <v>1</v>
      </c>
      <c r="IK172">
        <v>0</v>
      </c>
    </row>
    <row r="173" spans="1:245">
      <c r="A173">
        <v>17</v>
      </c>
      <c r="B173">
        <v>1</v>
      </c>
      <c r="C173">
        <f>ROW(SmtRes!A353)</f>
        <v>353</v>
      </c>
      <c r="D173">
        <f>ROW(EtalonRes!A377)</f>
        <v>377</v>
      </c>
      <c r="E173" t="s">
        <v>384</v>
      </c>
      <c r="F173" t="s">
        <v>337</v>
      </c>
      <c r="G173" t="s">
        <v>338</v>
      </c>
      <c r="H173" t="s">
        <v>172</v>
      </c>
      <c r="I173">
        <f>ROUND(33.5*4/100,7)</f>
        <v>1.34</v>
      </c>
      <c r="J173">
        <v>0</v>
      </c>
      <c r="K173">
        <f>ROUND(33.5*4/100,7)</f>
        <v>1.34</v>
      </c>
      <c r="O173">
        <f t="shared" ref="O173:O180" si="182">ROUND(CP173,2)</f>
        <v>5602.42</v>
      </c>
      <c r="P173">
        <f t="shared" ref="P173:P178" si="183">ROUND(CQ173*I173,2)</f>
        <v>3458.37</v>
      </c>
      <c r="Q173">
        <f t="shared" ref="Q173:Q180" si="184">ROUND(CR173*I173,2)</f>
        <v>103.67</v>
      </c>
      <c r="R173">
        <f t="shared" ref="R173:R180" si="185">ROUND(CS173*I173,2)</f>
        <v>35.25</v>
      </c>
      <c r="S173">
        <f t="shared" ref="S173:S180" si="186">ROUND(CT173*I173,2)</f>
        <v>2040.38</v>
      </c>
      <c r="T173">
        <f t="shared" ref="T173:T180" si="187">ROUND(CU173*I173,2)</f>
        <v>0</v>
      </c>
      <c r="U173">
        <f t="shared" ref="U173:U180" si="188">CV173*I173</f>
        <v>230.29089249999998</v>
      </c>
      <c r="V173">
        <f t="shared" ref="V173:V180" si="189">CW173*I173</f>
        <v>2.7738</v>
      </c>
      <c r="W173">
        <f t="shared" ref="W173:W180" si="190">ROUND(CX173*I173,2)</f>
        <v>0</v>
      </c>
      <c r="X173">
        <f t="shared" ref="X173:Y180" si="191">ROUND(CY173,2)</f>
        <v>1868.07</v>
      </c>
      <c r="Y173">
        <f t="shared" si="191"/>
        <v>864.5</v>
      </c>
      <c r="AA173">
        <v>31028412</v>
      </c>
      <c r="AB173">
        <f t="shared" ref="AB173:AB180" si="192">ROUND((AC173+AD173+AF173),6)</f>
        <v>4180.90985</v>
      </c>
      <c r="AC173">
        <f t="shared" ref="AC173:AC180" si="193">ROUND((ES173),6)</f>
        <v>2580.87</v>
      </c>
      <c r="AD173">
        <f>ROUND(((((ET173*ROUND((1.25*1.15),7)))-((EU173*ROUND((1.25*1.15),7))))+AE173),6)</f>
        <v>77.366249999999994</v>
      </c>
      <c r="AE173">
        <f>ROUND(((EU173*ROUND((1.25*1.15),7))),6)</f>
        <v>26.306249999999999</v>
      </c>
      <c r="AF173">
        <f>ROUND(((EV173*ROUND((1.15*1.15),7))),6)</f>
        <v>1522.6736000000001</v>
      </c>
      <c r="AG173">
        <f t="shared" ref="AG173:AG180" si="194">ROUND((AP173),6)</f>
        <v>0</v>
      </c>
      <c r="AH173">
        <f>((EW173*ROUND((1.15*1.15),7)))</f>
        <v>171.85887499999998</v>
      </c>
      <c r="AI173">
        <f>((EX173*ROUND((1.25*1.15),7)))</f>
        <v>2.0699999999999998</v>
      </c>
      <c r="AJ173">
        <f t="shared" ref="AJ173:AJ180" si="195">(AS173)</f>
        <v>0</v>
      </c>
      <c r="AK173">
        <v>3786.05</v>
      </c>
      <c r="AL173">
        <v>2580.87</v>
      </c>
      <c r="AM173">
        <v>53.82</v>
      </c>
      <c r="AN173">
        <v>18.3</v>
      </c>
      <c r="AO173">
        <v>1151.3599999999999</v>
      </c>
      <c r="AP173">
        <v>0</v>
      </c>
      <c r="AQ173">
        <v>129.94999999999999</v>
      </c>
      <c r="AR173">
        <v>1.44</v>
      </c>
      <c r="AS173">
        <v>0</v>
      </c>
      <c r="AT173">
        <v>90</v>
      </c>
      <c r="AU173">
        <v>41.65</v>
      </c>
      <c r="AV173">
        <v>1</v>
      </c>
      <c r="AW173">
        <v>1</v>
      </c>
      <c r="AZ173">
        <v>1</v>
      </c>
      <c r="BA173">
        <v>24.22</v>
      </c>
      <c r="BB173">
        <v>1</v>
      </c>
      <c r="BC173">
        <v>1</v>
      </c>
      <c r="BD173" t="s">
        <v>6</v>
      </c>
      <c r="BE173" t="s">
        <v>6</v>
      </c>
      <c r="BF173" t="s">
        <v>6</v>
      </c>
      <c r="BG173" t="s">
        <v>6</v>
      </c>
      <c r="BH173">
        <v>0</v>
      </c>
      <c r="BI173">
        <v>1</v>
      </c>
      <c r="BJ173" t="s">
        <v>339</v>
      </c>
      <c r="BM173">
        <v>15001</v>
      </c>
      <c r="BN173">
        <v>0</v>
      </c>
      <c r="BO173" t="s">
        <v>1327</v>
      </c>
      <c r="BP173">
        <v>1</v>
      </c>
      <c r="BQ173">
        <v>2</v>
      </c>
      <c r="BR173">
        <v>0</v>
      </c>
      <c r="BS173">
        <v>24.22</v>
      </c>
      <c r="BT173">
        <v>1</v>
      </c>
      <c r="BU173">
        <v>1</v>
      </c>
      <c r="BV173">
        <v>1</v>
      </c>
      <c r="BW173">
        <v>1</v>
      </c>
      <c r="BX173">
        <v>1</v>
      </c>
      <c r="BY173" t="s">
        <v>6</v>
      </c>
      <c r="BZ173">
        <v>100</v>
      </c>
      <c r="CA173">
        <v>49</v>
      </c>
      <c r="CB173" t="s">
        <v>6</v>
      </c>
      <c r="CE173">
        <v>0</v>
      </c>
      <c r="CF173">
        <v>0</v>
      </c>
      <c r="CG173">
        <v>0</v>
      </c>
      <c r="CM173">
        <v>0</v>
      </c>
      <c r="CN173" t="s">
        <v>6</v>
      </c>
      <c r="CO173">
        <v>0</v>
      </c>
      <c r="CP173">
        <f t="shared" ref="CP173:CP180" si="196">(P173+Q173+S173)</f>
        <v>5602.42</v>
      </c>
      <c r="CQ173">
        <f t="shared" ref="CQ173:CQ178" si="197">AC173*BC173</f>
        <v>2580.87</v>
      </c>
      <c r="CR173">
        <f t="shared" ref="CR173:CR180" si="198">AD173*BB173</f>
        <v>77.366249999999994</v>
      </c>
      <c r="CS173">
        <f t="shared" ref="CS173:CX180" si="199">AE173</f>
        <v>26.306249999999999</v>
      </c>
      <c r="CT173">
        <f t="shared" si="199"/>
        <v>1522.6736000000001</v>
      </c>
      <c r="CU173">
        <f t="shared" si="199"/>
        <v>0</v>
      </c>
      <c r="CV173">
        <f t="shared" si="199"/>
        <v>171.85887499999998</v>
      </c>
      <c r="CW173">
        <f t="shared" si="199"/>
        <v>2.0699999999999998</v>
      </c>
      <c r="CX173">
        <f t="shared" si="199"/>
        <v>0</v>
      </c>
      <c r="CY173">
        <f t="shared" ref="CY173:CY180" si="200">(((S173+R173)*AT173)/100)</f>
        <v>1868.067</v>
      </c>
      <c r="CZ173">
        <f t="shared" ref="CZ173:CZ180" si="201">(((S173+R173)*AU173)/100)</f>
        <v>864.49989499999992</v>
      </c>
      <c r="DC173" t="s">
        <v>6</v>
      </c>
      <c r="DD173" t="s">
        <v>6</v>
      </c>
      <c r="DE173" t="s">
        <v>126</v>
      </c>
      <c r="DF173" t="s">
        <v>126</v>
      </c>
      <c r="DG173" t="s">
        <v>127</v>
      </c>
      <c r="DH173" t="s">
        <v>6</v>
      </c>
      <c r="DI173" t="s">
        <v>127</v>
      </c>
      <c r="DJ173" t="s">
        <v>126</v>
      </c>
      <c r="DK173" t="s">
        <v>6</v>
      </c>
      <c r="DL173" t="s">
        <v>6</v>
      </c>
      <c r="DM173" t="s">
        <v>6</v>
      </c>
      <c r="DN173">
        <v>0</v>
      </c>
      <c r="DO173">
        <v>0</v>
      </c>
      <c r="DP173">
        <v>1</v>
      </c>
      <c r="DQ173">
        <v>1</v>
      </c>
      <c r="DU173">
        <v>1013</v>
      </c>
      <c r="DV173" t="s">
        <v>172</v>
      </c>
      <c r="DW173" t="s">
        <v>172</v>
      </c>
      <c r="DX173">
        <v>1</v>
      </c>
      <c r="DZ173" t="s">
        <v>6</v>
      </c>
      <c r="EA173" t="s">
        <v>6</v>
      </c>
      <c r="EB173" t="s">
        <v>6</v>
      </c>
      <c r="EC173" t="s">
        <v>6</v>
      </c>
      <c r="EE173">
        <v>30852936</v>
      </c>
      <c r="EF173">
        <v>2</v>
      </c>
      <c r="EG173" t="s">
        <v>26</v>
      </c>
      <c r="EH173">
        <v>0</v>
      </c>
      <c r="EI173" t="s">
        <v>6</v>
      </c>
      <c r="EJ173">
        <v>1</v>
      </c>
      <c r="EK173">
        <v>15001</v>
      </c>
      <c r="EL173" t="s">
        <v>128</v>
      </c>
      <c r="EM173" t="s">
        <v>129</v>
      </c>
      <c r="EO173" t="s">
        <v>6</v>
      </c>
      <c r="EQ173">
        <v>131072</v>
      </c>
      <c r="ER173">
        <v>3786.05</v>
      </c>
      <c r="ES173">
        <v>2580.87</v>
      </c>
      <c r="ET173">
        <v>53.82</v>
      </c>
      <c r="EU173">
        <v>18.3</v>
      </c>
      <c r="EV173">
        <v>1151.3599999999999</v>
      </c>
      <c r="EW173">
        <v>129.94999999999999</v>
      </c>
      <c r="EX173">
        <v>1.44</v>
      </c>
      <c r="EY173">
        <v>0</v>
      </c>
      <c r="FQ173">
        <v>0</v>
      </c>
      <c r="FR173">
        <f t="shared" ref="FR173:FR180" si="202">ROUND(IF(AND(BH173=3,BI173=3),P173,0),2)</f>
        <v>0</v>
      </c>
      <c r="FS173">
        <v>0</v>
      </c>
      <c r="FT173" t="s">
        <v>29</v>
      </c>
      <c r="FU173" t="s">
        <v>30</v>
      </c>
      <c r="FX173">
        <v>90</v>
      </c>
      <c r="FY173">
        <v>41.65</v>
      </c>
      <c r="GA173" t="s">
        <v>6</v>
      </c>
      <c r="GD173">
        <v>1</v>
      </c>
      <c r="GF173">
        <v>-1692303622</v>
      </c>
      <c r="GG173">
        <v>2</v>
      </c>
      <c r="GH173">
        <v>1</v>
      </c>
      <c r="GI173">
        <v>4</v>
      </c>
      <c r="GJ173">
        <v>0</v>
      </c>
      <c r="GK173">
        <v>0</v>
      </c>
      <c r="GL173">
        <f t="shared" ref="GL173:GL180" si="203">ROUND(IF(AND(BH173=3,BI173=3,FS173&lt;&gt;0),P173,0),2)</f>
        <v>0</v>
      </c>
      <c r="GM173">
        <f t="shared" ref="GM173:GM180" si="204">ROUND(O173+X173+Y173,2)+GX173</f>
        <v>8334.99</v>
      </c>
      <c r="GN173">
        <f t="shared" ref="GN173:GN180" si="205">IF(OR(BI173=0,BI173=1),ROUND(O173+X173+Y173,2),0)</f>
        <v>8334.99</v>
      </c>
      <c r="GO173">
        <f t="shared" ref="GO173:GO180" si="206">IF(BI173=2,ROUND(O173+X173+Y173,2),0)</f>
        <v>0</v>
      </c>
      <c r="GP173">
        <f t="shared" ref="GP173:GP180" si="207">IF(BI173=4,ROUND(O173+X173+Y173,2)+GX173,0)</f>
        <v>0</v>
      </c>
      <c r="GR173">
        <v>0</v>
      </c>
      <c r="GS173">
        <v>0</v>
      </c>
      <c r="GT173">
        <v>0</v>
      </c>
      <c r="GU173" t="s">
        <v>6</v>
      </c>
      <c r="GV173">
        <f t="shared" ref="GV173:GV180" si="208">ROUND((GT173),6)</f>
        <v>0</v>
      </c>
      <c r="GW173">
        <v>1</v>
      </c>
      <c r="GX173">
        <f t="shared" ref="GX173:GX180" si="209">ROUND(HC173*I173,2)</f>
        <v>0</v>
      </c>
      <c r="HA173">
        <v>0</v>
      </c>
      <c r="HB173">
        <v>0</v>
      </c>
      <c r="HC173">
        <f t="shared" ref="HC173:HC180" si="210">GV173*GW173</f>
        <v>0</v>
      </c>
      <c r="HE173" t="s">
        <v>6</v>
      </c>
      <c r="HF173" t="s">
        <v>6</v>
      </c>
      <c r="HI173">
        <f t="shared" ref="HI173:HI180" si="211">ROUND(R173*BS173,0)</f>
        <v>854</v>
      </c>
      <c r="HJ173">
        <f t="shared" ref="HJ173:HJ180" si="212">ROUND(S173*BA173,0)</f>
        <v>49418</v>
      </c>
      <c r="HK173">
        <f t="shared" ref="HK173:HK180" si="213">ROUND((((HJ173+HI173)*AT173)/100),0)</f>
        <v>45245</v>
      </c>
      <c r="HL173">
        <f t="shared" ref="HL173:HL180" si="214">ROUND((((HJ173+HI173)*AU173)/100),0)</f>
        <v>20938</v>
      </c>
      <c r="HM173" t="s">
        <v>6</v>
      </c>
      <c r="HN173" t="s">
        <v>6</v>
      </c>
      <c r="HO173" t="s">
        <v>6</v>
      </c>
      <c r="HP173" t="s">
        <v>6</v>
      </c>
      <c r="HQ173" t="s">
        <v>6</v>
      </c>
      <c r="IK173">
        <v>0</v>
      </c>
    </row>
    <row r="174" spans="1:245">
      <c r="A174">
        <v>17</v>
      </c>
      <c r="B174">
        <v>1</v>
      </c>
      <c r="C174">
        <f>ROW(SmtRes!A360)</f>
        <v>360</v>
      </c>
      <c r="D174">
        <f>ROW(EtalonRes!A384)</f>
        <v>384</v>
      </c>
      <c r="E174" t="s">
        <v>385</v>
      </c>
      <c r="F174" t="s">
        <v>341</v>
      </c>
      <c r="G174" t="s">
        <v>342</v>
      </c>
      <c r="H174" t="s">
        <v>124</v>
      </c>
      <c r="I174">
        <f>ROUND(11.2*4/100,7)</f>
        <v>0.44800000000000001</v>
      </c>
      <c r="J174">
        <v>0</v>
      </c>
      <c r="K174">
        <f>ROUND(11.2*4/100,7)</f>
        <v>0.44800000000000001</v>
      </c>
      <c r="O174">
        <f t="shared" si="182"/>
        <v>252.93</v>
      </c>
      <c r="P174">
        <f t="shared" si="183"/>
        <v>185.75</v>
      </c>
      <c r="Q174">
        <f t="shared" si="184"/>
        <v>1.97</v>
      </c>
      <c r="R174">
        <f t="shared" si="185"/>
        <v>0.08</v>
      </c>
      <c r="S174">
        <f t="shared" si="186"/>
        <v>65.209999999999994</v>
      </c>
      <c r="T174">
        <f t="shared" si="187"/>
        <v>0</v>
      </c>
      <c r="U174">
        <f t="shared" si="188"/>
        <v>7.1038352000000007</v>
      </c>
      <c r="V174">
        <f t="shared" si="189"/>
        <v>6.4400000000000004E-3</v>
      </c>
      <c r="W174">
        <f t="shared" si="190"/>
        <v>0</v>
      </c>
      <c r="X174">
        <f t="shared" si="191"/>
        <v>58.76</v>
      </c>
      <c r="Y174">
        <f t="shared" si="191"/>
        <v>27.19</v>
      </c>
      <c r="AA174">
        <v>31028412</v>
      </c>
      <c r="AB174">
        <f t="shared" si="192"/>
        <v>564.576325</v>
      </c>
      <c r="AC174">
        <f t="shared" si="193"/>
        <v>414.61</v>
      </c>
      <c r="AD174">
        <f>ROUND(((((ET174*ROUND((1.25*1.15),7)))-((EU174*ROUND((1.25*1.15),7))))+AE174),6)</f>
        <v>4.3987499999999997</v>
      </c>
      <c r="AE174">
        <f>ROUND(((EU174*ROUND((1.25*1.15),7))),6)</f>
        <v>0.18687500000000001</v>
      </c>
      <c r="AF174">
        <f>ROUND(((EV174*ROUND((1.15*1.15),7))),6)</f>
        <v>145.56757500000001</v>
      </c>
      <c r="AG174">
        <f t="shared" si="194"/>
        <v>0</v>
      </c>
      <c r="AH174">
        <f>((EW174*ROUND((1.15*1.15),7)))</f>
        <v>15.856775000000001</v>
      </c>
      <c r="AI174">
        <f>((EX174*ROUND((1.25*1.15),7)))</f>
        <v>1.4375000000000001E-2</v>
      </c>
      <c r="AJ174">
        <f t="shared" si="195"/>
        <v>0</v>
      </c>
      <c r="AK174">
        <v>527.74</v>
      </c>
      <c r="AL174">
        <v>414.61</v>
      </c>
      <c r="AM174">
        <v>3.06</v>
      </c>
      <c r="AN174">
        <v>0.13</v>
      </c>
      <c r="AO174">
        <v>110.07</v>
      </c>
      <c r="AP174">
        <v>0</v>
      </c>
      <c r="AQ174">
        <v>11.99</v>
      </c>
      <c r="AR174">
        <v>0.01</v>
      </c>
      <c r="AS174">
        <v>0</v>
      </c>
      <c r="AT174">
        <v>90</v>
      </c>
      <c r="AU174">
        <v>41.65</v>
      </c>
      <c r="AV174">
        <v>1</v>
      </c>
      <c r="AW174">
        <v>1</v>
      </c>
      <c r="AZ174">
        <v>1</v>
      </c>
      <c r="BA174">
        <v>24.22</v>
      </c>
      <c r="BB174">
        <v>1</v>
      </c>
      <c r="BC174">
        <v>1</v>
      </c>
      <c r="BD174" t="s">
        <v>6</v>
      </c>
      <c r="BE174" t="s">
        <v>6</v>
      </c>
      <c r="BF174" t="s">
        <v>6</v>
      </c>
      <c r="BG174" t="s">
        <v>6</v>
      </c>
      <c r="BH174">
        <v>0</v>
      </c>
      <c r="BI174">
        <v>1</v>
      </c>
      <c r="BJ174" t="s">
        <v>343</v>
      </c>
      <c r="BM174">
        <v>15001</v>
      </c>
      <c r="BN174">
        <v>0</v>
      </c>
      <c r="BO174" t="s">
        <v>1327</v>
      </c>
      <c r="BP174">
        <v>1</v>
      </c>
      <c r="BQ174">
        <v>2</v>
      </c>
      <c r="BR174">
        <v>0</v>
      </c>
      <c r="BS174">
        <v>24.22</v>
      </c>
      <c r="BT174">
        <v>1</v>
      </c>
      <c r="BU174">
        <v>1</v>
      </c>
      <c r="BV174">
        <v>1</v>
      </c>
      <c r="BW174">
        <v>1</v>
      </c>
      <c r="BX174">
        <v>1</v>
      </c>
      <c r="BY174" t="s">
        <v>6</v>
      </c>
      <c r="BZ174">
        <v>100</v>
      </c>
      <c r="CA174">
        <v>49</v>
      </c>
      <c r="CB174" t="s">
        <v>6</v>
      </c>
      <c r="CE174">
        <v>0</v>
      </c>
      <c r="CF174">
        <v>0</v>
      </c>
      <c r="CG174">
        <v>0</v>
      </c>
      <c r="CM174">
        <v>0</v>
      </c>
      <c r="CN174" t="s">
        <v>6</v>
      </c>
      <c r="CO174">
        <v>0</v>
      </c>
      <c r="CP174">
        <f t="shared" si="196"/>
        <v>252.93</v>
      </c>
      <c r="CQ174">
        <f t="shared" si="197"/>
        <v>414.61</v>
      </c>
      <c r="CR174">
        <f t="shared" si="198"/>
        <v>4.3987499999999997</v>
      </c>
      <c r="CS174">
        <f t="shared" si="199"/>
        <v>0.18687500000000001</v>
      </c>
      <c r="CT174">
        <f t="shared" si="199"/>
        <v>145.56757500000001</v>
      </c>
      <c r="CU174">
        <f t="shared" si="199"/>
        <v>0</v>
      </c>
      <c r="CV174">
        <f t="shared" si="199"/>
        <v>15.856775000000001</v>
      </c>
      <c r="CW174">
        <f t="shared" si="199"/>
        <v>1.4375000000000001E-2</v>
      </c>
      <c r="CX174">
        <f t="shared" si="199"/>
        <v>0</v>
      </c>
      <c r="CY174">
        <f t="shared" si="200"/>
        <v>58.760999999999996</v>
      </c>
      <c r="CZ174">
        <f t="shared" si="201"/>
        <v>27.193284999999996</v>
      </c>
      <c r="DC174" t="s">
        <v>6</v>
      </c>
      <c r="DD174" t="s">
        <v>6</v>
      </c>
      <c r="DE174" t="s">
        <v>126</v>
      </c>
      <c r="DF174" t="s">
        <v>126</v>
      </c>
      <c r="DG174" t="s">
        <v>127</v>
      </c>
      <c r="DH174" t="s">
        <v>6</v>
      </c>
      <c r="DI174" t="s">
        <v>127</v>
      </c>
      <c r="DJ174" t="s">
        <v>126</v>
      </c>
      <c r="DK174" t="s">
        <v>6</v>
      </c>
      <c r="DL174" t="s">
        <v>6</v>
      </c>
      <c r="DM174" t="s">
        <v>6</v>
      </c>
      <c r="DN174">
        <v>0</v>
      </c>
      <c r="DO174">
        <v>0</v>
      </c>
      <c r="DP174">
        <v>1</v>
      </c>
      <c r="DQ174">
        <v>1</v>
      </c>
      <c r="DU174">
        <v>1005</v>
      </c>
      <c r="DV174" t="s">
        <v>124</v>
      </c>
      <c r="DW174" t="s">
        <v>124</v>
      </c>
      <c r="DX174">
        <v>100</v>
      </c>
      <c r="DZ174" t="s">
        <v>6</v>
      </c>
      <c r="EA174" t="s">
        <v>6</v>
      </c>
      <c r="EB174" t="s">
        <v>6</v>
      </c>
      <c r="EC174" t="s">
        <v>6</v>
      </c>
      <c r="EE174">
        <v>30852936</v>
      </c>
      <c r="EF174">
        <v>2</v>
      </c>
      <c r="EG174" t="s">
        <v>26</v>
      </c>
      <c r="EH174">
        <v>0</v>
      </c>
      <c r="EI174" t="s">
        <v>6</v>
      </c>
      <c r="EJ174">
        <v>1</v>
      </c>
      <c r="EK174">
        <v>15001</v>
      </c>
      <c r="EL174" t="s">
        <v>128</v>
      </c>
      <c r="EM174" t="s">
        <v>129</v>
      </c>
      <c r="EO174" t="s">
        <v>6</v>
      </c>
      <c r="EQ174">
        <v>131072</v>
      </c>
      <c r="ER174">
        <v>527.74</v>
      </c>
      <c r="ES174">
        <v>414.61</v>
      </c>
      <c r="ET174">
        <v>3.06</v>
      </c>
      <c r="EU174">
        <v>0.13</v>
      </c>
      <c r="EV174">
        <v>110.07</v>
      </c>
      <c r="EW174">
        <v>11.99</v>
      </c>
      <c r="EX174">
        <v>0.01</v>
      </c>
      <c r="EY174">
        <v>0</v>
      </c>
      <c r="FQ174">
        <v>0</v>
      </c>
      <c r="FR174">
        <f t="shared" si="202"/>
        <v>0</v>
      </c>
      <c r="FS174">
        <v>0</v>
      </c>
      <c r="FT174" t="s">
        <v>29</v>
      </c>
      <c r="FU174" t="s">
        <v>30</v>
      </c>
      <c r="FX174">
        <v>90</v>
      </c>
      <c r="FY174">
        <v>41.65</v>
      </c>
      <c r="GA174" t="s">
        <v>6</v>
      </c>
      <c r="GD174">
        <v>1</v>
      </c>
      <c r="GF174">
        <v>-1641234498</v>
      </c>
      <c r="GG174">
        <v>2</v>
      </c>
      <c r="GH174">
        <v>1</v>
      </c>
      <c r="GI174">
        <v>4</v>
      </c>
      <c r="GJ174">
        <v>0</v>
      </c>
      <c r="GK174">
        <v>0</v>
      </c>
      <c r="GL174">
        <f t="shared" si="203"/>
        <v>0</v>
      </c>
      <c r="GM174">
        <f t="shared" si="204"/>
        <v>338.88</v>
      </c>
      <c r="GN174">
        <f t="shared" si="205"/>
        <v>338.88</v>
      </c>
      <c r="GO174">
        <f t="shared" si="206"/>
        <v>0</v>
      </c>
      <c r="GP174">
        <f t="shared" si="207"/>
        <v>0</v>
      </c>
      <c r="GR174">
        <v>0</v>
      </c>
      <c r="GS174">
        <v>3</v>
      </c>
      <c r="GT174">
        <v>0</v>
      </c>
      <c r="GU174" t="s">
        <v>6</v>
      </c>
      <c r="GV174">
        <f t="shared" si="208"/>
        <v>0</v>
      </c>
      <c r="GW174">
        <v>1</v>
      </c>
      <c r="GX174">
        <f t="shared" si="209"/>
        <v>0</v>
      </c>
      <c r="HA174">
        <v>0</v>
      </c>
      <c r="HB174">
        <v>0</v>
      </c>
      <c r="HC174">
        <f t="shared" si="210"/>
        <v>0</v>
      </c>
      <c r="HE174" t="s">
        <v>6</v>
      </c>
      <c r="HF174" t="s">
        <v>6</v>
      </c>
      <c r="HI174">
        <f t="shared" si="211"/>
        <v>2</v>
      </c>
      <c r="HJ174">
        <f t="shared" si="212"/>
        <v>1579</v>
      </c>
      <c r="HK174">
        <f t="shared" si="213"/>
        <v>1423</v>
      </c>
      <c r="HL174">
        <f t="shared" si="214"/>
        <v>658</v>
      </c>
      <c r="HM174" t="s">
        <v>6</v>
      </c>
      <c r="HN174" t="s">
        <v>6</v>
      </c>
      <c r="HO174" t="s">
        <v>6</v>
      </c>
      <c r="HP174" t="s">
        <v>6</v>
      </c>
      <c r="HQ174" t="s">
        <v>6</v>
      </c>
      <c r="IK174">
        <v>0</v>
      </c>
    </row>
    <row r="175" spans="1:245">
      <c r="A175">
        <v>17</v>
      </c>
      <c r="B175">
        <v>1</v>
      </c>
      <c r="C175">
        <f>ROW(SmtRes!A370)</f>
        <v>370</v>
      </c>
      <c r="D175">
        <f>ROW(EtalonRes!A394)</f>
        <v>394</v>
      </c>
      <c r="E175" t="s">
        <v>386</v>
      </c>
      <c r="F175" t="s">
        <v>373</v>
      </c>
      <c r="G175" t="s">
        <v>374</v>
      </c>
      <c r="H175" t="s">
        <v>375</v>
      </c>
      <c r="I175">
        <f>ROUND(22.3*4/100,7)</f>
        <v>0.89200000000000002</v>
      </c>
      <c r="J175">
        <v>0</v>
      </c>
      <c r="K175">
        <f>ROUND(22.3*4/100,7)</f>
        <v>0.89200000000000002</v>
      </c>
      <c r="O175">
        <f t="shared" si="182"/>
        <v>10188.700000000001</v>
      </c>
      <c r="P175">
        <f t="shared" si="183"/>
        <v>8479.0400000000009</v>
      </c>
      <c r="Q175">
        <f t="shared" si="184"/>
        <v>40.799999999999997</v>
      </c>
      <c r="R175">
        <f t="shared" si="185"/>
        <v>21.68</v>
      </c>
      <c r="S175">
        <f t="shared" si="186"/>
        <v>1668.86</v>
      </c>
      <c r="T175">
        <f t="shared" si="187"/>
        <v>0</v>
      </c>
      <c r="U175">
        <f t="shared" si="188"/>
        <v>188.35790889999998</v>
      </c>
      <c r="V175">
        <f t="shared" si="189"/>
        <v>2.1157124999999999</v>
      </c>
      <c r="W175">
        <f t="shared" si="190"/>
        <v>0</v>
      </c>
      <c r="X175">
        <f t="shared" si="191"/>
        <v>1521.49</v>
      </c>
      <c r="Y175">
        <f t="shared" si="191"/>
        <v>704.11</v>
      </c>
      <c r="AA175">
        <v>31028412</v>
      </c>
      <c r="AB175">
        <f t="shared" si="192"/>
        <v>11422.305549999999</v>
      </c>
      <c r="AC175">
        <f t="shared" si="193"/>
        <v>9505.65</v>
      </c>
      <c r="AD175">
        <f>ROUND(((((ET175*ROUND((1.25*1.15),7)))-((EU175*ROUND((1.25*1.15),7))))+AE175),6)</f>
        <v>45.741250000000001</v>
      </c>
      <c r="AE175">
        <f>ROUND(((EU175*ROUND((1.25*1.15),7))),6)</f>
        <v>24.308125</v>
      </c>
      <c r="AF175">
        <f>ROUND(((EV175*ROUND((1.15*1.15),7))),6)</f>
        <v>1870.9142999999999</v>
      </c>
      <c r="AG175">
        <f t="shared" si="194"/>
        <v>0</v>
      </c>
      <c r="AH175">
        <f>((EW175*ROUND((1.15*1.15),7)))</f>
        <v>211.16357499999998</v>
      </c>
      <c r="AI175">
        <f>((EX175*ROUND((1.25*1.15),7)))</f>
        <v>2.3718749999999997</v>
      </c>
      <c r="AJ175">
        <f t="shared" si="195"/>
        <v>0</v>
      </c>
      <c r="AK175">
        <v>10952.15</v>
      </c>
      <c r="AL175">
        <v>9505.65</v>
      </c>
      <c r="AM175">
        <v>31.82</v>
      </c>
      <c r="AN175">
        <v>16.91</v>
      </c>
      <c r="AO175">
        <v>1414.68</v>
      </c>
      <c r="AP175">
        <v>0</v>
      </c>
      <c r="AQ175">
        <v>159.66999999999999</v>
      </c>
      <c r="AR175">
        <v>1.65</v>
      </c>
      <c r="AS175">
        <v>0</v>
      </c>
      <c r="AT175">
        <v>90</v>
      </c>
      <c r="AU175">
        <v>41.65</v>
      </c>
      <c r="AV175">
        <v>1</v>
      </c>
      <c r="AW175">
        <v>1</v>
      </c>
      <c r="AZ175">
        <v>1</v>
      </c>
      <c r="BA175">
        <v>24.22</v>
      </c>
      <c r="BB175">
        <v>1</v>
      </c>
      <c r="BC175">
        <v>1</v>
      </c>
      <c r="BD175" t="s">
        <v>6</v>
      </c>
      <c r="BE175" t="s">
        <v>6</v>
      </c>
      <c r="BF175" t="s">
        <v>6</v>
      </c>
      <c r="BG175" t="s">
        <v>6</v>
      </c>
      <c r="BH175">
        <v>0</v>
      </c>
      <c r="BI175">
        <v>1</v>
      </c>
      <c r="BJ175" t="s">
        <v>376</v>
      </c>
      <c r="BM175">
        <v>15001</v>
      </c>
      <c r="BN175">
        <v>0</v>
      </c>
      <c r="BO175" t="s">
        <v>1327</v>
      </c>
      <c r="BP175">
        <v>1</v>
      </c>
      <c r="BQ175">
        <v>2</v>
      </c>
      <c r="BR175">
        <v>0</v>
      </c>
      <c r="BS175">
        <v>24.22</v>
      </c>
      <c r="BT175">
        <v>1</v>
      </c>
      <c r="BU175">
        <v>1</v>
      </c>
      <c r="BV175">
        <v>1</v>
      </c>
      <c r="BW175">
        <v>1</v>
      </c>
      <c r="BX175">
        <v>1</v>
      </c>
      <c r="BY175" t="s">
        <v>6</v>
      </c>
      <c r="BZ175">
        <v>100</v>
      </c>
      <c r="CA175">
        <v>49</v>
      </c>
      <c r="CB175" t="s">
        <v>6</v>
      </c>
      <c r="CE175">
        <v>0</v>
      </c>
      <c r="CF175">
        <v>0</v>
      </c>
      <c r="CG175">
        <v>0</v>
      </c>
      <c r="CM175">
        <v>0</v>
      </c>
      <c r="CN175" t="s">
        <v>6</v>
      </c>
      <c r="CO175">
        <v>0</v>
      </c>
      <c r="CP175">
        <f t="shared" si="196"/>
        <v>10188.700000000001</v>
      </c>
      <c r="CQ175">
        <f t="shared" si="197"/>
        <v>9505.65</v>
      </c>
      <c r="CR175">
        <f t="shared" si="198"/>
        <v>45.741250000000001</v>
      </c>
      <c r="CS175">
        <f t="shared" si="199"/>
        <v>24.308125</v>
      </c>
      <c r="CT175">
        <f t="shared" si="199"/>
        <v>1870.9142999999999</v>
      </c>
      <c r="CU175">
        <f t="shared" si="199"/>
        <v>0</v>
      </c>
      <c r="CV175">
        <f t="shared" si="199"/>
        <v>211.16357499999998</v>
      </c>
      <c r="CW175">
        <f t="shared" si="199"/>
        <v>2.3718749999999997</v>
      </c>
      <c r="CX175">
        <f t="shared" si="199"/>
        <v>0</v>
      </c>
      <c r="CY175">
        <f t="shared" si="200"/>
        <v>1521.4860000000001</v>
      </c>
      <c r="CZ175">
        <f t="shared" si="201"/>
        <v>704.1099099999999</v>
      </c>
      <c r="DC175" t="s">
        <v>6</v>
      </c>
      <c r="DD175" t="s">
        <v>6</v>
      </c>
      <c r="DE175" t="s">
        <v>126</v>
      </c>
      <c r="DF175" t="s">
        <v>126</v>
      </c>
      <c r="DG175" t="s">
        <v>127</v>
      </c>
      <c r="DH175" t="s">
        <v>6</v>
      </c>
      <c r="DI175" t="s">
        <v>127</v>
      </c>
      <c r="DJ175" t="s">
        <v>126</v>
      </c>
      <c r="DK175" t="s">
        <v>6</v>
      </c>
      <c r="DL175" t="s">
        <v>6</v>
      </c>
      <c r="DM175" t="s">
        <v>6</v>
      </c>
      <c r="DN175">
        <v>0</v>
      </c>
      <c r="DO175">
        <v>0</v>
      </c>
      <c r="DP175">
        <v>1</v>
      </c>
      <c r="DQ175">
        <v>1</v>
      </c>
      <c r="DU175">
        <v>1013</v>
      </c>
      <c r="DV175" t="s">
        <v>375</v>
      </c>
      <c r="DW175" t="s">
        <v>375</v>
      </c>
      <c r="DX175">
        <v>1</v>
      </c>
      <c r="DZ175" t="s">
        <v>6</v>
      </c>
      <c r="EA175" t="s">
        <v>6</v>
      </c>
      <c r="EB175" t="s">
        <v>6</v>
      </c>
      <c r="EC175" t="s">
        <v>6</v>
      </c>
      <c r="EE175">
        <v>30852936</v>
      </c>
      <c r="EF175">
        <v>2</v>
      </c>
      <c r="EG175" t="s">
        <v>26</v>
      </c>
      <c r="EH175">
        <v>0</v>
      </c>
      <c r="EI175" t="s">
        <v>6</v>
      </c>
      <c r="EJ175">
        <v>1</v>
      </c>
      <c r="EK175">
        <v>15001</v>
      </c>
      <c r="EL175" t="s">
        <v>128</v>
      </c>
      <c r="EM175" t="s">
        <v>129</v>
      </c>
      <c r="EO175" t="s">
        <v>6</v>
      </c>
      <c r="EQ175">
        <v>131072</v>
      </c>
      <c r="ER175">
        <v>10952.15</v>
      </c>
      <c r="ES175">
        <v>9505.65</v>
      </c>
      <c r="ET175">
        <v>31.82</v>
      </c>
      <c r="EU175">
        <v>16.91</v>
      </c>
      <c r="EV175">
        <v>1414.68</v>
      </c>
      <c r="EW175">
        <v>159.66999999999999</v>
      </c>
      <c r="EX175">
        <v>1.65</v>
      </c>
      <c r="EY175">
        <v>0</v>
      </c>
      <c r="FQ175">
        <v>0</v>
      </c>
      <c r="FR175">
        <f t="shared" si="202"/>
        <v>0</v>
      </c>
      <c r="FS175">
        <v>0</v>
      </c>
      <c r="FT175" t="s">
        <v>29</v>
      </c>
      <c r="FU175" t="s">
        <v>30</v>
      </c>
      <c r="FX175">
        <v>90</v>
      </c>
      <c r="FY175">
        <v>41.65</v>
      </c>
      <c r="GA175" t="s">
        <v>6</v>
      </c>
      <c r="GD175">
        <v>1</v>
      </c>
      <c r="GF175">
        <v>262240231</v>
      </c>
      <c r="GG175">
        <v>2</v>
      </c>
      <c r="GH175">
        <v>1</v>
      </c>
      <c r="GI175">
        <v>4</v>
      </c>
      <c r="GJ175">
        <v>0</v>
      </c>
      <c r="GK175">
        <v>0</v>
      </c>
      <c r="GL175">
        <f t="shared" si="203"/>
        <v>0</v>
      </c>
      <c r="GM175">
        <f t="shared" si="204"/>
        <v>12414.3</v>
      </c>
      <c r="GN175">
        <f t="shared" si="205"/>
        <v>12414.3</v>
      </c>
      <c r="GO175">
        <f t="shared" si="206"/>
        <v>0</v>
      </c>
      <c r="GP175">
        <f t="shared" si="207"/>
        <v>0</v>
      </c>
      <c r="GR175">
        <v>0</v>
      </c>
      <c r="GS175">
        <v>3</v>
      </c>
      <c r="GT175">
        <v>0</v>
      </c>
      <c r="GU175" t="s">
        <v>6</v>
      </c>
      <c r="GV175">
        <f t="shared" si="208"/>
        <v>0</v>
      </c>
      <c r="GW175">
        <v>1</v>
      </c>
      <c r="GX175">
        <f t="shared" si="209"/>
        <v>0</v>
      </c>
      <c r="HA175">
        <v>0</v>
      </c>
      <c r="HB175">
        <v>0</v>
      </c>
      <c r="HC175">
        <f t="shared" si="210"/>
        <v>0</v>
      </c>
      <c r="HE175" t="s">
        <v>6</v>
      </c>
      <c r="HF175" t="s">
        <v>6</v>
      </c>
      <c r="HI175">
        <f t="shared" si="211"/>
        <v>525</v>
      </c>
      <c r="HJ175">
        <f t="shared" si="212"/>
        <v>40420</v>
      </c>
      <c r="HK175">
        <f t="shared" si="213"/>
        <v>36851</v>
      </c>
      <c r="HL175">
        <f t="shared" si="214"/>
        <v>17054</v>
      </c>
      <c r="HM175" t="s">
        <v>6</v>
      </c>
      <c r="HN175" t="s">
        <v>6</v>
      </c>
      <c r="HO175" t="s">
        <v>6</v>
      </c>
      <c r="HP175" t="s">
        <v>6</v>
      </c>
      <c r="HQ175" t="s">
        <v>6</v>
      </c>
      <c r="IK175">
        <v>0</v>
      </c>
    </row>
    <row r="176" spans="1:245">
      <c r="A176">
        <v>17</v>
      </c>
      <c r="B176">
        <v>1</v>
      </c>
      <c r="C176">
        <f>ROW(SmtRes!A378)</f>
        <v>378</v>
      </c>
      <c r="D176">
        <f>ROW(EtalonRes!A402)</f>
        <v>402</v>
      </c>
      <c r="E176" t="s">
        <v>387</v>
      </c>
      <c r="F176" t="s">
        <v>345</v>
      </c>
      <c r="G176" t="s">
        <v>346</v>
      </c>
      <c r="H176" t="s">
        <v>124</v>
      </c>
      <c r="I176">
        <f>ROUND(44.8/100,7)</f>
        <v>0.44800000000000001</v>
      </c>
      <c r="J176">
        <v>0</v>
      </c>
      <c r="K176">
        <f>ROUND(44.8/100,7)</f>
        <v>0.44800000000000001</v>
      </c>
      <c r="O176">
        <f t="shared" si="182"/>
        <v>1011.49</v>
      </c>
      <c r="P176">
        <f t="shared" si="183"/>
        <v>620.67999999999995</v>
      </c>
      <c r="Q176">
        <f t="shared" si="184"/>
        <v>12.4</v>
      </c>
      <c r="R176">
        <f t="shared" si="185"/>
        <v>0.25</v>
      </c>
      <c r="S176">
        <f t="shared" si="186"/>
        <v>378.41</v>
      </c>
      <c r="T176">
        <f t="shared" si="187"/>
        <v>0</v>
      </c>
      <c r="U176">
        <f t="shared" si="188"/>
        <v>40.733000000000004</v>
      </c>
      <c r="V176">
        <f t="shared" si="189"/>
        <v>1.932E-2</v>
      </c>
      <c r="W176">
        <f t="shared" si="190"/>
        <v>0</v>
      </c>
      <c r="X176">
        <f t="shared" si="191"/>
        <v>340.79</v>
      </c>
      <c r="Y176">
        <f t="shared" si="191"/>
        <v>157.71</v>
      </c>
      <c r="AA176">
        <v>31028412</v>
      </c>
      <c r="AB176">
        <f t="shared" si="192"/>
        <v>2257.7793999999999</v>
      </c>
      <c r="AC176">
        <f t="shared" si="193"/>
        <v>1385.44</v>
      </c>
      <c r="AD176">
        <f>ROUND(((((ET176*ROUND((1.25*1.15),7)))-((EU176*ROUND((1.25*1.15),7))))+AE176),6)</f>
        <v>27.671875</v>
      </c>
      <c r="AE176">
        <f>ROUND(((EU176*ROUND((1.25*1.15),7))),6)</f>
        <v>0.56062500000000004</v>
      </c>
      <c r="AF176">
        <f>ROUND(((EV176*ROUND((1.15*1.15),7))),6)</f>
        <v>844.66752499999996</v>
      </c>
      <c r="AG176">
        <f t="shared" si="194"/>
        <v>0</v>
      </c>
      <c r="AH176">
        <f>((EW176*ROUND((1.15*1.15),7)))</f>
        <v>90.921875</v>
      </c>
      <c r="AI176">
        <f>((EX176*ROUND((1.25*1.15),7)))</f>
        <v>4.3124999999999997E-2</v>
      </c>
      <c r="AJ176">
        <f t="shared" si="195"/>
        <v>0</v>
      </c>
      <c r="AK176">
        <v>2043.38</v>
      </c>
      <c r="AL176">
        <v>1385.44</v>
      </c>
      <c r="AM176">
        <v>19.25</v>
      </c>
      <c r="AN176">
        <v>0.39</v>
      </c>
      <c r="AO176">
        <v>638.69000000000005</v>
      </c>
      <c r="AP176">
        <v>0</v>
      </c>
      <c r="AQ176">
        <v>68.75</v>
      </c>
      <c r="AR176">
        <v>0.03</v>
      </c>
      <c r="AS176">
        <v>0</v>
      </c>
      <c r="AT176">
        <v>90</v>
      </c>
      <c r="AU176">
        <v>41.65</v>
      </c>
      <c r="AV176">
        <v>1</v>
      </c>
      <c r="AW176">
        <v>1</v>
      </c>
      <c r="AZ176">
        <v>1</v>
      </c>
      <c r="BA176">
        <v>24.22</v>
      </c>
      <c r="BB176">
        <v>1</v>
      </c>
      <c r="BC176">
        <v>1</v>
      </c>
      <c r="BD176" t="s">
        <v>6</v>
      </c>
      <c r="BE176" t="s">
        <v>6</v>
      </c>
      <c r="BF176" t="s">
        <v>6</v>
      </c>
      <c r="BG176" t="s">
        <v>6</v>
      </c>
      <c r="BH176">
        <v>0</v>
      </c>
      <c r="BI176">
        <v>1</v>
      </c>
      <c r="BJ176" t="s">
        <v>347</v>
      </c>
      <c r="BM176">
        <v>15001</v>
      </c>
      <c r="BN176">
        <v>0</v>
      </c>
      <c r="BO176" t="s">
        <v>1327</v>
      </c>
      <c r="BP176">
        <v>1</v>
      </c>
      <c r="BQ176">
        <v>2</v>
      </c>
      <c r="BR176">
        <v>0</v>
      </c>
      <c r="BS176">
        <v>24.22</v>
      </c>
      <c r="BT176">
        <v>1</v>
      </c>
      <c r="BU176">
        <v>1</v>
      </c>
      <c r="BV176">
        <v>1</v>
      </c>
      <c r="BW176">
        <v>1</v>
      </c>
      <c r="BX176">
        <v>1</v>
      </c>
      <c r="BY176" t="s">
        <v>6</v>
      </c>
      <c r="BZ176">
        <v>100</v>
      </c>
      <c r="CA176">
        <v>49</v>
      </c>
      <c r="CB176" t="s">
        <v>6</v>
      </c>
      <c r="CE176">
        <v>0</v>
      </c>
      <c r="CF176">
        <v>0</v>
      </c>
      <c r="CG176">
        <v>0</v>
      </c>
      <c r="CM176">
        <v>0</v>
      </c>
      <c r="CN176" t="s">
        <v>6</v>
      </c>
      <c r="CO176">
        <v>0</v>
      </c>
      <c r="CP176">
        <f t="shared" si="196"/>
        <v>1011.49</v>
      </c>
      <c r="CQ176">
        <f t="shared" si="197"/>
        <v>1385.44</v>
      </c>
      <c r="CR176">
        <f t="shared" si="198"/>
        <v>27.671875</v>
      </c>
      <c r="CS176">
        <f t="shared" si="199"/>
        <v>0.56062500000000004</v>
      </c>
      <c r="CT176">
        <f t="shared" si="199"/>
        <v>844.66752499999996</v>
      </c>
      <c r="CU176">
        <f t="shared" si="199"/>
        <v>0</v>
      </c>
      <c r="CV176">
        <f t="shared" si="199"/>
        <v>90.921875</v>
      </c>
      <c r="CW176">
        <f t="shared" si="199"/>
        <v>4.3124999999999997E-2</v>
      </c>
      <c r="CX176">
        <f t="shared" si="199"/>
        <v>0</v>
      </c>
      <c r="CY176">
        <f t="shared" si="200"/>
        <v>340.79400000000004</v>
      </c>
      <c r="CZ176">
        <f t="shared" si="201"/>
        <v>157.71189000000001</v>
      </c>
      <c r="DC176" t="s">
        <v>6</v>
      </c>
      <c r="DD176" t="s">
        <v>6</v>
      </c>
      <c r="DE176" t="s">
        <v>126</v>
      </c>
      <c r="DF176" t="s">
        <v>126</v>
      </c>
      <c r="DG176" t="s">
        <v>127</v>
      </c>
      <c r="DH176" t="s">
        <v>6</v>
      </c>
      <c r="DI176" t="s">
        <v>127</v>
      </c>
      <c r="DJ176" t="s">
        <v>126</v>
      </c>
      <c r="DK176" t="s">
        <v>6</v>
      </c>
      <c r="DL176" t="s">
        <v>6</v>
      </c>
      <c r="DM176" t="s">
        <v>6</v>
      </c>
      <c r="DN176">
        <v>0</v>
      </c>
      <c r="DO176">
        <v>0</v>
      </c>
      <c r="DP176">
        <v>1</v>
      </c>
      <c r="DQ176">
        <v>1</v>
      </c>
      <c r="DU176">
        <v>1005</v>
      </c>
      <c r="DV176" t="s">
        <v>124</v>
      </c>
      <c r="DW176" t="s">
        <v>124</v>
      </c>
      <c r="DX176">
        <v>100</v>
      </c>
      <c r="DZ176" t="s">
        <v>6</v>
      </c>
      <c r="EA176" t="s">
        <v>6</v>
      </c>
      <c r="EB176" t="s">
        <v>6</v>
      </c>
      <c r="EC176" t="s">
        <v>6</v>
      </c>
      <c r="EE176">
        <v>30852936</v>
      </c>
      <c r="EF176">
        <v>2</v>
      </c>
      <c r="EG176" t="s">
        <v>26</v>
      </c>
      <c r="EH176">
        <v>0</v>
      </c>
      <c r="EI176" t="s">
        <v>6</v>
      </c>
      <c r="EJ176">
        <v>1</v>
      </c>
      <c r="EK176">
        <v>15001</v>
      </c>
      <c r="EL176" t="s">
        <v>128</v>
      </c>
      <c r="EM176" t="s">
        <v>129</v>
      </c>
      <c r="EO176" t="s">
        <v>6</v>
      </c>
      <c r="EQ176">
        <v>0</v>
      </c>
      <c r="ER176">
        <v>2043.38</v>
      </c>
      <c r="ES176">
        <v>1385.44</v>
      </c>
      <c r="ET176">
        <v>19.25</v>
      </c>
      <c r="EU176">
        <v>0.39</v>
      </c>
      <c r="EV176">
        <v>638.69000000000005</v>
      </c>
      <c r="EW176">
        <v>68.75</v>
      </c>
      <c r="EX176">
        <v>0.03</v>
      </c>
      <c r="EY176">
        <v>0</v>
      </c>
      <c r="FQ176">
        <v>0</v>
      </c>
      <c r="FR176">
        <f t="shared" si="202"/>
        <v>0</v>
      </c>
      <c r="FS176">
        <v>0</v>
      </c>
      <c r="FT176" t="s">
        <v>29</v>
      </c>
      <c r="FU176" t="s">
        <v>30</v>
      </c>
      <c r="FX176">
        <v>90</v>
      </c>
      <c r="FY176">
        <v>41.65</v>
      </c>
      <c r="GA176" t="s">
        <v>6</v>
      </c>
      <c r="GD176">
        <v>1</v>
      </c>
      <c r="GF176">
        <v>-377485160</v>
      </c>
      <c r="GG176">
        <v>2</v>
      </c>
      <c r="GH176">
        <v>1</v>
      </c>
      <c r="GI176">
        <v>4</v>
      </c>
      <c r="GJ176">
        <v>0</v>
      </c>
      <c r="GK176">
        <v>0</v>
      </c>
      <c r="GL176">
        <f t="shared" si="203"/>
        <v>0</v>
      </c>
      <c r="GM176">
        <f t="shared" si="204"/>
        <v>1509.99</v>
      </c>
      <c r="GN176">
        <f t="shared" si="205"/>
        <v>1509.99</v>
      </c>
      <c r="GO176">
        <f t="shared" si="206"/>
        <v>0</v>
      </c>
      <c r="GP176">
        <f t="shared" si="207"/>
        <v>0</v>
      </c>
      <c r="GR176">
        <v>0</v>
      </c>
      <c r="GS176">
        <v>3</v>
      </c>
      <c r="GT176">
        <v>0</v>
      </c>
      <c r="GU176" t="s">
        <v>6</v>
      </c>
      <c r="GV176">
        <f t="shared" si="208"/>
        <v>0</v>
      </c>
      <c r="GW176">
        <v>1</v>
      </c>
      <c r="GX176">
        <f t="shared" si="209"/>
        <v>0</v>
      </c>
      <c r="HA176">
        <v>0</v>
      </c>
      <c r="HB176">
        <v>0</v>
      </c>
      <c r="HC176">
        <f t="shared" si="210"/>
        <v>0</v>
      </c>
      <c r="HE176" t="s">
        <v>6</v>
      </c>
      <c r="HF176" t="s">
        <v>6</v>
      </c>
      <c r="HI176">
        <f t="shared" si="211"/>
        <v>6</v>
      </c>
      <c r="HJ176">
        <f t="shared" si="212"/>
        <v>9165</v>
      </c>
      <c r="HK176">
        <f t="shared" si="213"/>
        <v>8254</v>
      </c>
      <c r="HL176">
        <f t="shared" si="214"/>
        <v>3820</v>
      </c>
      <c r="HM176" t="s">
        <v>6</v>
      </c>
      <c r="HN176" t="s">
        <v>6</v>
      </c>
      <c r="HO176" t="s">
        <v>6</v>
      </c>
      <c r="HP176" t="s">
        <v>6</v>
      </c>
      <c r="HQ176" t="s">
        <v>6</v>
      </c>
      <c r="IK176">
        <v>0</v>
      </c>
    </row>
    <row r="177" spans="1:245">
      <c r="A177">
        <v>17</v>
      </c>
      <c r="B177">
        <v>1</v>
      </c>
      <c r="C177">
        <f>ROW(SmtRes!A394)</f>
        <v>394</v>
      </c>
      <c r="D177">
        <f>ROW(EtalonRes!A419)</f>
        <v>419</v>
      </c>
      <c r="E177" t="s">
        <v>388</v>
      </c>
      <c r="F177" t="s">
        <v>389</v>
      </c>
      <c r="G177" t="s">
        <v>390</v>
      </c>
      <c r="H177" t="s">
        <v>22</v>
      </c>
      <c r="I177">
        <f>ROUND(33/100,7)</f>
        <v>0.33</v>
      </c>
      <c r="J177">
        <v>0</v>
      </c>
      <c r="K177">
        <f>ROUND(33/100,7)</f>
        <v>0.33</v>
      </c>
      <c r="O177">
        <f t="shared" si="182"/>
        <v>8848.39</v>
      </c>
      <c r="P177">
        <f t="shared" si="183"/>
        <v>8012.48</v>
      </c>
      <c r="Q177">
        <f t="shared" si="184"/>
        <v>467.69</v>
      </c>
      <c r="R177">
        <f t="shared" si="185"/>
        <v>52.23</v>
      </c>
      <c r="S177">
        <f t="shared" si="186"/>
        <v>368.22</v>
      </c>
      <c r="T177">
        <f t="shared" si="187"/>
        <v>0</v>
      </c>
      <c r="U177">
        <f t="shared" si="188"/>
        <v>40.552611000000006</v>
      </c>
      <c r="V177">
        <f t="shared" si="189"/>
        <v>4.0084687500000005</v>
      </c>
      <c r="W177">
        <f t="shared" si="190"/>
        <v>0</v>
      </c>
      <c r="X177">
        <f t="shared" si="191"/>
        <v>408.68</v>
      </c>
      <c r="Y177">
        <f t="shared" si="191"/>
        <v>196.56</v>
      </c>
      <c r="AA177">
        <v>31028412</v>
      </c>
      <c r="AB177">
        <f t="shared" si="192"/>
        <v>26813.2821</v>
      </c>
      <c r="AC177">
        <f t="shared" si="193"/>
        <v>24280.23</v>
      </c>
      <c r="AD177">
        <f>ROUND(((((ET177*ROUND((1.25*1.15),7)))-((EU177*ROUND((1.25*1.15),7))))+AE177),6)</f>
        <v>1417.245625</v>
      </c>
      <c r="AE177">
        <f>ROUND(((EU177*ROUND((1.25*1.15),7))),6)</f>
        <v>158.26875000000001</v>
      </c>
      <c r="AF177">
        <f>ROUND(((EV177*ROUND((1.15*1.15),7))),6)</f>
        <v>1115.8064750000001</v>
      </c>
      <c r="AG177">
        <f t="shared" si="194"/>
        <v>0</v>
      </c>
      <c r="AH177">
        <f>((EW177*ROUND((1.15*1.15),7)))</f>
        <v>122.8867</v>
      </c>
      <c r="AI177">
        <f>((EX177*ROUND((1.25*1.15),7)))</f>
        <v>12.146875</v>
      </c>
      <c r="AJ177">
        <f t="shared" si="195"/>
        <v>0</v>
      </c>
      <c r="AK177">
        <v>26109.85</v>
      </c>
      <c r="AL177">
        <v>24280.23</v>
      </c>
      <c r="AM177">
        <v>985.91</v>
      </c>
      <c r="AN177">
        <v>110.1</v>
      </c>
      <c r="AO177">
        <v>843.71</v>
      </c>
      <c r="AP177">
        <v>0</v>
      </c>
      <c r="AQ177">
        <v>92.92</v>
      </c>
      <c r="AR177">
        <v>8.4499999999999993</v>
      </c>
      <c r="AS177">
        <v>0</v>
      </c>
      <c r="AT177">
        <v>97.2</v>
      </c>
      <c r="AU177">
        <v>46.75</v>
      </c>
      <c r="AV177">
        <v>1</v>
      </c>
      <c r="AW177">
        <v>1</v>
      </c>
      <c r="AZ177">
        <v>1</v>
      </c>
      <c r="BA177">
        <v>24.22</v>
      </c>
      <c r="BB177">
        <v>1</v>
      </c>
      <c r="BC177">
        <v>1</v>
      </c>
      <c r="BD177" t="s">
        <v>6</v>
      </c>
      <c r="BE177" t="s">
        <v>6</v>
      </c>
      <c r="BF177" t="s">
        <v>6</v>
      </c>
      <c r="BG177" t="s">
        <v>6</v>
      </c>
      <c r="BH177">
        <v>0</v>
      </c>
      <c r="BI177">
        <v>1</v>
      </c>
      <c r="BJ177" t="s">
        <v>391</v>
      </c>
      <c r="BM177">
        <v>10001</v>
      </c>
      <c r="BN177">
        <v>0</v>
      </c>
      <c r="BO177" t="s">
        <v>1327</v>
      </c>
      <c r="BP177">
        <v>1</v>
      </c>
      <c r="BQ177">
        <v>2</v>
      </c>
      <c r="BR177">
        <v>0</v>
      </c>
      <c r="BS177">
        <v>24.22</v>
      </c>
      <c r="BT177">
        <v>1</v>
      </c>
      <c r="BU177">
        <v>1</v>
      </c>
      <c r="BV177">
        <v>1</v>
      </c>
      <c r="BW177">
        <v>1</v>
      </c>
      <c r="BX177">
        <v>1</v>
      </c>
      <c r="BY177" t="s">
        <v>6</v>
      </c>
      <c r="BZ177">
        <v>108</v>
      </c>
      <c r="CA177">
        <v>55</v>
      </c>
      <c r="CB177" t="s">
        <v>6</v>
      </c>
      <c r="CE177">
        <v>0</v>
      </c>
      <c r="CF177">
        <v>0</v>
      </c>
      <c r="CG177">
        <v>0</v>
      </c>
      <c r="CM177">
        <v>0</v>
      </c>
      <c r="CN177" t="s">
        <v>6</v>
      </c>
      <c r="CO177">
        <v>0</v>
      </c>
      <c r="CP177">
        <f t="shared" si="196"/>
        <v>8848.39</v>
      </c>
      <c r="CQ177">
        <f t="shared" si="197"/>
        <v>24280.23</v>
      </c>
      <c r="CR177">
        <f t="shared" si="198"/>
        <v>1417.245625</v>
      </c>
      <c r="CS177">
        <f t="shared" si="199"/>
        <v>158.26875000000001</v>
      </c>
      <c r="CT177">
        <f t="shared" si="199"/>
        <v>1115.8064750000001</v>
      </c>
      <c r="CU177">
        <f t="shared" si="199"/>
        <v>0</v>
      </c>
      <c r="CV177">
        <f t="shared" si="199"/>
        <v>122.8867</v>
      </c>
      <c r="CW177">
        <f t="shared" si="199"/>
        <v>12.146875</v>
      </c>
      <c r="CX177">
        <f t="shared" si="199"/>
        <v>0</v>
      </c>
      <c r="CY177">
        <f t="shared" si="200"/>
        <v>408.67740000000003</v>
      </c>
      <c r="CZ177">
        <f t="shared" si="201"/>
        <v>196.56037500000002</v>
      </c>
      <c r="DC177" t="s">
        <v>6</v>
      </c>
      <c r="DD177" t="s">
        <v>6</v>
      </c>
      <c r="DE177" t="s">
        <v>126</v>
      </c>
      <c r="DF177" t="s">
        <v>126</v>
      </c>
      <c r="DG177" t="s">
        <v>127</v>
      </c>
      <c r="DH177" t="s">
        <v>6</v>
      </c>
      <c r="DI177" t="s">
        <v>127</v>
      </c>
      <c r="DJ177" t="s">
        <v>126</v>
      </c>
      <c r="DK177" t="s">
        <v>6</v>
      </c>
      <c r="DL177" t="s">
        <v>6</v>
      </c>
      <c r="DM177" t="s">
        <v>6</v>
      </c>
      <c r="DN177">
        <v>0</v>
      </c>
      <c r="DO177">
        <v>0</v>
      </c>
      <c r="DP177">
        <v>1</v>
      </c>
      <c r="DQ177">
        <v>1</v>
      </c>
      <c r="DU177">
        <v>1013</v>
      </c>
      <c r="DV177" t="s">
        <v>22</v>
      </c>
      <c r="DW177" t="s">
        <v>22</v>
      </c>
      <c r="DX177">
        <v>1</v>
      </c>
      <c r="DZ177" t="s">
        <v>6</v>
      </c>
      <c r="EA177" t="s">
        <v>6</v>
      </c>
      <c r="EB177" t="s">
        <v>6</v>
      </c>
      <c r="EC177" t="s">
        <v>6</v>
      </c>
      <c r="EE177">
        <v>30852905</v>
      </c>
      <c r="EF177">
        <v>2</v>
      </c>
      <c r="EG177" t="s">
        <v>26</v>
      </c>
      <c r="EH177">
        <v>0</v>
      </c>
      <c r="EI177" t="s">
        <v>6</v>
      </c>
      <c r="EJ177">
        <v>1</v>
      </c>
      <c r="EK177">
        <v>10001</v>
      </c>
      <c r="EL177" t="s">
        <v>27</v>
      </c>
      <c r="EM177" t="s">
        <v>28</v>
      </c>
      <c r="EO177" t="s">
        <v>6</v>
      </c>
      <c r="EQ177">
        <v>131072</v>
      </c>
      <c r="ER177">
        <v>26109.85</v>
      </c>
      <c r="ES177">
        <v>24280.23</v>
      </c>
      <c r="ET177">
        <v>985.91</v>
      </c>
      <c r="EU177">
        <v>110.1</v>
      </c>
      <c r="EV177">
        <v>843.71</v>
      </c>
      <c r="EW177">
        <v>92.92</v>
      </c>
      <c r="EX177">
        <v>8.4499999999999993</v>
      </c>
      <c r="EY177">
        <v>0</v>
      </c>
      <c r="FQ177">
        <v>0</v>
      </c>
      <c r="FR177">
        <f t="shared" si="202"/>
        <v>0</v>
      </c>
      <c r="FS177">
        <v>0</v>
      </c>
      <c r="FT177" t="s">
        <v>29</v>
      </c>
      <c r="FU177" t="s">
        <v>30</v>
      </c>
      <c r="FX177">
        <v>97.2</v>
      </c>
      <c r="FY177">
        <v>46.75</v>
      </c>
      <c r="GA177" t="s">
        <v>6</v>
      </c>
      <c r="GD177">
        <v>1</v>
      </c>
      <c r="GF177">
        <v>273056733</v>
      </c>
      <c r="GG177">
        <v>2</v>
      </c>
      <c r="GH177">
        <v>1</v>
      </c>
      <c r="GI177">
        <v>4</v>
      </c>
      <c r="GJ177">
        <v>0</v>
      </c>
      <c r="GK177">
        <v>0</v>
      </c>
      <c r="GL177">
        <f t="shared" si="203"/>
        <v>0</v>
      </c>
      <c r="GM177">
        <f t="shared" si="204"/>
        <v>9453.6299999999992</v>
      </c>
      <c r="GN177">
        <f t="shared" si="205"/>
        <v>9453.6299999999992</v>
      </c>
      <c r="GO177">
        <f t="shared" si="206"/>
        <v>0</v>
      </c>
      <c r="GP177">
        <f t="shared" si="207"/>
        <v>0</v>
      </c>
      <c r="GR177">
        <v>0</v>
      </c>
      <c r="GS177">
        <v>0</v>
      </c>
      <c r="GT177">
        <v>0</v>
      </c>
      <c r="GU177" t="s">
        <v>6</v>
      </c>
      <c r="GV177">
        <f t="shared" si="208"/>
        <v>0</v>
      </c>
      <c r="GW177">
        <v>1</v>
      </c>
      <c r="GX177">
        <f t="shared" si="209"/>
        <v>0</v>
      </c>
      <c r="HA177">
        <v>0</v>
      </c>
      <c r="HB177">
        <v>0</v>
      </c>
      <c r="HC177">
        <f t="shared" si="210"/>
        <v>0</v>
      </c>
      <c r="HE177" t="s">
        <v>6</v>
      </c>
      <c r="HF177" t="s">
        <v>6</v>
      </c>
      <c r="HI177">
        <f t="shared" si="211"/>
        <v>1265</v>
      </c>
      <c r="HJ177">
        <f t="shared" si="212"/>
        <v>8918</v>
      </c>
      <c r="HK177">
        <f t="shared" si="213"/>
        <v>9898</v>
      </c>
      <c r="HL177">
        <f t="shared" si="214"/>
        <v>4761</v>
      </c>
      <c r="HM177" t="s">
        <v>6</v>
      </c>
      <c r="HN177" t="s">
        <v>6</v>
      </c>
      <c r="HO177" t="s">
        <v>6</v>
      </c>
      <c r="HP177" t="s">
        <v>6</v>
      </c>
      <c r="HQ177" t="s">
        <v>6</v>
      </c>
      <c r="IK177">
        <v>0</v>
      </c>
    </row>
    <row r="178" spans="1:245">
      <c r="A178">
        <v>17</v>
      </c>
      <c r="B178">
        <v>1</v>
      </c>
      <c r="E178" t="s">
        <v>392</v>
      </c>
      <c r="F178" t="s">
        <v>393</v>
      </c>
      <c r="G178" t="s">
        <v>394</v>
      </c>
      <c r="H178" t="s">
        <v>284</v>
      </c>
      <c r="I178">
        <f>ROUND(I177*-100,7)</f>
        <v>-33</v>
      </c>
      <c r="J178">
        <v>0</v>
      </c>
      <c r="K178">
        <f>ROUND(I177*-100,7)</f>
        <v>-33</v>
      </c>
      <c r="O178">
        <f t="shared" si="182"/>
        <v>-7377.15</v>
      </c>
      <c r="P178">
        <f t="shared" si="183"/>
        <v>-7377.15</v>
      </c>
      <c r="Q178">
        <f t="shared" si="184"/>
        <v>0</v>
      </c>
      <c r="R178">
        <f t="shared" si="185"/>
        <v>0</v>
      </c>
      <c r="S178">
        <f t="shared" si="186"/>
        <v>0</v>
      </c>
      <c r="T178">
        <f t="shared" si="187"/>
        <v>0</v>
      </c>
      <c r="U178">
        <f t="shared" si="188"/>
        <v>0</v>
      </c>
      <c r="V178">
        <f t="shared" si="189"/>
        <v>0</v>
      </c>
      <c r="W178">
        <f t="shared" si="190"/>
        <v>0</v>
      </c>
      <c r="X178">
        <f t="shared" si="191"/>
        <v>0</v>
      </c>
      <c r="Y178">
        <f t="shared" si="191"/>
        <v>0</v>
      </c>
      <c r="AA178">
        <v>31028412</v>
      </c>
      <c r="AB178">
        <f t="shared" si="192"/>
        <v>223.55</v>
      </c>
      <c r="AC178">
        <f t="shared" si="193"/>
        <v>223.55</v>
      </c>
      <c r="AD178">
        <f>ROUND((((ET178)-(EU178))+AE178),6)</f>
        <v>0</v>
      </c>
      <c r="AE178">
        <f t="shared" ref="AE178:AF180" si="215">ROUND((EU178),6)</f>
        <v>0</v>
      </c>
      <c r="AF178">
        <f t="shared" si="215"/>
        <v>0</v>
      </c>
      <c r="AG178">
        <f t="shared" si="194"/>
        <v>0</v>
      </c>
      <c r="AH178">
        <f t="shared" ref="AH178:AI180" si="216">(EW178)</f>
        <v>0</v>
      </c>
      <c r="AI178">
        <f t="shared" si="216"/>
        <v>0</v>
      </c>
      <c r="AJ178">
        <f t="shared" si="195"/>
        <v>0</v>
      </c>
      <c r="AK178">
        <v>223.55</v>
      </c>
      <c r="AL178">
        <v>223.55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1</v>
      </c>
      <c r="AW178">
        <v>1</v>
      </c>
      <c r="AZ178">
        <v>1</v>
      </c>
      <c r="BA178">
        <v>1</v>
      </c>
      <c r="BB178">
        <v>1</v>
      </c>
      <c r="BC178">
        <v>1</v>
      </c>
      <c r="BD178" t="s">
        <v>6</v>
      </c>
      <c r="BE178" t="s">
        <v>6</v>
      </c>
      <c r="BF178" t="s">
        <v>6</v>
      </c>
      <c r="BG178" t="s">
        <v>6</v>
      </c>
      <c r="BH178">
        <v>3</v>
      </c>
      <c r="BI178">
        <v>1</v>
      </c>
      <c r="BJ178" t="s">
        <v>395</v>
      </c>
      <c r="BM178">
        <v>500001</v>
      </c>
      <c r="BN178">
        <v>0</v>
      </c>
      <c r="BO178" t="s">
        <v>111</v>
      </c>
      <c r="BP178">
        <v>1</v>
      </c>
      <c r="BQ178">
        <v>8</v>
      </c>
      <c r="BR178">
        <v>1</v>
      </c>
      <c r="BS178">
        <v>1</v>
      </c>
      <c r="BT178">
        <v>1</v>
      </c>
      <c r="BU178">
        <v>1</v>
      </c>
      <c r="BV178">
        <v>1</v>
      </c>
      <c r="BW178">
        <v>1</v>
      </c>
      <c r="BX178">
        <v>1</v>
      </c>
      <c r="BY178" t="s">
        <v>6</v>
      </c>
      <c r="BZ178">
        <v>0</v>
      </c>
      <c r="CA178">
        <v>0</v>
      </c>
      <c r="CB178" t="s">
        <v>6</v>
      </c>
      <c r="CE178">
        <v>0</v>
      </c>
      <c r="CF178">
        <v>0</v>
      </c>
      <c r="CG178">
        <v>0</v>
      </c>
      <c r="CM178">
        <v>0</v>
      </c>
      <c r="CN178" t="s">
        <v>6</v>
      </c>
      <c r="CO178">
        <v>0</v>
      </c>
      <c r="CP178">
        <f t="shared" si="196"/>
        <v>-7377.15</v>
      </c>
      <c r="CQ178">
        <f t="shared" si="197"/>
        <v>223.55</v>
      </c>
      <c r="CR178">
        <f t="shared" si="198"/>
        <v>0</v>
      </c>
      <c r="CS178">
        <f t="shared" si="199"/>
        <v>0</v>
      </c>
      <c r="CT178">
        <f t="shared" si="199"/>
        <v>0</v>
      </c>
      <c r="CU178">
        <f t="shared" si="199"/>
        <v>0</v>
      </c>
      <c r="CV178">
        <f t="shared" si="199"/>
        <v>0</v>
      </c>
      <c r="CW178">
        <f t="shared" si="199"/>
        <v>0</v>
      </c>
      <c r="CX178">
        <f t="shared" si="199"/>
        <v>0</v>
      </c>
      <c r="CY178">
        <f t="shared" si="200"/>
        <v>0</v>
      </c>
      <c r="CZ178">
        <f t="shared" si="201"/>
        <v>0</v>
      </c>
      <c r="DC178" t="s">
        <v>6</v>
      </c>
      <c r="DD178" t="s">
        <v>6</v>
      </c>
      <c r="DE178" t="s">
        <v>6</v>
      </c>
      <c r="DF178" t="s">
        <v>6</v>
      </c>
      <c r="DG178" t="s">
        <v>6</v>
      </c>
      <c r="DH178" t="s">
        <v>6</v>
      </c>
      <c r="DI178" t="s">
        <v>6</v>
      </c>
      <c r="DJ178" t="s">
        <v>6</v>
      </c>
      <c r="DK178" t="s">
        <v>6</v>
      </c>
      <c r="DL178" t="s">
        <v>6</v>
      </c>
      <c r="DM178" t="s">
        <v>6</v>
      </c>
      <c r="DN178">
        <v>0</v>
      </c>
      <c r="DO178">
        <v>0</v>
      </c>
      <c r="DP178">
        <v>1</v>
      </c>
      <c r="DQ178">
        <v>1</v>
      </c>
      <c r="DU178">
        <v>1005</v>
      </c>
      <c r="DV178" t="s">
        <v>284</v>
      </c>
      <c r="DW178" t="s">
        <v>284</v>
      </c>
      <c r="DX178">
        <v>1</v>
      </c>
      <c r="DZ178" t="s">
        <v>6</v>
      </c>
      <c r="EA178" t="s">
        <v>6</v>
      </c>
      <c r="EB178" t="s">
        <v>6</v>
      </c>
      <c r="EC178" t="s">
        <v>6</v>
      </c>
      <c r="EE178">
        <v>30852824</v>
      </c>
      <c r="EF178">
        <v>8</v>
      </c>
      <c r="EG178" t="s">
        <v>112</v>
      </c>
      <c r="EH178">
        <v>0</v>
      </c>
      <c r="EI178" t="s">
        <v>6</v>
      </c>
      <c r="EJ178">
        <v>1</v>
      </c>
      <c r="EK178">
        <v>500001</v>
      </c>
      <c r="EL178" t="s">
        <v>113</v>
      </c>
      <c r="EM178" t="s">
        <v>114</v>
      </c>
      <c r="EO178" t="s">
        <v>6</v>
      </c>
      <c r="EQ178">
        <v>32768</v>
      </c>
      <c r="ER178">
        <v>223.55</v>
      </c>
      <c r="ES178">
        <v>223.55</v>
      </c>
      <c r="ET178">
        <v>0</v>
      </c>
      <c r="EU178">
        <v>0</v>
      </c>
      <c r="EV178">
        <v>0</v>
      </c>
      <c r="EW178">
        <v>0</v>
      </c>
      <c r="EX178">
        <v>0</v>
      </c>
      <c r="EY178">
        <v>0</v>
      </c>
      <c r="FQ178">
        <v>0</v>
      </c>
      <c r="FR178">
        <f t="shared" si="202"/>
        <v>0</v>
      </c>
      <c r="FS178">
        <v>0</v>
      </c>
      <c r="FX178">
        <v>0</v>
      </c>
      <c r="FY178">
        <v>0</v>
      </c>
      <c r="GA178" t="s">
        <v>6</v>
      </c>
      <c r="GD178">
        <v>1</v>
      </c>
      <c r="GF178">
        <v>-519000453</v>
      </c>
      <c r="GG178">
        <v>2</v>
      </c>
      <c r="GH178">
        <v>1</v>
      </c>
      <c r="GI178">
        <v>4</v>
      </c>
      <c r="GJ178">
        <v>0</v>
      </c>
      <c r="GK178">
        <v>0</v>
      </c>
      <c r="GL178">
        <f t="shared" si="203"/>
        <v>0</v>
      </c>
      <c r="GM178">
        <f t="shared" si="204"/>
        <v>-7377.15</v>
      </c>
      <c r="GN178">
        <f t="shared" si="205"/>
        <v>-7377.15</v>
      </c>
      <c r="GO178">
        <f t="shared" si="206"/>
        <v>0</v>
      </c>
      <c r="GP178">
        <f t="shared" si="207"/>
        <v>0</v>
      </c>
      <c r="GR178">
        <v>0</v>
      </c>
      <c r="GS178">
        <v>0</v>
      </c>
      <c r="GT178">
        <v>0</v>
      </c>
      <c r="GU178" t="s">
        <v>6</v>
      </c>
      <c r="GV178">
        <f t="shared" si="208"/>
        <v>0</v>
      </c>
      <c r="GW178">
        <v>1</v>
      </c>
      <c r="GX178">
        <f t="shared" si="209"/>
        <v>0</v>
      </c>
      <c r="HA178">
        <v>0</v>
      </c>
      <c r="HB178">
        <v>0</v>
      </c>
      <c r="HC178">
        <f t="shared" si="210"/>
        <v>0</v>
      </c>
      <c r="HE178" t="s">
        <v>6</v>
      </c>
      <c r="HF178" t="s">
        <v>6</v>
      </c>
      <c r="HI178">
        <f t="shared" si="211"/>
        <v>0</v>
      </c>
      <c r="HJ178">
        <f t="shared" si="212"/>
        <v>0</v>
      </c>
      <c r="HK178">
        <f t="shared" si="213"/>
        <v>0</v>
      </c>
      <c r="HL178">
        <f t="shared" si="214"/>
        <v>0</v>
      </c>
      <c r="HM178" t="s">
        <v>6</v>
      </c>
      <c r="HN178" t="s">
        <v>6</v>
      </c>
      <c r="HO178" t="s">
        <v>6</v>
      </c>
      <c r="HP178" t="s">
        <v>6</v>
      </c>
      <c r="HQ178" t="s">
        <v>6</v>
      </c>
      <c r="IK178">
        <v>0</v>
      </c>
    </row>
    <row r="179" spans="1:245">
      <c r="A179">
        <v>17</v>
      </c>
      <c r="B179">
        <v>1</v>
      </c>
      <c r="E179" t="s">
        <v>396</v>
      </c>
      <c r="F179" t="s">
        <v>397</v>
      </c>
      <c r="G179" t="s">
        <v>398</v>
      </c>
      <c r="H179" t="s">
        <v>6</v>
      </c>
      <c r="I179">
        <v>33</v>
      </c>
      <c r="J179">
        <v>0</v>
      </c>
      <c r="K179">
        <v>33</v>
      </c>
      <c r="O179">
        <f t="shared" si="182"/>
        <v>105931.6</v>
      </c>
      <c r="P179">
        <f>ROUND(ROUND(CQ179*I179,0)/BC179,2)</f>
        <v>105931.6</v>
      </c>
      <c r="Q179">
        <f t="shared" si="184"/>
        <v>0</v>
      </c>
      <c r="R179">
        <f t="shared" si="185"/>
        <v>0</v>
      </c>
      <c r="S179">
        <f t="shared" si="186"/>
        <v>0</v>
      </c>
      <c r="T179">
        <f t="shared" si="187"/>
        <v>0</v>
      </c>
      <c r="U179">
        <f t="shared" si="188"/>
        <v>0</v>
      </c>
      <c r="V179">
        <f t="shared" si="189"/>
        <v>0</v>
      </c>
      <c r="W179">
        <f t="shared" si="190"/>
        <v>0</v>
      </c>
      <c r="X179">
        <f t="shared" si="191"/>
        <v>0</v>
      </c>
      <c r="Y179">
        <f t="shared" si="191"/>
        <v>0</v>
      </c>
      <c r="AA179">
        <v>31028412</v>
      </c>
      <c r="AB179">
        <f t="shared" si="192"/>
        <v>19806</v>
      </c>
      <c r="AC179">
        <f t="shared" si="193"/>
        <v>19806</v>
      </c>
      <c r="AD179">
        <f>ROUND((((ET179)-(EU179))+AE179),6)</f>
        <v>0</v>
      </c>
      <c r="AE179">
        <f t="shared" si="215"/>
        <v>0</v>
      </c>
      <c r="AF179">
        <f t="shared" si="215"/>
        <v>0</v>
      </c>
      <c r="AG179">
        <f t="shared" si="194"/>
        <v>0</v>
      </c>
      <c r="AH179">
        <f t="shared" si="216"/>
        <v>0</v>
      </c>
      <c r="AI179">
        <f t="shared" si="216"/>
        <v>0</v>
      </c>
      <c r="AJ179">
        <f t="shared" si="195"/>
        <v>0</v>
      </c>
      <c r="AK179">
        <v>19806</v>
      </c>
      <c r="AL179">
        <v>19806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1</v>
      </c>
      <c r="AW179">
        <v>1</v>
      </c>
      <c r="AZ179">
        <v>1</v>
      </c>
      <c r="BA179">
        <v>1</v>
      </c>
      <c r="BB179">
        <v>1</v>
      </c>
      <c r="BC179">
        <v>6.17</v>
      </c>
      <c r="BD179" t="s">
        <v>6</v>
      </c>
      <c r="BE179" t="s">
        <v>6</v>
      </c>
      <c r="BF179" t="s">
        <v>6</v>
      </c>
      <c r="BG179" t="s">
        <v>6</v>
      </c>
      <c r="BH179">
        <v>3</v>
      </c>
      <c r="BI179">
        <v>1</v>
      </c>
      <c r="BJ179" t="s">
        <v>6</v>
      </c>
      <c r="BM179">
        <v>1100</v>
      </c>
      <c r="BN179">
        <v>0</v>
      </c>
      <c r="BO179" t="s">
        <v>111</v>
      </c>
      <c r="BP179">
        <v>1</v>
      </c>
      <c r="BQ179">
        <v>8</v>
      </c>
      <c r="BR179">
        <v>0</v>
      </c>
      <c r="BS179">
        <v>1</v>
      </c>
      <c r="BT179">
        <v>1</v>
      </c>
      <c r="BU179">
        <v>1</v>
      </c>
      <c r="BV179">
        <v>1</v>
      </c>
      <c r="BW179">
        <v>1</v>
      </c>
      <c r="BX179">
        <v>1</v>
      </c>
      <c r="BY179" t="s">
        <v>6</v>
      </c>
      <c r="BZ179">
        <v>0</v>
      </c>
      <c r="CA179">
        <v>0</v>
      </c>
      <c r="CB179" t="s">
        <v>6</v>
      </c>
      <c r="CE179">
        <v>0</v>
      </c>
      <c r="CF179">
        <v>0</v>
      </c>
      <c r="CG179">
        <v>0</v>
      </c>
      <c r="CM179">
        <v>0</v>
      </c>
      <c r="CN179" t="s">
        <v>6</v>
      </c>
      <c r="CO179">
        <v>0</v>
      </c>
      <c r="CP179">
        <f t="shared" si="196"/>
        <v>105931.6</v>
      </c>
      <c r="CQ179">
        <f>AC179</f>
        <v>19806</v>
      </c>
      <c r="CR179">
        <f t="shared" si="198"/>
        <v>0</v>
      </c>
      <c r="CS179">
        <f t="shared" si="199"/>
        <v>0</v>
      </c>
      <c r="CT179">
        <f t="shared" si="199"/>
        <v>0</v>
      </c>
      <c r="CU179">
        <f t="shared" si="199"/>
        <v>0</v>
      </c>
      <c r="CV179">
        <f t="shared" si="199"/>
        <v>0</v>
      </c>
      <c r="CW179">
        <f t="shared" si="199"/>
        <v>0</v>
      </c>
      <c r="CX179">
        <f t="shared" si="199"/>
        <v>0</v>
      </c>
      <c r="CY179">
        <f t="shared" si="200"/>
        <v>0</v>
      </c>
      <c r="CZ179">
        <f t="shared" si="201"/>
        <v>0</v>
      </c>
      <c r="DC179" t="s">
        <v>6</v>
      </c>
      <c r="DD179" t="s">
        <v>6</v>
      </c>
      <c r="DE179" t="s">
        <v>6</v>
      </c>
      <c r="DF179" t="s">
        <v>6</v>
      </c>
      <c r="DG179" t="s">
        <v>6</v>
      </c>
      <c r="DH179" t="s">
        <v>6</v>
      </c>
      <c r="DI179" t="s">
        <v>6</v>
      </c>
      <c r="DJ179" t="s">
        <v>6</v>
      </c>
      <c r="DK179" t="s">
        <v>6</v>
      </c>
      <c r="DL179" t="s">
        <v>6</v>
      </c>
      <c r="DM179" t="s">
        <v>6</v>
      </c>
      <c r="DN179">
        <v>0</v>
      </c>
      <c r="DO179">
        <v>0</v>
      </c>
      <c r="DP179">
        <v>1</v>
      </c>
      <c r="DQ179">
        <v>1</v>
      </c>
      <c r="DZ179" t="s">
        <v>6</v>
      </c>
      <c r="EA179" t="s">
        <v>6</v>
      </c>
      <c r="EB179" t="s">
        <v>6</v>
      </c>
      <c r="EC179" t="s">
        <v>6</v>
      </c>
      <c r="EE179">
        <v>30853118</v>
      </c>
      <c r="EF179">
        <v>8</v>
      </c>
      <c r="EG179" t="s">
        <v>112</v>
      </c>
      <c r="EH179">
        <v>0</v>
      </c>
      <c r="EI179" t="s">
        <v>6</v>
      </c>
      <c r="EJ179">
        <v>1</v>
      </c>
      <c r="EK179">
        <v>1100</v>
      </c>
      <c r="EL179" t="s">
        <v>119</v>
      </c>
      <c r="EM179" t="s">
        <v>120</v>
      </c>
      <c r="EO179" t="s">
        <v>6</v>
      </c>
      <c r="EQ179">
        <v>0</v>
      </c>
      <c r="ER179">
        <v>19806</v>
      </c>
      <c r="ES179">
        <v>19806</v>
      </c>
      <c r="ET179">
        <v>0</v>
      </c>
      <c r="EU179">
        <v>0</v>
      </c>
      <c r="EV179">
        <v>0</v>
      </c>
      <c r="EW179">
        <v>0</v>
      </c>
      <c r="EX179">
        <v>0</v>
      </c>
      <c r="EY179">
        <v>0</v>
      </c>
      <c r="EZ179">
        <v>5</v>
      </c>
      <c r="FC179">
        <v>0</v>
      </c>
      <c r="FD179">
        <v>18</v>
      </c>
      <c r="FF179">
        <v>19806</v>
      </c>
      <c r="FQ179">
        <v>0</v>
      </c>
      <c r="FR179">
        <f t="shared" si="202"/>
        <v>0</v>
      </c>
      <c r="FS179">
        <v>0</v>
      </c>
      <c r="FX179">
        <v>0</v>
      </c>
      <c r="FY179">
        <v>0</v>
      </c>
      <c r="GA179" t="s">
        <v>6</v>
      </c>
      <c r="GD179">
        <v>1</v>
      </c>
      <c r="GF179">
        <v>485149920</v>
      </c>
      <c r="GG179">
        <v>2</v>
      </c>
      <c r="GH179">
        <v>3</v>
      </c>
      <c r="GI179">
        <v>4</v>
      </c>
      <c r="GJ179">
        <v>0</v>
      </c>
      <c r="GK179">
        <v>0</v>
      </c>
      <c r="GL179">
        <f t="shared" si="203"/>
        <v>0</v>
      </c>
      <c r="GM179">
        <f t="shared" si="204"/>
        <v>105931.6</v>
      </c>
      <c r="GN179">
        <f t="shared" si="205"/>
        <v>105931.6</v>
      </c>
      <c r="GO179">
        <f t="shared" si="206"/>
        <v>0</v>
      </c>
      <c r="GP179">
        <f t="shared" si="207"/>
        <v>0</v>
      </c>
      <c r="GR179">
        <v>1</v>
      </c>
      <c r="GS179">
        <v>1</v>
      </c>
      <c r="GT179">
        <v>0</v>
      </c>
      <c r="GU179" t="s">
        <v>6</v>
      </c>
      <c r="GV179">
        <f t="shared" si="208"/>
        <v>0</v>
      </c>
      <c r="GW179">
        <v>1</v>
      </c>
      <c r="GX179">
        <f t="shared" si="209"/>
        <v>0</v>
      </c>
      <c r="HA179">
        <v>0</v>
      </c>
      <c r="HB179">
        <v>0</v>
      </c>
      <c r="HC179">
        <f t="shared" si="210"/>
        <v>0</v>
      </c>
      <c r="HE179" t="s">
        <v>6</v>
      </c>
      <c r="HF179" t="s">
        <v>6</v>
      </c>
      <c r="HG179">
        <f>ROUND(AC179*I179,0)</f>
        <v>653598</v>
      </c>
      <c r="HI179">
        <f t="shared" si="211"/>
        <v>0</v>
      </c>
      <c r="HJ179">
        <f t="shared" si="212"/>
        <v>0</v>
      </c>
      <c r="HK179">
        <f t="shared" si="213"/>
        <v>0</v>
      </c>
      <c r="HL179">
        <f t="shared" si="214"/>
        <v>0</v>
      </c>
      <c r="HM179" t="s">
        <v>6</v>
      </c>
      <c r="HN179" t="s">
        <v>6</v>
      </c>
      <c r="HO179" t="s">
        <v>6</v>
      </c>
      <c r="HP179" t="s">
        <v>6</v>
      </c>
      <c r="HQ179" t="s">
        <v>6</v>
      </c>
      <c r="IK179">
        <v>0</v>
      </c>
    </row>
    <row r="180" spans="1:245">
      <c r="A180">
        <v>17</v>
      </c>
      <c r="B180">
        <v>1</v>
      </c>
      <c r="E180" t="s">
        <v>399</v>
      </c>
      <c r="F180" t="s">
        <v>400</v>
      </c>
      <c r="G180" t="s">
        <v>401</v>
      </c>
      <c r="H180" t="s">
        <v>292</v>
      </c>
      <c r="I180">
        <v>12</v>
      </c>
      <c r="J180">
        <v>0</v>
      </c>
      <c r="K180">
        <v>12</v>
      </c>
      <c r="O180">
        <f t="shared" si="182"/>
        <v>1236.96</v>
      </c>
      <c r="P180">
        <f>ROUND(CQ180*I180,2)</f>
        <v>1236.96</v>
      </c>
      <c r="Q180">
        <f t="shared" si="184"/>
        <v>0</v>
      </c>
      <c r="R180">
        <f t="shared" si="185"/>
        <v>0</v>
      </c>
      <c r="S180">
        <f t="shared" si="186"/>
        <v>0</v>
      </c>
      <c r="T180">
        <f t="shared" si="187"/>
        <v>0</v>
      </c>
      <c r="U180">
        <f t="shared" si="188"/>
        <v>0</v>
      </c>
      <c r="V180">
        <f t="shared" si="189"/>
        <v>0</v>
      </c>
      <c r="W180">
        <f t="shared" si="190"/>
        <v>0</v>
      </c>
      <c r="X180">
        <f t="shared" si="191"/>
        <v>0</v>
      </c>
      <c r="Y180">
        <f t="shared" si="191"/>
        <v>0</v>
      </c>
      <c r="AA180">
        <v>31028412</v>
      </c>
      <c r="AB180">
        <f t="shared" si="192"/>
        <v>103.08</v>
      </c>
      <c r="AC180">
        <f t="shared" si="193"/>
        <v>103.08</v>
      </c>
      <c r="AD180">
        <f>ROUND((((ET180)-(EU180))+AE180),6)</f>
        <v>0</v>
      </c>
      <c r="AE180">
        <f t="shared" si="215"/>
        <v>0</v>
      </c>
      <c r="AF180">
        <f t="shared" si="215"/>
        <v>0</v>
      </c>
      <c r="AG180">
        <f t="shared" si="194"/>
        <v>0</v>
      </c>
      <c r="AH180">
        <f t="shared" si="216"/>
        <v>0</v>
      </c>
      <c r="AI180">
        <f t="shared" si="216"/>
        <v>0</v>
      </c>
      <c r="AJ180">
        <f t="shared" si="195"/>
        <v>0</v>
      </c>
      <c r="AK180">
        <v>103.08</v>
      </c>
      <c r="AL180">
        <v>103.08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1</v>
      </c>
      <c r="AW180">
        <v>1</v>
      </c>
      <c r="AZ180">
        <v>1</v>
      </c>
      <c r="BA180">
        <v>1</v>
      </c>
      <c r="BB180">
        <v>1</v>
      </c>
      <c r="BC180">
        <v>1</v>
      </c>
      <c r="BD180" t="s">
        <v>6</v>
      </c>
      <c r="BE180" t="s">
        <v>6</v>
      </c>
      <c r="BF180" t="s">
        <v>6</v>
      </c>
      <c r="BG180" t="s">
        <v>6</v>
      </c>
      <c r="BH180">
        <v>3</v>
      </c>
      <c r="BI180">
        <v>1</v>
      </c>
      <c r="BJ180" t="s">
        <v>402</v>
      </c>
      <c r="BM180">
        <v>500001</v>
      </c>
      <c r="BN180">
        <v>0</v>
      </c>
      <c r="BO180" t="s">
        <v>111</v>
      </c>
      <c r="BP180">
        <v>1</v>
      </c>
      <c r="BQ180">
        <v>8</v>
      </c>
      <c r="BR180">
        <v>0</v>
      </c>
      <c r="BS180">
        <v>1</v>
      </c>
      <c r="BT180">
        <v>1</v>
      </c>
      <c r="BU180">
        <v>1</v>
      </c>
      <c r="BV180">
        <v>1</v>
      </c>
      <c r="BW180">
        <v>1</v>
      </c>
      <c r="BX180">
        <v>1</v>
      </c>
      <c r="BY180" t="s">
        <v>6</v>
      </c>
      <c r="BZ180">
        <v>0</v>
      </c>
      <c r="CA180">
        <v>0</v>
      </c>
      <c r="CB180" t="s">
        <v>6</v>
      </c>
      <c r="CE180">
        <v>0</v>
      </c>
      <c r="CF180">
        <v>0</v>
      </c>
      <c r="CG180">
        <v>0</v>
      </c>
      <c r="CM180">
        <v>0</v>
      </c>
      <c r="CN180" t="s">
        <v>6</v>
      </c>
      <c r="CO180">
        <v>0</v>
      </c>
      <c r="CP180">
        <f t="shared" si="196"/>
        <v>1236.96</v>
      </c>
      <c r="CQ180">
        <f>AC180*BC180</f>
        <v>103.08</v>
      </c>
      <c r="CR180">
        <f t="shared" si="198"/>
        <v>0</v>
      </c>
      <c r="CS180">
        <f t="shared" si="199"/>
        <v>0</v>
      </c>
      <c r="CT180">
        <f t="shared" si="199"/>
        <v>0</v>
      </c>
      <c r="CU180">
        <f t="shared" si="199"/>
        <v>0</v>
      </c>
      <c r="CV180">
        <f t="shared" si="199"/>
        <v>0</v>
      </c>
      <c r="CW180">
        <f t="shared" si="199"/>
        <v>0</v>
      </c>
      <c r="CX180">
        <f t="shared" si="199"/>
        <v>0</v>
      </c>
      <c r="CY180">
        <f t="shared" si="200"/>
        <v>0</v>
      </c>
      <c r="CZ180">
        <f t="shared" si="201"/>
        <v>0</v>
      </c>
      <c r="DC180" t="s">
        <v>6</v>
      </c>
      <c r="DD180" t="s">
        <v>6</v>
      </c>
      <c r="DE180" t="s">
        <v>6</v>
      </c>
      <c r="DF180" t="s">
        <v>6</v>
      </c>
      <c r="DG180" t="s">
        <v>6</v>
      </c>
      <c r="DH180" t="s">
        <v>6</v>
      </c>
      <c r="DI180" t="s">
        <v>6</v>
      </c>
      <c r="DJ180" t="s">
        <v>6</v>
      </c>
      <c r="DK180" t="s">
        <v>6</v>
      </c>
      <c r="DL180" t="s">
        <v>6</v>
      </c>
      <c r="DM180" t="s">
        <v>6</v>
      </c>
      <c r="DN180">
        <v>0</v>
      </c>
      <c r="DO180">
        <v>0</v>
      </c>
      <c r="DP180">
        <v>1</v>
      </c>
      <c r="DQ180">
        <v>1</v>
      </c>
      <c r="DU180">
        <v>1013</v>
      </c>
      <c r="DV180" t="s">
        <v>292</v>
      </c>
      <c r="DW180" t="s">
        <v>292</v>
      </c>
      <c r="DX180">
        <v>1</v>
      </c>
      <c r="DZ180" t="s">
        <v>6</v>
      </c>
      <c r="EA180" t="s">
        <v>6</v>
      </c>
      <c r="EB180" t="s">
        <v>6</v>
      </c>
      <c r="EC180" t="s">
        <v>6</v>
      </c>
      <c r="EE180">
        <v>30852824</v>
      </c>
      <c r="EF180">
        <v>8</v>
      </c>
      <c r="EG180" t="s">
        <v>112</v>
      </c>
      <c r="EH180">
        <v>0</v>
      </c>
      <c r="EI180" t="s">
        <v>6</v>
      </c>
      <c r="EJ180">
        <v>1</v>
      </c>
      <c r="EK180">
        <v>500001</v>
      </c>
      <c r="EL180" t="s">
        <v>113</v>
      </c>
      <c r="EM180" t="s">
        <v>114</v>
      </c>
      <c r="EO180" t="s">
        <v>6</v>
      </c>
      <c r="EQ180">
        <v>131072</v>
      </c>
      <c r="ER180">
        <v>103.08</v>
      </c>
      <c r="ES180">
        <v>103.08</v>
      </c>
      <c r="ET180">
        <v>0</v>
      </c>
      <c r="EU180">
        <v>0</v>
      </c>
      <c r="EV180">
        <v>0</v>
      </c>
      <c r="EW180">
        <v>0</v>
      </c>
      <c r="EX180">
        <v>0</v>
      </c>
      <c r="EY180">
        <v>0</v>
      </c>
      <c r="FQ180">
        <v>0</v>
      </c>
      <c r="FR180">
        <f t="shared" si="202"/>
        <v>0</v>
      </c>
      <c r="FS180">
        <v>0</v>
      </c>
      <c r="FX180">
        <v>0</v>
      </c>
      <c r="FY180">
        <v>0</v>
      </c>
      <c r="GA180" t="s">
        <v>6</v>
      </c>
      <c r="GD180">
        <v>1</v>
      </c>
      <c r="GF180">
        <v>1265615958</v>
      </c>
      <c r="GG180">
        <v>2</v>
      </c>
      <c r="GH180">
        <v>1</v>
      </c>
      <c r="GI180">
        <v>4</v>
      </c>
      <c r="GJ180">
        <v>0</v>
      </c>
      <c r="GK180">
        <v>0</v>
      </c>
      <c r="GL180">
        <f t="shared" si="203"/>
        <v>0</v>
      </c>
      <c r="GM180">
        <f t="shared" si="204"/>
        <v>1236.96</v>
      </c>
      <c r="GN180">
        <f t="shared" si="205"/>
        <v>1236.96</v>
      </c>
      <c r="GO180">
        <f t="shared" si="206"/>
        <v>0</v>
      </c>
      <c r="GP180">
        <f t="shared" si="207"/>
        <v>0</v>
      </c>
      <c r="GR180">
        <v>0</v>
      </c>
      <c r="GS180">
        <v>0</v>
      </c>
      <c r="GT180">
        <v>0</v>
      </c>
      <c r="GU180" t="s">
        <v>6</v>
      </c>
      <c r="GV180">
        <f t="shared" si="208"/>
        <v>0</v>
      </c>
      <c r="GW180">
        <v>1</v>
      </c>
      <c r="GX180">
        <f t="shared" si="209"/>
        <v>0</v>
      </c>
      <c r="HA180">
        <v>0</v>
      </c>
      <c r="HB180">
        <v>0</v>
      </c>
      <c r="HC180">
        <f t="shared" si="210"/>
        <v>0</v>
      </c>
      <c r="HE180" t="s">
        <v>6</v>
      </c>
      <c r="HF180" t="s">
        <v>6</v>
      </c>
      <c r="HI180">
        <f t="shared" si="211"/>
        <v>0</v>
      </c>
      <c r="HJ180">
        <f t="shared" si="212"/>
        <v>0</v>
      </c>
      <c r="HK180">
        <f t="shared" si="213"/>
        <v>0</v>
      </c>
      <c r="HL180">
        <f t="shared" si="214"/>
        <v>0</v>
      </c>
      <c r="HM180" t="s">
        <v>6</v>
      </c>
      <c r="HN180" t="s">
        <v>6</v>
      </c>
      <c r="HO180" t="s">
        <v>6</v>
      </c>
      <c r="HP180" t="s">
        <v>6</v>
      </c>
      <c r="HQ180" t="s">
        <v>6</v>
      </c>
      <c r="IK180">
        <v>0</v>
      </c>
    </row>
    <row r="181" spans="1:245">
      <c r="A181">
        <v>19</v>
      </c>
      <c r="B181">
        <v>1</v>
      </c>
      <c r="F181" t="s">
        <v>6</v>
      </c>
      <c r="G181" t="s">
        <v>403</v>
      </c>
      <c r="H181" t="s">
        <v>6</v>
      </c>
      <c r="AA181">
        <v>1</v>
      </c>
      <c r="IK181">
        <v>0</v>
      </c>
    </row>
    <row r="182" spans="1:245">
      <c r="A182">
        <v>17</v>
      </c>
      <c r="B182">
        <v>1</v>
      </c>
      <c r="C182">
        <f>ROW(SmtRes!A396)</f>
        <v>396</v>
      </c>
      <c r="D182">
        <f>ROW(EtalonRes!A421)</f>
        <v>421</v>
      </c>
      <c r="E182" t="s">
        <v>404</v>
      </c>
      <c r="F182" t="s">
        <v>405</v>
      </c>
      <c r="G182" t="s">
        <v>406</v>
      </c>
      <c r="H182" t="s">
        <v>407</v>
      </c>
      <c r="I182">
        <v>75</v>
      </c>
      <c r="J182">
        <v>0</v>
      </c>
      <c r="K182">
        <v>75</v>
      </c>
      <c r="O182">
        <f>ROUND(CP182,2)</f>
        <v>1951.69</v>
      </c>
      <c r="P182">
        <f>ROUND(CQ182*I182,2)</f>
        <v>1335</v>
      </c>
      <c r="Q182">
        <f>ROUND(CR182*I182,2)</f>
        <v>0</v>
      </c>
      <c r="R182">
        <f>ROUND(CS182*I182,2)</f>
        <v>0</v>
      </c>
      <c r="S182">
        <f>ROUND(CT182*I182,2)</f>
        <v>616.69000000000005</v>
      </c>
      <c r="T182">
        <f>ROUND(CU182*I182,2)</f>
        <v>0</v>
      </c>
      <c r="U182">
        <f>CV182*I182</f>
        <v>88.837499999999991</v>
      </c>
      <c r="V182">
        <f>CW182*I182</f>
        <v>0</v>
      </c>
      <c r="W182">
        <f>ROUND(CX182*I182,2)</f>
        <v>0</v>
      </c>
      <c r="X182">
        <f t="shared" ref="X182:Y184" si="217">ROUND(CY182,2)</f>
        <v>567.35</v>
      </c>
      <c r="Y182">
        <f t="shared" si="217"/>
        <v>271.33999999999997</v>
      </c>
      <c r="AA182">
        <v>31028412</v>
      </c>
      <c r="AB182">
        <f>ROUND((AC182+AD182+AF182),6)</f>
        <v>26.022500000000001</v>
      </c>
      <c r="AC182">
        <f>ROUND((ES182),6)</f>
        <v>17.8</v>
      </c>
      <c r="AD182">
        <f>ROUND(((((ET182*ROUND(1.15,7)))-((EU182*ROUND(1.15,7))))+AE182),6)</f>
        <v>0</v>
      </c>
      <c r="AE182">
        <f>ROUND(((EU182*ROUND(1.15,7))),6)</f>
        <v>0</v>
      </c>
      <c r="AF182">
        <f>ROUND(((EV182*ROUND(1.15,7))),6)</f>
        <v>8.2225000000000001</v>
      </c>
      <c r="AG182">
        <f>ROUND((AP182),6)</f>
        <v>0</v>
      </c>
      <c r="AH182">
        <f>((EW182*ROUND(1.15,7)))</f>
        <v>1.1844999999999999</v>
      </c>
      <c r="AI182">
        <f>((EX182*ROUND(1.15,7)))</f>
        <v>0</v>
      </c>
      <c r="AJ182">
        <f>(AS182)</f>
        <v>0</v>
      </c>
      <c r="AK182">
        <v>24.95</v>
      </c>
      <c r="AL182">
        <v>17.8</v>
      </c>
      <c r="AM182">
        <v>0</v>
      </c>
      <c r="AN182">
        <v>0</v>
      </c>
      <c r="AO182">
        <v>7.15</v>
      </c>
      <c r="AP182">
        <v>0</v>
      </c>
      <c r="AQ182">
        <v>1.03</v>
      </c>
      <c r="AR182">
        <v>0</v>
      </c>
      <c r="AS182">
        <v>0</v>
      </c>
      <c r="AT182">
        <v>92</v>
      </c>
      <c r="AU182">
        <v>44</v>
      </c>
      <c r="AV182">
        <v>1</v>
      </c>
      <c r="AW182">
        <v>1</v>
      </c>
      <c r="AZ182">
        <v>1</v>
      </c>
      <c r="BA182">
        <v>24.22</v>
      </c>
      <c r="BB182">
        <v>1</v>
      </c>
      <c r="BC182">
        <v>1</v>
      </c>
      <c r="BD182" t="s">
        <v>6</v>
      </c>
      <c r="BE182" t="s">
        <v>6</v>
      </c>
      <c r="BF182" t="s">
        <v>6</v>
      </c>
      <c r="BG182" t="s">
        <v>6</v>
      </c>
      <c r="BH182">
        <v>0</v>
      </c>
      <c r="BI182">
        <v>1</v>
      </c>
      <c r="BJ182" t="s">
        <v>408</v>
      </c>
      <c r="BM182">
        <v>69001</v>
      </c>
      <c r="BN182">
        <v>0</v>
      </c>
      <c r="BO182" t="s">
        <v>1327</v>
      </c>
      <c r="BP182">
        <v>1</v>
      </c>
      <c r="BQ182">
        <v>6</v>
      </c>
      <c r="BR182">
        <v>0</v>
      </c>
      <c r="BS182">
        <v>24.22</v>
      </c>
      <c r="BT182">
        <v>1</v>
      </c>
      <c r="BU182">
        <v>1</v>
      </c>
      <c r="BV182">
        <v>1</v>
      </c>
      <c r="BW182">
        <v>1</v>
      </c>
      <c r="BX182">
        <v>1</v>
      </c>
      <c r="BY182" t="s">
        <v>6</v>
      </c>
      <c r="BZ182">
        <v>92</v>
      </c>
      <c r="CA182">
        <v>44</v>
      </c>
      <c r="CB182" t="s">
        <v>6</v>
      </c>
      <c r="CE182">
        <v>0</v>
      </c>
      <c r="CF182">
        <v>0</v>
      </c>
      <c r="CG182">
        <v>0</v>
      </c>
      <c r="CM182">
        <v>0</v>
      </c>
      <c r="CN182" t="s">
        <v>6</v>
      </c>
      <c r="CO182">
        <v>0</v>
      </c>
      <c r="CP182">
        <f>(P182+Q182+S182)</f>
        <v>1951.69</v>
      </c>
      <c r="CQ182">
        <f>AC182*BC182</f>
        <v>17.8</v>
      </c>
      <c r="CR182">
        <f>AD182*BB182</f>
        <v>0</v>
      </c>
      <c r="CS182">
        <f t="shared" ref="CS182:CX184" si="218">AE182</f>
        <v>0</v>
      </c>
      <c r="CT182">
        <f t="shared" si="218"/>
        <v>8.2225000000000001</v>
      </c>
      <c r="CU182">
        <f t="shared" si="218"/>
        <v>0</v>
      </c>
      <c r="CV182">
        <f t="shared" si="218"/>
        <v>1.1844999999999999</v>
      </c>
      <c r="CW182">
        <f t="shared" si="218"/>
        <v>0</v>
      </c>
      <c r="CX182">
        <f t="shared" si="218"/>
        <v>0</v>
      </c>
      <c r="CY182">
        <f>(((S182+R182)*AT182)/100)</f>
        <v>567.35480000000007</v>
      </c>
      <c r="CZ182">
        <f>(((S182+R182)*AU182)/100)</f>
        <v>271.34359999999998</v>
      </c>
      <c r="DC182" t="s">
        <v>6</v>
      </c>
      <c r="DD182" t="s">
        <v>6</v>
      </c>
      <c r="DE182" t="s">
        <v>36</v>
      </c>
      <c r="DF182" t="s">
        <v>36</v>
      </c>
      <c r="DG182" t="s">
        <v>36</v>
      </c>
      <c r="DH182" t="s">
        <v>6</v>
      </c>
      <c r="DI182" t="s">
        <v>36</v>
      </c>
      <c r="DJ182" t="s">
        <v>36</v>
      </c>
      <c r="DK182" t="s">
        <v>6</v>
      </c>
      <c r="DL182" t="s">
        <v>6</v>
      </c>
      <c r="DM182" t="s">
        <v>6</v>
      </c>
      <c r="DN182">
        <v>0</v>
      </c>
      <c r="DO182">
        <v>0</v>
      </c>
      <c r="DP182">
        <v>1</v>
      </c>
      <c r="DQ182">
        <v>1</v>
      </c>
      <c r="DU182">
        <v>1013</v>
      </c>
      <c r="DV182" t="s">
        <v>407</v>
      </c>
      <c r="DW182" t="s">
        <v>407</v>
      </c>
      <c r="DX182">
        <v>1</v>
      </c>
      <c r="DZ182" t="s">
        <v>6</v>
      </c>
      <c r="EA182" t="s">
        <v>6</v>
      </c>
      <c r="EB182" t="s">
        <v>6</v>
      </c>
      <c r="EC182" t="s">
        <v>6</v>
      </c>
      <c r="EE182">
        <v>30853060</v>
      </c>
      <c r="EF182">
        <v>6</v>
      </c>
      <c r="EG182" t="s">
        <v>37</v>
      </c>
      <c r="EH182">
        <v>0</v>
      </c>
      <c r="EI182" t="s">
        <v>6</v>
      </c>
      <c r="EJ182">
        <v>1</v>
      </c>
      <c r="EK182">
        <v>69001</v>
      </c>
      <c r="EL182" t="s">
        <v>409</v>
      </c>
      <c r="EM182" t="s">
        <v>410</v>
      </c>
      <c r="EO182" t="s">
        <v>6</v>
      </c>
      <c r="EQ182">
        <v>131072</v>
      </c>
      <c r="ER182">
        <v>24.95</v>
      </c>
      <c r="ES182">
        <v>17.8</v>
      </c>
      <c r="ET182">
        <v>0</v>
      </c>
      <c r="EU182">
        <v>0</v>
      </c>
      <c r="EV182">
        <v>7.15</v>
      </c>
      <c r="EW182">
        <v>1.03</v>
      </c>
      <c r="EX182">
        <v>0</v>
      </c>
      <c r="EY182">
        <v>0</v>
      </c>
      <c r="FQ182">
        <v>0</v>
      </c>
      <c r="FR182">
        <f>ROUND(IF(AND(BH182=3,BI182=3),P182,0),2)</f>
        <v>0</v>
      </c>
      <c r="FS182">
        <v>0</v>
      </c>
      <c r="FX182">
        <v>92</v>
      </c>
      <c r="FY182">
        <v>44</v>
      </c>
      <c r="GA182" t="s">
        <v>6</v>
      </c>
      <c r="GD182">
        <v>1</v>
      </c>
      <c r="GF182">
        <v>-1084156322</v>
      </c>
      <c r="GG182">
        <v>2</v>
      </c>
      <c r="GH182">
        <v>1</v>
      </c>
      <c r="GI182">
        <v>4</v>
      </c>
      <c r="GJ182">
        <v>0</v>
      </c>
      <c r="GK182">
        <v>0</v>
      </c>
      <c r="GL182">
        <f>ROUND(IF(AND(BH182=3,BI182=3,FS182&lt;&gt;0),P182,0),2)</f>
        <v>0</v>
      </c>
      <c r="GM182">
        <f>ROUND(O182+X182+Y182,2)+GX182</f>
        <v>2790.38</v>
      </c>
      <c r="GN182">
        <f>IF(OR(BI182=0,BI182=1),ROUND(O182+X182+Y182,2),0)</f>
        <v>2790.38</v>
      </c>
      <c r="GO182">
        <f>IF(BI182=2,ROUND(O182+X182+Y182,2),0)</f>
        <v>0</v>
      </c>
      <c r="GP182">
        <f>IF(BI182=4,ROUND(O182+X182+Y182,2)+GX182,0)</f>
        <v>0</v>
      </c>
      <c r="GR182">
        <v>0</v>
      </c>
      <c r="GS182">
        <v>0</v>
      </c>
      <c r="GT182">
        <v>0</v>
      </c>
      <c r="GU182" t="s">
        <v>6</v>
      </c>
      <c r="GV182">
        <f>ROUND((GT182),6)</f>
        <v>0</v>
      </c>
      <c r="GW182">
        <v>1</v>
      </c>
      <c r="GX182">
        <f>ROUND(HC182*I182,2)</f>
        <v>0</v>
      </c>
      <c r="HA182">
        <v>0</v>
      </c>
      <c r="HB182">
        <v>0</v>
      </c>
      <c r="HC182">
        <f>GV182*GW182</f>
        <v>0</v>
      </c>
      <c r="HE182" t="s">
        <v>6</v>
      </c>
      <c r="HF182" t="s">
        <v>6</v>
      </c>
      <c r="HI182">
        <f>ROUND(R182*BS182,0)</f>
        <v>0</v>
      </c>
      <c r="HJ182">
        <f>ROUND(S182*BA182,0)</f>
        <v>14936</v>
      </c>
      <c r="HK182">
        <f>ROUND((((HJ182+HI182)*AT182)/100),0)</f>
        <v>13741</v>
      </c>
      <c r="HL182">
        <f>ROUND((((HJ182+HI182)*AU182)/100),0)</f>
        <v>6572</v>
      </c>
      <c r="HM182" t="s">
        <v>6</v>
      </c>
      <c r="HN182" t="s">
        <v>6</v>
      </c>
      <c r="HO182" t="s">
        <v>6</v>
      </c>
      <c r="HP182" t="s">
        <v>6</v>
      </c>
      <c r="HQ182" t="s">
        <v>6</v>
      </c>
      <c r="IK182">
        <v>0</v>
      </c>
    </row>
    <row r="183" spans="1:245">
      <c r="A183">
        <v>17</v>
      </c>
      <c r="B183">
        <v>1</v>
      </c>
      <c r="C183">
        <f>ROW(SmtRes!A399)</f>
        <v>399</v>
      </c>
      <c r="D183">
        <f>ROW(EtalonRes!A424)</f>
        <v>424</v>
      </c>
      <c r="E183" t="s">
        <v>411</v>
      </c>
      <c r="F183" t="s">
        <v>412</v>
      </c>
      <c r="G183" t="s">
        <v>413</v>
      </c>
      <c r="H183" t="s">
        <v>414</v>
      </c>
      <c r="I183">
        <v>75</v>
      </c>
      <c r="J183">
        <v>0</v>
      </c>
      <c r="K183">
        <v>75</v>
      </c>
      <c r="O183">
        <f>ROUND(CP183,2)</f>
        <v>1530</v>
      </c>
      <c r="P183">
        <f>ROUND(CQ183*I183,2)</f>
        <v>0</v>
      </c>
      <c r="Q183">
        <f>ROUND(CR183*I183,2)</f>
        <v>859.5</v>
      </c>
      <c r="R183">
        <f>ROUND(CS183*I183,2)</f>
        <v>191.25</v>
      </c>
      <c r="S183">
        <f>ROUND(CT183*I183,2)</f>
        <v>670.5</v>
      </c>
      <c r="T183">
        <f>ROUND(CU183*I183,2)</f>
        <v>0</v>
      </c>
      <c r="U183">
        <f>CV183*I183</f>
        <v>34.274999999999999</v>
      </c>
      <c r="V183">
        <f>CW183*I183</f>
        <v>7.5750000000000002</v>
      </c>
      <c r="W183">
        <f>ROUND(CX183*I183,2)</f>
        <v>0</v>
      </c>
      <c r="X183">
        <f t="shared" si="217"/>
        <v>775.58</v>
      </c>
      <c r="Y183">
        <f t="shared" si="217"/>
        <v>361.94</v>
      </c>
      <c r="AA183">
        <v>31028412</v>
      </c>
      <c r="AB183">
        <f>ROUND((AC183+AD183+AF183),6)</f>
        <v>20.399999999999999</v>
      </c>
      <c r="AC183">
        <f>ROUND((ES183),6)</f>
        <v>0</v>
      </c>
      <c r="AD183">
        <f>ROUND(((ET183)+ROUND(((EU183)*1.6),2)),6)</f>
        <v>11.46</v>
      </c>
      <c r="AE183">
        <f>ROUND(((EU183)+ROUND(((EU183)*1.6),2)),6)</f>
        <v>2.5499999999999998</v>
      </c>
      <c r="AF183">
        <f>ROUND(((EV183)+ROUND(((EV183)*1.6),2)),6)</f>
        <v>8.94</v>
      </c>
      <c r="AG183">
        <f>ROUND((AP183),6)</f>
        <v>0</v>
      </c>
      <c r="AH183">
        <f>(EW183)</f>
        <v>0.45700000000000002</v>
      </c>
      <c r="AI183">
        <f>(EX183)</f>
        <v>0.10100000000000001</v>
      </c>
      <c r="AJ183">
        <f>(AS183)</f>
        <v>0</v>
      </c>
      <c r="AK183">
        <v>13.33</v>
      </c>
      <c r="AL183">
        <v>0</v>
      </c>
      <c r="AM183">
        <v>9.89</v>
      </c>
      <c r="AN183">
        <v>0.98</v>
      </c>
      <c r="AO183">
        <v>3.44</v>
      </c>
      <c r="AP183">
        <v>0</v>
      </c>
      <c r="AQ183">
        <v>0.45700000000000002</v>
      </c>
      <c r="AR183">
        <v>0.10100000000000001</v>
      </c>
      <c r="AS183">
        <v>0</v>
      </c>
      <c r="AT183">
        <v>90</v>
      </c>
      <c r="AU183">
        <v>42</v>
      </c>
      <c r="AV183">
        <v>1</v>
      </c>
      <c r="AW183">
        <v>1</v>
      </c>
      <c r="AZ183">
        <v>1</v>
      </c>
      <c r="BA183">
        <v>24.22</v>
      </c>
      <c r="BB183">
        <v>1</v>
      </c>
      <c r="BC183">
        <v>1</v>
      </c>
      <c r="BD183" t="s">
        <v>6</v>
      </c>
      <c r="BE183" t="s">
        <v>6</v>
      </c>
      <c r="BF183" t="s">
        <v>6</v>
      </c>
      <c r="BG183" t="s">
        <v>6</v>
      </c>
      <c r="BH183">
        <v>0</v>
      </c>
      <c r="BI183">
        <v>1</v>
      </c>
      <c r="BJ183" t="s">
        <v>415</v>
      </c>
      <c r="BM183">
        <v>700004</v>
      </c>
      <c r="BN183">
        <v>0</v>
      </c>
      <c r="BO183" t="s">
        <v>1328</v>
      </c>
      <c r="BP183">
        <v>1</v>
      </c>
      <c r="BQ183">
        <v>19</v>
      </c>
      <c r="BR183">
        <v>0</v>
      </c>
      <c r="BS183">
        <v>24.22</v>
      </c>
      <c r="BT183">
        <v>1</v>
      </c>
      <c r="BU183">
        <v>1</v>
      </c>
      <c r="BV183">
        <v>1</v>
      </c>
      <c r="BW183">
        <v>1</v>
      </c>
      <c r="BX183">
        <v>1</v>
      </c>
      <c r="BY183" t="s">
        <v>6</v>
      </c>
      <c r="BZ183">
        <v>90</v>
      </c>
      <c r="CA183">
        <v>42</v>
      </c>
      <c r="CB183" t="s">
        <v>6</v>
      </c>
      <c r="CE183">
        <v>0</v>
      </c>
      <c r="CF183">
        <v>0</v>
      </c>
      <c r="CG183">
        <v>0</v>
      </c>
      <c r="CM183">
        <v>0</v>
      </c>
      <c r="CN183" t="s">
        <v>6</v>
      </c>
      <c r="CO183">
        <v>0</v>
      </c>
      <c r="CP183">
        <f>(P183+Q183+S183)</f>
        <v>1530</v>
      </c>
      <c r="CQ183">
        <f>AC183*BC183</f>
        <v>0</v>
      </c>
      <c r="CR183">
        <f>AD183*BB183</f>
        <v>11.46</v>
      </c>
      <c r="CS183">
        <f t="shared" si="218"/>
        <v>2.5499999999999998</v>
      </c>
      <c r="CT183">
        <f t="shared" si="218"/>
        <v>8.94</v>
      </c>
      <c r="CU183">
        <f t="shared" si="218"/>
        <v>0</v>
      </c>
      <c r="CV183">
        <f t="shared" si="218"/>
        <v>0.45700000000000002</v>
      </c>
      <c r="CW183">
        <f t="shared" si="218"/>
        <v>0.10100000000000001</v>
      </c>
      <c r="CX183">
        <f t="shared" si="218"/>
        <v>0</v>
      </c>
      <c r="CY183">
        <f>(((S183+R183)*AT183)/100)</f>
        <v>775.57500000000005</v>
      </c>
      <c r="CZ183">
        <f>(((S183+R183)*AU183)/100)</f>
        <v>361.935</v>
      </c>
      <c r="DC183" t="s">
        <v>6</v>
      </c>
      <c r="DD183" t="s">
        <v>6</v>
      </c>
      <c r="DE183" t="s">
        <v>6</v>
      </c>
      <c r="DF183" t="s">
        <v>6</v>
      </c>
      <c r="DG183" t="s">
        <v>6</v>
      </c>
      <c r="DH183" t="s">
        <v>6</v>
      </c>
      <c r="DI183" t="s">
        <v>6</v>
      </c>
      <c r="DJ183" t="s">
        <v>6</v>
      </c>
      <c r="DK183" t="s">
        <v>6</v>
      </c>
      <c r="DL183" t="s">
        <v>6</v>
      </c>
      <c r="DM183" t="s">
        <v>6</v>
      </c>
      <c r="DN183">
        <v>0</v>
      </c>
      <c r="DO183">
        <v>0</v>
      </c>
      <c r="DP183">
        <v>1</v>
      </c>
      <c r="DQ183">
        <v>1</v>
      </c>
      <c r="DU183">
        <v>1013</v>
      </c>
      <c r="DV183" t="s">
        <v>414</v>
      </c>
      <c r="DW183" t="s">
        <v>416</v>
      </c>
      <c r="DX183">
        <v>1</v>
      </c>
      <c r="DZ183" t="s">
        <v>6</v>
      </c>
      <c r="EA183" t="s">
        <v>6</v>
      </c>
      <c r="EB183" t="s">
        <v>6</v>
      </c>
      <c r="EC183" t="s">
        <v>6</v>
      </c>
      <c r="EE183">
        <v>30853127</v>
      </c>
      <c r="EF183">
        <v>19</v>
      </c>
      <c r="EG183" t="s">
        <v>417</v>
      </c>
      <c r="EH183">
        <v>0</v>
      </c>
      <c r="EI183" t="s">
        <v>6</v>
      </c>
      <c r="EJ183">
        <v>1</v>
      </c>
      <c r="EK183">
        <v>700004</v>
      </c>
      <c r="EL183" t="s">
        <v>417</v>
      </c>
      <c r="EM183" t="s">
        <v>418</v>
      </c>
      <c r="EO183" t="s">
        <v>6</v>
      </c>
      <c r="EQ183">
        <v>131072</v>
      </c>
      <c r="ER183">
        <v>13.33</v>
      </c>
      <c r="ES183">
        <v>0</v>
      </c>
      <c r="ET183">
        <v>9.89</v>
      </c>
      <c r="EU183">
        <v>0.98</v>
      </c>
      <c r="EV183">
        <v>3.44</v>
      </c>
      <c r="EW183">
        <v>0.45700000000000002</v>
      </c>
      <c r="EX183">
        <v>0.10100000000000001</v>
      </c>
      <c r="EY183">
        <v>0</v>
      </c>
      <c r="FQ183">
        <v>0</v>
      </c>
      <c r="FR183">
        <f>ROUND(IF(AND(BH183=3,BI183=3),P183,0),2)</f>
        <v>0</v>
      </c>
      <c r="FS183">
        <v>0</v>
      </c>
      <c r="FX183">
        <v>90</v>
      </c>
      <c r="FY183">
        <v>42</v>
      </c>
      <c r="GA183" t="s">
        <v>6</v>
      </c>
      <c r="GD183">
        <v>1</v>
      </c>
      <c r="GF183">
        <v>1902066202</v>
      </c>
      <c r="GG183">
        <v>2</v>
      </c>
      <c r="GH183">
        <v>1</v>
      </c>
      <c r="GI183">
        <v>4</v>
      </c>
      <c r="GJ183">
        <v>0</v>
      </c>
      <c r="GK183">
        <v>0</v>
      </c>
      <c r="GL183">
        <f>ROUND(IF(AND(BH183=3,BI183=3,FS183&lt;&gt;0),P183,0),2)</f>
        <v>0</v>
      </c>
      <c r="GM183">
        <f>ROUND(O183+X183+Y183,2)+GX183</f>
        <v>2667.52</v>
      </c>
      <c r="GN183">
        <f>IF(OR(BI183=0,BI183=1),ROUND(O183+X183+Y183,2),0)</f>
        <v>2667.52</v>
      </c>
      <c r="GO183">
        <f>IF(BI183=2,ROUND(O183+X183+Y183,2),0)</f>
        <v>0</v>
      </c>
      <c r="GP183">
        <f>IF(BI183=4,ROUND(O183+X183+Y183,2)+GX183,0)</f>
        <v>0</v>
      </c>
      <c r="GR183">
        <v>0</v>
      </c>
      <c r="GS183">
        <v>3</v>
      </c>
      <c r="GT183">
        <v>0</v>
      </c>
      <c r="GU183" t="s">
        <v>6</v>
      </c>
      <c r="GV183">
        <f>ROUND((GT183),6)</f>
        <v>0</v>
      </c>
      <c r="GW183">
        <v>1</v>
      </c>
      <c r="GX183">
        <f>ROUND(HC183*I183,2)</f>
        <v>0</v>
      </c>
      <c r="HA183">
        <v>0</v>
      </c>
      <c r="HB183">
        <v>0</v>
      </c>
      <c r="HC183">
        <f>GV183*GW183</f>
        <v>0</v>
      </c>
      <c r="HD183">
        <f>GM183</f>
        <v>2667.52</v>
      </c>
      <c r="HE183" t="s">
        <v>6</v>
      </c>
      <c r="HF183" t="s">
        <v>6</v>
      </c>
      <c r="HI183">
        <f>ROUND(R183*BS183,0)</f>
        <v>4632</v>
      </c>
      <c r="HJ183">
        <f>ROUND(S183*BA183,0)</f>
        <v>16240</v>
      </c>
      <c r="HK183">
        <f>ROUND((((HJ183+HI183)*AT183)/100),0)</f>
        <v>18785</v>
      </c>
      <c r="HL183">
        <f>ROUND((((HJ183+HI183)*AU183)/100),0)</f>
        <v>8766</v>
      </c>
      <c r="HM183" t="s">
        <v>6</v>
      </c>
      <c r="HN183" t="s">
        <v>6</v>
      </c>
      <c r="HO183" t="s">
        <v>6</v>
      </c>
      <c r="HP183" t="s">
        <v>6</v>
      </c>
      <c r="HQ183" t="s">
        <v>6</v>
      </c>
      <c r="IK183">
        <v>0</v>
      </c>
    </row>
    <row r="184" spans="1:245">
      <c r="A184">
        <v>17</v>
      </c>
      <c r="B184">
        <v>1</v>
      </c>
      <c r="C184">
        <f>ROW(SmtRes!A400)</f>
        <v>400</v>
      </c>
      <c r="D184">
        <f>ROW(EtalonRes!A425)</f>
        <v>425</v>
      </c>
      <c r="E184" t="s">
        <v>419</v>
      </c>
      <c r="F184" t="s">
        <v>420</v>
      </c>
      <c r="G184" t="s">
        <v>421</v>
      </c>
      <c r="H184" t="s">
        <v>414</v>
      </c>
      <c r="I184">
        <v>75</v>
      </c>
      <c r="J184">
        <v>0</v>
      </c>
      <c r="K184">
        <v>75</v>
      </c>
      <c r="O184">
        <f>ROUND(CP184,2)</f>
        <v>1149.75</v>
      </c>
      <c r="P184">
        <f>ROUND(CQ184*I184,2)</f>
        <v>0</v>
      </c>
      <c r="Q184">
        <f>ROUND(CR184*I184,2)</f>
        <v>1149.75</v>
      </c>
      <c r="R184">
        <f>ROUND(CS184*I184,2)</f>
        <v>0</v>
      </c>
      <c r="S184">
        <f>ROUND(CT184*I184,2)</f>
        <v>0</v>
      </c>
      <c r="T184">
        <f>ROUND(CU184*I184,2)</f>
        <v>0</v>
      </c>
      <c r="U184">
        <f>CV184*I184</f>
        <v>0</v>
      </c>
      <c r="V184">
        <f>CW184*I184</f>
        <v>0</v>
      </c>
      <c r="W184">
        <f>ROUND(CX184*I184,2)</f>
        <v>0</v>
      </c>
      <c r="X184">
        <f t="shared" si="217"/>
        <v>0</v>
      </c>
      <c r="Y184">
        <f t="shared" si="217"/>
        <v>0</v>
      </c>
      <c r="AA184">
        <v>31028412</v>
      </c>
      <c r="AB184">
        <f>ROUND((AC184+AD184+AF184),6)</f>
        <v>15.33</v>
      </c>
      <c r="AC184">
        <f>ROUND((ES184),6)</f>
        <v>0</v>
      </c>
      <c r="AD184">
        <f>ROUND((((ET184)-(EU184))+AE184),6)</f>
        <v>15.33</v>
      </c>
      <c r="AE184">
        <f>ROUND((EU184),6)</f>
        <v>0</v>
      </c>
      <c r="AF184">
        <f>ROUND((EV184),6)</f>
        <v>0</v>
      </c>
      <c r="AG184">
        <f>ROUND((AP184),6)</f>
        <v>0</v>
      </c>
      <c r="AH184">
        <f>(EW184)</f>
        <v>0</v>
      </c>
      <c r="AI184">
        <f>(EX184)</f>
        <v>0</v>
      </c>
      <c r="AJ184">
        <f>(AS184)</f>
        <v>0</v>
      </c>
      <c r="AK184">
        <v>15.33</v>
      </c>
      <c r="AL184">
        <v>0</v>
      </c>
      <c r="AM184">
        <v>15.33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94</v>
      </c>
      <c r="AU184">
        <v>61</v>
      </c>
      <c r="AV184">
        <v>1</v>
      </c>
      <c r="AW184">
        <v>1</v>
      </c>
      <c r="AZ184">
        <v>1</v>
      </c>
      <c r="BA184">
        <v>24.22</v>
      </c>
      <c r="BB184">
        <v>1</v>
      </c>
      <c r="BC184">
        <v>1</v>
      </c>
      <c r="BD184" t="s">
        <v>6</v>
      </c>
      <c r="BE184" t="s">
        <v>6</v>
      </c>
      <c r="BF184" t="s">
        <v>6</v>
      </c>
      <c r="BG184" t="s">
        <v>6</v>
      </c>
      <c r="BH184">
        <v>0</v>
      </c>
      <c r="BI184">
        <v>1</v>
      </c>
      <c r="BJ184" t="s">
        <v>422</v>
      </c>
      <c r="BM184">
        <v>700005</v>
      </c>
      <c r="BN184">
        <v>0</v>
      </c>
      <c r="BO184" t="s">
        <v>1328</v>
      </c>
      <c r="BP184">
        <v>1</v>
      </c>
      <c r="BQ184">
        <v>10</v>
      </c>
      <c r="BR184">
        <v>0</v>
      </c>
      <c r="BS184">
        <v>24.22</v>
      </c>
      <c r="BT184">
        <v>1</v>
      </c>
      <c r="BU184">
        <v>1</v>
      </c>
      <c r="BV184">
        <v>1</v>
      </c>
      <c r="BW184">
        <v>1</v>
      </c>
      <c r="BX184">
        <v>1</v>
      </c>
      <c r="BY184" t="s">
        <v>6</v>
      </c>
      <c r="BZ184">
        <v>94</v>
      </c>
      <c r="CA184">
        <v>61</v>
      </c>
      <c r="CB184" t="s">
        <v>6</v>
      </c>
      <c r="CE184">
        <v>0</v>
      </c>
      <c r="CF184">
        <v>0</v>
      </c>
      <c r="CG184">
        <v>0</v>
      </c>
      <c r="CM184">
        <v>0</v>
      </c>
      <c r="CN184" t="s">
        <v>6</v>
      </c>
      <c r="CO184">
        <v>0</v>
      </c>
      <c r="CP184">
        <f>(P184+Q184+S184)</f>
        <v>1149.75</v>
      </c>
      <c r="CQ184">
        <f>AC184*BC184</f>
        <v>0</v>
      </c>
      <c r="CR184">
        <f>AD184*BB184</f>
        <v>15.33</v>
      </c>
      <c r="CS184">
        <f t="shared" si="218"/>
        <v>0</v>
      </c>
      <c r="CT184">
        <f t="shared" si="218"/>
        <v>0</v>
      </c>
      <c r="CU184">
        <f t="shared" si="218"/>
        <v>0</v>
      </c>
      <c r="CV184">
        <f t="shared" si="218"/>
        <v>0</v>
      </c>
      <c r="CW184">
        <f t="shared" si="218"/>
        <v>0</v>
      </c>
      <c r="CX184">
        <f t="shared" si="218"/>
        <v>0</v>
      </c>
      <c r="CY184">
        <f>(((S184+R184)*AT184)/100)</f>
        <v>0</v>
      </c>
      <c r="CZ184">
        <f>(((S184+R184)*AU184)/100)</f>
        <v>0</v>
      </c>
      <c r="DC184" t="s">
        <v>6</v>
      </c>
      <c r="DD184" t="s">
        <v>6</v>
      </c>
      <c r="DE184" t="s">
        <v>6</v>
      </c>
      <c r="DF184" t="s">
        <v>6</v>
      </c>
      <c r="DG184" t="s">
        <v>6</v>
      </c>
      <c r="DH184" t="s">
        <v>6</v>
      </c>
      <c r="DI184" t="s">
        <v>6</v>
      </c>
      <c r="DJ184" t="s">
        <v>6</v>
      </c>
      <c r="DK184" t="s">
        <v>6</v>
      </c>
      <c r="DL184" t="s">
        <v>6</v>
      </c>
      <c r="DM184" t="s">
        <v>6</v>
      </c>
      <c r="DN184">
        <v>0</v>
      </c>
      <c r="DO184">
        <v>0</v>
      </c>
      <c r="DP184">
        <v>1</v>
      </c>
      <c r="DQ184">
        <v>1</v>
      </c>
      <c r="DU184">
        <v>1013</v>
      </c>
      <c r="DV184" t="s">
        <v>414</v>
      </c>
      <c r="DW184" t="s">
        <v>416</v>
      </c>
      <c r="DX184">
        <v>1</v>
      </c>
      <c r="DZ184" t="s">
        <v>6</v>
      </c>
      <c r="EA184" t="s">
        <v>6</v>
      </c>
      <c r="EB184" t="s">
        <v>6</v>
      </c>
      <c r="EC184" t="s">
        <v>6</v>
      </c>
      <c r="EE184">
        <v>30853131</v>
      </c>
      <c r="EF184">
        <v>10</v>
      </c>
      <c r="EG184" t="s">
        <v>423</v>
      </c>
      <c r="EH184">
        <v>0</v>
      </c>
      <c r="EI184" t="s">
        <v>6</v>
      </c>
      <c r="EJ184">
        <v>1</v>
      </c>
      <c r="EK184">
        <v>700005</v>
      </c>
      <c r="EL184" t="s">
        <v>424</v>
      </c>
      <c r="EM184" t="s">
        <v>425</v>
      </c>
      <c r="EO184" t="s">
        <v>6</v>
      </c>
      <c r="EQ184">
        <v>131072</v>
      </c>
      <c r="ER184">
        <v>15.33</v>
      </c>
      <c r="ES184">
        <v>0</v>
      </c>
      <c r="ET184">
        <v>15.33</v>
      </c>
      <c r="EU184">
        <v>0</v>
      </c>
      <c r="EV184">
        <v>0</v>
      </c>
      <c r="EW184">
        <v>0</v>
      </c>
      <c r="EX184">
        <v>0</v>
      </c>
      <c r="EY184">
        <v>0</v>
      </c>
      <c r="FQ184">
        <v>0</v>
      </c>
      <c r="FR184">
        <f>ROUND(IF(AND(BH184=3,BI184=3),P184,0),2)</f>
        <v>0</v>
      </c>
      <c r="FS184">
        <v>0</v>
      </c>
      <c r="FX184">
        <v>94</v>
      </c>
      <c r="FY184">
        <v>61</v>
      </c>
      <c r="GA184" t="s">
        <v>6</v>
      </c>
      <c r="GD184">
        <v>1</v>
      </c>
      <c r="GF184">
        <v>2123953966</v>
      </c>
      <c r="GG184">
        <v>2</v>
      </c>
      <c r="GH184">
        <v>1</v>
      </c>
      <c r="GI184">
        <v>4</v>
      </c>
      <c r="GJ184">
        <v>0</v>
      </c>
      <c r="GK184">
        <v>0</v>
      </c>
      <c r="GL184">
        <f>ROUND(IF(AND(BH184=3,BI184=3,FS184&lt;&gt;0),P184,0),2)</f>
        <v>0</v>
      </c>
      <c r="GM184">
        <f>ROUND(O184+X184+Y184,2)+GX184</f>
        <v>1149.75</v>
      </c>
      <c r="GN184">
        <f>IF(OR(BI184=0,BI184=1),ROUND(O184+X184+Y184,2),0)</f>
        <v>1149.75</v>
      </c>
      <c r="GO184">
        <f>IF(BI184=2,ROUND(O184+X184+Y184,2),0)</f>
        <v>0</v>
      </c>
      <c r="GP184">
        <f>IF(BI184=4,ROUND(O184+X184+Y184,2)+GX184,0)</f>
        <v>0</v>
      </c>
      <c r="GR184">
        <v>0</v>
      </c>
      <c r="GS184">
        <v>0</v>
      </c>
      <c r="GT184">
        <v>0</v>
      </c>
      <c r="GU184" t="s">
        <v>6</v>
      </c>
      <c r="GV184">
        <f>ROUND((GT184),6)</f>
        <v>0</v>
      </c>
      <c r="GW184">
        <v>1</v>
      </c>
      <c r="GX184">
        <f>ROUND(HC184*I184,2)</f>
        <v>0</v>
      </c>
      <c r="HA184">
        <v>0</v>
      </c>
      <c r="HB184">
        <v>0</v>
      </c>
      <c r="HC184">
        <f>GV184*GW184</f>
        <v>0</v>
      </c>
      <c r="HD184">
        <f>GM184</f>
        <v>1149.75</v>
      </c>
      <c r="HE184" t="s">
        <v>6</v>
      </c>
      <c r="HF184" t="s">
        <v>6</v>
      </c>
      <c r="HI184">
        <f>ROUND(R184*BS184,0)</f>
        <v>0</v>
      </c>
      <c r="HJ184">
        <f>ROUND(S184*BA184,0)</f>
        <v>0</v>
      </c>
      <c r="HK184">
        <f>ROUND((((HJ184+HI184)*AT184)/100),0)</f>
        <v>0</v>
      </c>
      <c r="HL184">
        <f>ROUND((((HJ184+HI184)*AU184)/100),0)</f>
        <v>0</v>
      </c>
      <c r="HM184" t="s">
        <v>6</v>
      </c>
      <c r="HN184" t="s">
        <v>6</v>
      </c>
      <c r="HO184" t="s">
        <v>6</v>
      </c>
      <c r="HP184" t="s">
        <v>6</v>
      </c>
      <c r="HQ184" t="s">
        <v>6</v>
      </c>
      <c r="IK184">
        <v>0</v>
      </c>
    </row>
    <row r="186" spans="1:245">
      <c r="A186" s="2">
        <v>51</v>
      </c>
      <c r="B186" s="2">
        <f>B64</f>
        <v>1</v>
      </c>
      <c r="C186" s="2">
        <f>A64</f>
        <v>4</v>
      </c>
      <c r="D186" s="2">
        <f>ROW(A64)</f>
        <v>64</v>
      </c>
      <c r="E186" s="2"/>
      <c r="F186" s="2" t="str">
        <f>IF(F64&lt;&gt;"",F64,"")</f>
        <v>Новый раздел</v>
      </c>
      <c r="G186" s="2" t="str">
        <f>IF(G64&lt;&gt;"",G64,"")</f>
        <v>Архитектурные решения. (Наружные работы)</v>
      </c>
      <c r="H186" s="2">
        <v>0</v>
      </c>
      <c r="I186" s="2"/>
      <c r="J186" s="2"/>
      <c r="K186" s="2"/>
      <c r="L186" s="2"/>
      <c r="M186" s="2"/>
      <c r="N186" s="2"/>
      <c r="O186" s="2">
        <f t="shared" ref="O186:T186" si="219">ROUND(AB186,2)</f>
        <v>725697.36</v>
      </c>
      <c r="P186" s="2">
        <f t="shared" si="219"/>
        <v>676319.07</v>
      </c>
      <c r="Q186" s="2">
        <f t="shared" si="219"/>
        <v>14095.91</v>
      </c>
      <c r="R186" s="2">
        <f t="shared" si="219"/>
        <v>1820.89</v>
      </c>
      <c r="S186" s="2">
        <f t="shared" si="219"/>
        <v>35282.379999999997</v>
      </c>
      <c r="T186" s="2">
        <f t="shared" si="219"/>
        <v>0</v>
      </c>
      <c r="U186" s="2">
        <f>AH186</f>
        <v>4001.9299009750002</v>
      </c>
      <c r="V186" s="2">
        <f>AI186</f>
        <v>155.90989099999996</v>
      </c>
      <c r="W186" s="2">
        <f>ROUND(AJ186,2)</f>
        <v>0</v>
      </c>
      <c r="X186" s="2">
        <f>ROUND(AK186,2)</f>
        <v>34062.25</v>
      </c>
      <c r="Y186" s="2">
        <f>ROUND(AL186,2)</f>
        <v>19113.12</v>
      </c>
      <c r="Z186" s="2"/>
      <c r="AA186" s="2"/>
      <c r="AB186" s="2">
        <f>ROUND(SUMIF(AA68:AA184,"=31028412",O68:O184),2)</f>
        <v>725697.36</v>
      </c>
      <c r="AC186" s="2">
        <f>ROUND(SUMIF(AA68:AA184,"=31028412",P68:P184),2)</f>
        <v>676319.07</v>
      </c>
      <c r="AD186" s="2">
        <f>ROUND(SUMIF(AA68:AA184,"=31028412",Q68:Q184),2)</f>
        <v>14095.91</v>
      </c>
      <c r="AE186" s="2">
        <f>ROUND(SUMIF(AA68:AA184,"=31028412",R68:R184),2)</f>
        <v>1820.89</v>
      </c>
      <c r="AF186" s="2">
        <f>ROUND(SUMIF(AA68:AA184,"=31028412",S68:S184),2)</f>
        <v>35282.379999999997</v>
      </c>
      <c r="AG186" s="2">
        <f>ROUND(SUMIF(AA68:AA184,"=31028412",T68:T184),2)</f>
        <v>0</v>
      </c>
      <c r="AH186" s="2">
        <f>SUMIF(AA68:AA184,"=31028412",U68:U184)</f>
        <v>4001.9299009750002</v>
      </c>
      <c r="AI186" s="2">
        <f>SUMIF(AA68:AA184,"=31028412",V68:V184)</f>
        <v>155.90989099999996</v>
      </c>
      <c r="AJ186" s="2">
        <f>ROUND(SUMIF(AA68:AA184,"=31028412",W68:W184),2)</f>
        <v>0</v>
      </c>
      <c r="AK186" s="2">
        <f>ROUND(SUMIF(AA68:AA184,"=31028412",X68:X184),2)</f>
        <v>34062.25</v>
      </c>
      <c r="AL186" s="2">
        <f>ROUND(SUMIF(AA68:AA184,"=31028412",Y68:Y184),2)</f>
        <v>19113.12</v>
      </c>
      <c r="AM186" s="2"/>
      <c r="AN186" s="2"/>
      <c r="AO186" s="2">
        <f t="shared" ref="AO186:BD186" si="220">ROUND(BX186,2)</f>
        <v>0</v>
      </c>
      <c r="AP186" s="2">
        <f t="shared" si="220"/>
        <v>0</v>
      </c>
      <c r="AQ186" s="2">
        <f t="shared" si="220"/>
        <v>0</v>
      </c>
      <c r="AR186" s="2">
        <f t="shared" si="220"/>
        <v>778872.73</v>
      </c>
      <c r="AS186" s="2">
        <f t="shared" si="220"/>
        <v>778872.73</v>
      </c>
      <c r="AT186" s="2">
        <f t="shared" si="220"/>
        <v>0</v>
      </c>
      <c r="AU186" s="2">
        <f t="shared" si="220"/>
        <v>0</v>
      </c>
      <c r="AV186" s="2">
        <f t="shared" si="220"/>
        <v>676319.07</v>
      </c>
      <c r="AW186" s="2">
        <f t="shared" si="220"/>
        <v>676319.07</v>
      </c>
      <c r="AX186" s="2">
        <f t="shared" si="220"/>
        <v>0</v>
      </c>
      <c r="AY186" s="2">
        <f t="shared" si="220"/>
        <v>676319.07</v>
      </c>
      <c r="AZ186" s="2">
        <f t="shared" si="220"/>
        <v>0</v>
      </c>
      <c r="BA186" s="2">
        <f t="shared" si="220"/>
        <v>0</v>
      </c>
      <c r="BB186" s="2">
        <f t="shared" si="220"/>
        <v>0</v>
      </c>
      <c r="BC186" s="2">
        <f t="shared" si="220"/>
        <v>0</v>
      </c>
      <c r="BD186" s="2">
        <f t="shared" si="220"/>
        <v>3817.27</v>
      </c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>
        <f>ROUND(SUMIF(AA68:AA184,"=31028412",FQ68:FQ184),2)</f>
        <v>0</v>
      </c>
      <c r="BY186" s="2">
        <f>ROUND(SUMIF(AA68:AA184,"=31028412",FR68:FR184),2)</f>
        <v>0</v>
      </c>
      <c r="BZ186" s="2">
        <f>ROUND(SUMIF(AA68:AA184,"=31028412",GL68:GL184),2)</f>
        <v>0</v>
      </c>
      <c r="CA186" s="2">
        <f>ROUND(SUMIF(AA68:AA184,"=31028412",GM68:GM184),2)</f>
        <v>778872.73</v>
      </c>
      <c r="CB186" s="2">
        <f>ROUND(SUMIF(AA68:AA184,"=31028412",GN68:GN184),2)</f>
        <v>778872.73</v>
      </c>
      <c r="CC186" s="2">
        <f>ROUND(SUMIF(AA68:AA184,"=31028412",GO68:GO184),2)</f>
        <v>0</v>
      </c>
      <c r="CD186" s="2">
        <f>ROUND(SUMIF(AA68:AA184,"=31028412",GP68:GP184),2)</f>
        <v>0</v>
      </c>
      <c r="CE186" s="2">
        <f>AC186-BX186</f>
        <v>676319.07</v>
      </c>
      <c r="CF186" s="2">
        <f>AC186-BY186</f>
        <v>676319.07</v>
      </c>
      <c r="CG186" s="2">
        <f>BX186-BZ186</f>
        <v>0</v>
      </c>
      <c r="CH186" s="2">
        <f>AC186-BX186-BY186+BZ186</f>
        <v>676319.07</v>
      </c>
      <c r="CI186" s="2">
        <f>BY186-BZ186</f>
        <v>0</v>
      </c>
      <c r="CJ186" s="2">
        <f>ROUND(SUMIF(AA68:AA184,"=31028412",GX68:GX184),2)</f>
        <v>0</v>
      </c>
      <c r="CK186" s="2">
        <f>ROUND(SUMIF(AA68:AA184,"=31028412",GY68:GY184),2)</f>
        <v>0</v>
      </c>
      <c r="CL186" s="2">
        <f>ROUND(SUMIF(AA68:AA184,"=31028412",GZ68:GZ184),2)</f>
        <v>0</v>
      </c>
      <c r="CM186" s="2">
        <f>ROUND(SUMIF(AA68:AA184,"=31028412",HD68:HD184),2)</f>
        <v>3817.27</v>
      </c>
      <c r="CN186" s="2"/>
      <c r="CO186" s="2"/>
      <c r="CP186" s="2"/>
      <c r="CQ186" s="2"/>
      <c r="CR186" s="2"/>
      <c r="CS186" s="2"/>
      <c r="CT186" s="2"/>
      <c r="CU186" s="2"/>
      <c r="CV186" s="2"/>
      <c r="CW186" s="2"/>
      <c r="CX186" s="2"/>
      <c r="CY186" s="2"/>
      <c r="CZ186" s="2"/>
      <c r="DA186" s="2"/>
      <c r="DB186" s="2"/>
      <c r="DC186" s="2"/>
      <c r="DD186" s="2"/>
      <c r="DE186" s="2"/>
      <c r="DF186" s="2"/>
      <c r="DG186" s="3"/>
      <c r="DH186" s="3"/>
      <c r="DI186" s="3"/>
      <c r="DJ186" s="3"/>
      <c r="DK186" s="3"/>
      <c r="DL186" s="3"/>
      <c r="DM186" s="3"/>
      <c r="DN186" s="3"/>
      <c r="DO186" s="3"/>
      <c r="DP186" s="3"/>
      <c r="DQ186" s="3"/>
      <c r="DR186" s="3"/>
      <c r="DS186" s="3"/>
      <c r="DT186" s="3"/>
      <c r="DU186" s="3"/>
      <c r="DV186" s="3"/>
      <c r="DW186" s="3"/>
      <c r="DX186" s="3"/>
      <c r="DY186" s="3"/>
      <c r="DZ186" s="3"/>
      <c r="EA186" s="3"/>
      <c r="EB186" s="3"/>
      <c r="EC186" s="3"/>
      <c r="ED186" s="3"/>
      <c r="EE186" s="3"/>
      <c r="EF186" s="3"/>
      <c r="EG186" s="3"/>
      <c r="EH186" s="3"/>
      <c r="EI186" s="3"/>
      <c r="EJ186" s="3"/>
      <c r="EK186" s="3"/>
      <c r="EL186" s="3"/>
      <c r="EM186" s="3"/>
      <c r="EN186" s="3"/>
      <c r="EO186" s="3"/>
      <c r="EP186" s="3"/>
      <c r="EQ186" s="3"/>
      <c r="ER186" s="3"/>
      <c r="ES186" s="3"/>
      <c r="ET186" s="3"/>
      <c r="EU186" s="3"/>
      <c r="EV186" s="3"/>
      <c r="EW186" s="3"/>
      <c r="EX186" s="3"/>
      <c r="EY186" s="3"/>
      <c r="EZ186" s="3"/>
      <c r="FA186" s="3"/>
      <c r="FB186" s="3"/>
      <c r="FC186" s="3"/>
      <c r="FD186" s="3"/>
      <c r="FE186" s="3"/>
      <c r="FF186" s="3"/>
      <c r="FG186" s="3"/>
      <c r="FH186" s="3"/>
      <c r="FI186" s="3"/>
      <c r="FJ186" s="3"/>
      <c r="FK186" s="3"/>
      <c r="FL186" s="3"/>
      <c r="FM186" s="3"/>
      <c r="FN186" s="3"/>
      <c r="FO186" s="3"/>
      <c r="FP186" s="3"/>
      <c r="FQ186" s="3"/>
      <c r="FR186" s="3"/>
      <c r="FS186" s="3"/>
      <c r="FT186" s="3"/>
      <c r="FU186" s="3"/>
      <c r="FV186" s="3"/>
      <c r="FW186" s="3"/>
      <c r="FX186" s="3"/>
      <c r="FY186" s="3"/>
      <c r="FZ186" s="3"/>
      <c r="GA186" s="3"/>
      <c r="GB186" s="3"/>
      <c r="GC186" s="3"/>
      <c r="GD186" s="3"/>
      <c r="GE186" s="3"/>
      <c r="GF186" s="3"/>
      <c r="GG186" s="3"/>
      <c r="GH186" s="3"/>
      <c r="GI186" s="3"/>
      <c r="GJ186" s="3"/>
      <c r="GK186" s="3"/>
      <c r="GL186" s="3"/>
      <c r="GM186" s="3"/>
      <c r="GN186" s="3"/>
      <c r="GO186" s="3"/>
      <c r="GP186" s="3"/>
      <c r="GQ186" s="3"/>
      <c r="GR186" s="3"/>
      <c r="GS186" s="3"/>
      <c r="GT186" s="3"/>
      <c r="GU186" s="3"/>
      <c r="GV186" s="3"/>
      <c r="GW186" s="3"/>
      <c r="GX186" s="3">
        <v>0</v>
      </c>
    </row>
    <row r="188" spans="1:245">
      <c r="A188" s="4">
        <v>50</v>
      </c>
      <c r="B188" s="4">
        <v>0</v>
      </c>
      <c r="C188" s="4">
        <v>0</v>
      </c>
      <c r="D188" s="4">
        <v>1</v>
      </c>
      <c r="E188" s="4">
        <v>201</v>
      </c>
      <c r="F188" s="4">
        <f>ROUND(Source!O186,O188)</f>
        <v>725697.36</v>
      </c>
      <c r="G188" s="4" t="s">
        <v>40</v>
      </c>
      <c r="H188" s="4" t="s">
        <v>41</v>
      </c>
      <c r="I188" s="4"/>
      <c r="J188" s="4"/>
      <c r="K188" s="4">
        <v>201</v>
      </c>
      <c r="L188" s="4">
        <v>1</v>
      </c>
      <c r="M188" s="4">
        <v>3</v>
      </c>
      <c r="N188" s="4" t="s">
        <v>6</v>
      </c>
      <c r="O188" s="4">
        <v>2</v>
      </c>
      <c r="P188" s="4"/>
      <c r="Q188" s="4"/>
      <c r="R188" s="4"/>
      <c r="S188" s="4"/>
      <c r="T188" s="4"/>
      <c r="U188" s="4"/>
      <c r="V188" s="4"/>
      <c r="W188" s="4">
        <v>726834.88</v>
      </c>
      <c r="X188" s="4">
        <v>1</v>
      </c>
      <c r="Y188" s="4">
        <v>5132691</v>
      </c>
      <c r="Z188" s="4"/>
      <c r="AA188" s="4"/>
      <c r="AB188" s="4"/>
    </row>
    <row r="189" spans="1:245">
      <c r="A189" s="4">
        <v>50</v>
      </c>
      <c r="B189" s="4">
        <v>0</v>
      </c>
      <c r="C189" s="4">
        <v>0</v>
      </c>
      <c r="D189" s="4">
        <v>1</v>
      </c>
      <c r="E189" s="4">
        <v>202</v>
      </c>
      <c r="F189" s="4">
        <f>ROUND(Source!P186,O189)</f>
        <v>676319.07</v>
      </c>
      <c r="G189" s="4" t="s">
        <v>42</v>
      </c>
      <c r="H189" s="4" t="s">
        <v>43</v>
      </c>
      <c r="I189" s="4"/>
      <c r="J189" s="4"/>
      <c r="K189" s="4">
        <v>202</v>
      </c>
      <c r="L189" s="4">
        <v>2</v>
      </c>
      <c r="M189" s="4">
        <v>3</v>
      </c>
      <c r="N189" s="4" t="s">
        <v>6</v>
      </c>
      <c r="O189" s="4">
        <v>2</v>
      </c>
      <c r="P189" s="4"/>
      <c r="Q189" s="4"/>
      <c r="R189" s="4"/>
      <c r="S189" s="4"/>
      <c r="T189" s="4"/>
      <c r="U189" s="4"/>
      <c r="V189" s="4"/>
      <c r="W189" s="4">
        <v>676319.07</v>
      </c>
      <c r="X189" s="4">
        <v>1</v>
      </c>
      <c r="Y189" s="4">
        <v>0</v>
      </c>
      <c r="Z189" s="4"/>
      <c r="AA189" s="4"/>
      <c r="AB189" s="4"/>
    </row>
    <row r="190" spans="1:245">
      <c r="A190" s="4">
        <v>50</v>
      </c>
      <c r="B190" s="4">
        <v>0</v>
      </c>
      <c r="C190" s="4">
        <v>0</v>
      </c>
      <c r="D190" s="4">
        <v>1</v>
      </c>
      <c r="E190" s="4">
        <v>30835619</v>
      </c>
      <c r="F190" s="4">
        <f>ROUND(Source!AO186,O190)</f>
        <v>0</v>
      </c>
      <c r="G190" s="4" t="s">
        <v>44</v>
      </c>
      <c r="H190" s="4" t="s">
        <v>45</v>
      </c>
      <c r="I190" s="4"/>
      <c r="J190" s="4"/>
      <c r="K190" s="4">
        <v>222</v>
      </c>
      <c r="L190" s="4">
        <v>3</v>
      </c>
      <c r="M190" s="4">
        <v>3</v>
      </c>
      <c r="N190" s="4" t="s">
        <v>6</v>
      </c>
      <c r="O190" s="4">
        <v>2</v>
      </c>
      <c r="P190" s="4"/>
      <c r="Q190" s="4"/>
      <c r="R190" s="4"/>
      <c r="S190" s="4"/>
      <c r="T190" s="4"/>
      <c r="U190" s="4"/>
      <c r="V190" s="4"/>
      <c r="W190" s="4">
        <v>0</v>
      </c>
      <c r="X190" s="4">
        <v>1</v>
      </c>
      <c r="Y190" s="4">
        <v>0</v>
      </c>
      <c r="Z190" s="4"/>
      <c r="AA190" s="4"/>
      <c r="AB190" s="4"/>
    </row>
    <row r="191" spans="1:245">
      <c r="A191" s="4">
        <v>50</v>
      </c>
      <c r="B191" s="4">
        <v>0</v>
      </c>
      <c r="C191" s="4">
        <v>0</v>
      </c>
      <c r="D191" s="4">
        <v>1</v>
      </c>
      <c r="E191" s="4">
        <v>225</v>
      </c>
      <c r="F191" s="4">
        <f>ROUND(Source!AV186,O191)</f>
        <v>676319.07</v>
      </c>
      <c r="G191" s="4" t="s">
        <v>46</v>
      </c>
      <c r="H191" s="4" t="s">
        <v>47</v>
      </c>
      <c r="I191" s="4"/>
      <c r="J191" s="4"/>
      <c r="K191" s="4">
        <v>225</v>
      </c>
      <c r="L191" s="4">
        <v>4</v>
      </c>
      <c r="M191" s="4">
        <v>3</v>
      </c>
      <c r="N191" s="4" t="s">
        <v>6</v>
      </c>
      <c r="O191" s="4">
        <v>2</v>
      </c>
      <c r="P191" s="4"/>
      <c r="Q191" s="4"/>
      <c r="R191" s="4"/>
      <c r="S191" s="4"/>
      <c r="T191" s="4"/>
      <c r="U191" s="4"/>
      <c r="V191" s="4"/>
      <c r="W191" s="4">
        <v>676319.07</v>
      </c>
      <c r="X191" s="4">
        <v>1</v>
      </c>
      <c r="Y191" s="4">
        <v>0</v>
      </c>
      <c r="Z191" s="4"/>
      <c r="AA191" s="4"/>
      <c r="AB191" s="4"/>
    </row>
    <row r="192" spans="1:245">
      <c r="A192" s="4">
        <v>50</v>
      </c>
      <c r="B192" s="4">
        <v>0</v>
      </c>
      <c r="C192" s="4">
        <v>0</v>
      </c>
      <c r="D192" s="4">
        <v>1</v>
      </c>
      <c r="E192" s="4">
        <v>226</v>
      </c>
      <c r="F192" s="4">
        <f>ROUND(Source!AW186,O192)</f>
        <v>676319.07</v>
      </c>
      <c r="G192" s="4" t="s">
        <v>48</v>
      </c>
      <c r="H192" s="4" t="s">
        <v>49</v>
      </c>
      <c r="I192" s="4"/>
      <c r="J192" s="4"/>
      <c r="K192" s="4">
        <v>226</v>
      </c>
      <c r="L192" s="4">
        <v>5</v>
      </c>
      <c r="M192" s="4">
        <v>3</v>
      </c>
      <c r="N192" s="4" t="s">
        <v>6</v>
      </c>
      <c r="O192" s="4">
        <v>2</v>
      </c>
      <c r="P192" s="4"/>
      <c r="Q192" s="4"/>
      <c r="R192" s="4"/>
      <c r="S192" s="4"/>
      <c r="T192" s="4"/>
      <c r="U192" s="4"/>
      <c r="V192" s="4"/>
      <c r="W192" s="4">
        <v>676319.07</v>
      </c>
      <c r="X192" s="4">
        <v>1</v>
      </c>
      <c r="Y192" s="4">
        <v>4172889</v>
      </c>
      <c r="Z192" s="4"/>
      <c r="AA192" s="4"/>
      <c r="AB192" s="4"/>
    </row>
    <row r="193" spans="1:28">
      <c r="A193" s="4">
        <v>50</v>
      </c>
      <c r="B193" s="4">
        <v>0</v>
      </c>
      <c r="C193" s="4">
        <v>0</v>
      </c>
      <c r="D193" s="4">
        <v>1</v>
      </c>
      <c r="E193" s="4">
        <v>227</v>
      </c>
      <c r="F193" s="4">
        <f>ROUND(Source!AX186,O193)</f>
        <v>0</v>
      </c>
      <c r="G193" s="4" t="s">
        <v>50</v>
      </c>
      <c r="H193" s="4" t="s">
        <v>51</v>
      </c>
      <c r="I193" s="4"/>
      <c r="J193" s="4"/>
      <c r="K193" s="4">
        <v>227</v>
      </c>
      <c r="L193" s="4">
        <v>6</v>
      </c>
      <c r="M193" s="4">
        <v>3</v>
      </c>
      <c r="N193" s="4" t="s">
        <v>6</v>
      </c>
      <c r="O193" s="4">
        <v>2</v>
      </c>
      <c r="P193" s="4"/>
      <c r="Q193" s="4"/>
      <c r="R193" s="4"/>
      <c r="S193" s="4"/>
      <c r="T193" s="4"/>
      <c r="U193" s="4"/>
      <c r="V193" s="4"/>
      <c r="W193" s="4">
        <v>0</v>
      </c>
      <c r="X193" s="4">
        <v>1</v>
      </c>
      <c r="Y193" s="4">
        <v>0</v>
      </c>
      <c r="Z193" s="4"/>
      <c r="AA193" s="4"/>
      <c r="AB193" s="4"/>
    </row>
    <row r="194" spans="1:28">
      <c r="A194" s="4">
        <v>50</v>
      </c>
      <c r="B194" s="4">
        <v>0</v>
      </c>
      <c r="C194" s="4">
        <v>0</v>
      </c>
      <c r="D194" s="4">
        <v>1</v>
      </c>
      <c r="E194" s="4">
        <v>228</v>
      </c>
      <c r="F194" s="4">
        <f>ROUND(Source!AY186,O194)</f>
        <v>676319.07</v>
      </c>
      <c r="G194" s="4" t="s">
        <v>52</v>
      </c>
      <c r="H194" s="4" t="s">
        <v>53</v>
      </c>
      <c r="I194" s="4"/>
      <c r="J194" s="4"/>
      <c r="K194" s="4">
        <v>228</v>
      </c>
      <c r="L194" s="4">
        <v>7</v>
      </c>
      <c r="M194" s="4">
        <v>3</v>
      </c>
      <c r="N194" s="4" t="s">
        <v>6</v>
      </c>
      <c r="O194" s="4">
        <v>2</v>
      </c>
      <c r="P194" s="4"/>
      <c r="Q194" s="4"/>
      <c r="R194" s="4"/>
      <c r="S194" s="4"/>
      <c r="T194" s="4"/>
      <c r="U194" s="4"/>
      <c r="V194" s="4"/>
      <c r="W194" s="4">
        <v>676319.07</v>
      </c>
      <c r="X194" s="4">
        <v>1</v>
      </c>
      <c r="Y194" s="4">
        <v>4172889</v>
      </c>
      <c r="Z194" s="4"/>
      <c r="AA194" s="4"/>
      <c r="AB194" s="4"/>
    </row>
    <row r="195" spans="1:28">
      <c r="A195" s="4">
        <v>50</v>
      </c>
      <c r="B195" s="4">
        <v>0</v>
      </c>
      <c r="C195" s="4">
        <v>0</v>
      </c>
      <c r="D195" s="4">
        <v>1</v>
      </c>
      <c r="E195" s="4">
        <v>216</v>
      </c>
      <c r="F195" s="4">
        <f>ROUND(Source!AP186,O195)</f>
        <v>0</v>
      </c>
      <c r="G195" s="4" t="s">
        <v>54</v>
      </c>
      <c r="H195" s="4" t="s">
        <v>55</v>
      </c>
      <c r="I195" s="4"/>
      <c r="J195" s="4"/>
      <c r="K195" s="4">
        <v>216</v>
      </c>
      <c r="L195" s="4">
        <v>8</v>
      </c>
      <c r="M195" s="4">
        <v>3</v>
      </c>
      <c r="N195" s="4" t="s">
        <v>6</v>
      </c>
      <c r="O195" s="4">
        <v>2</v>
      </c>
      <c r="P195" s="4"/>
      <c r="Q195" s="4"/>
      <c r="R195" s="4"/>
      <c r="S195" s="4"/>
      <c r="T195" s="4"/>
      <c r="U195" s="4"/>
      <c r="V195" s="4"/>
      <c r="W195" s="4">
        <v>0</v>
      </c>
      <c r="X195" s="4">
        <v>1</v>
      </c>
      <c r="Y195" s="4">
        <v>0</v>
      </c>
      <c r="Z195" s="4"/>
      <c r="AA195" s="4"/>
      <c r="AB195" s="4"/>
    </row>
    <row r="196" spans="1:28">
      <c r="A196" s="4">
        <v>50</v>
      </c>
      <c r="B196" s="4">
        <v>0</v>
      </c>
      <c r="C196" s="4">
        <v>0</v>
      </c>
      <c r="D196" s="4">
        <v>1</v>
      </c>
      <c r="E196" s="4">
        <v>223</v>
      </c>
      <c r="F196" s="4">
        <f>ROUND(Source!AQ186,O196)</f>
        <v>0</v>
      </c>
      <c r="G196" s="4" t="s">
        <v>56</v>
      </c>
      <c r="H196" s="4" t="s">
        <v>57</v>
      </c>
      <c r="I196" s="4"/>
      <c r="J196" s="4"/>
      <c r="K196" s="4">
        <v>223</v>
      </c>
      <c r="L196" s="4">
        <v>9</v>
      </c>
      <c r="M196" s="4">
        <v>3</v>
      </c>
      <c r="N196" s="4" t="s">
        <v>6</v>
      </c>
      <c r="O196" s="4">
        <v>2</v>
      </c>
      <c r="P196" s="4"/>
      <c r="Q196" s="4"/>
      <c r="R196" s="4"/>
      <c r="S196" s="4"/>
      <c r="T196" s="4"/>
      <c r="U196" s="4"/>
      <c r="V196" s="4"/>
      <c r="W196" s="4">
        <v>0</v>
      </c>
      <c r="X196" s="4">
        <v>1</v>
      </c>
      <c r="Y196" s="4">
        <v>0</v>
      </c>
      <c r="Z196" s="4"/>
      <c r="AA196" s="4"/>
      <c r="AB196" s="4"/>
    </row>
    <row r="197" spans="1:28">
      <c r="A197" s="4">
        <v>50</v>
      </c>
      <c r="B197" s="4">
        <v>0</v>
      </c>
      <c r="C197" s="4">
        <v>0</v>
      </c>
      <c r="D197" s="4">
        <v>1</v>
      </c>
      <c r="E197" s="4">
        <v>229</v>
      </c>
      <c r="F197" s="4">
        <f>ROUND(Source!AZ186,O197)</f>
        <v>0</v>
      </c>
      <c r="G197" s="4" t="s">
        <v>58</v>
      </c>
      <c r="H197" s="4" t="s">
        <v>59</v>
      </c>
      <c r="I197" s="4"/>
      <c r="J197" s="4"/>
      <c r="K197" s="4">
        <v>229</v>
      </c>
      <c r="L197" s="4">
        <v>10</v>
      </c>
      <c r="M197" s="4">
        <v>3</v>
      </c>
      <c r="N197" s="4" t="s">
        <v>6</v>
      </c>
      <c r="O197" s="4">
        <v>2</v>
      </c>
      <c r="P197" s="4"/>
      <c r="Q197" s="4"/>
      <c r="R197" s="4"/>
      <c r="S197" s="4"/>
      <c r="T197" s="4"/>
      <c r="U197" s="4"/>
      <c r="V197" s="4"/>
      <c r="W197" s="4">
        <v>0</v>
      </c>
      <c r="X197" s="4">
        <v>1</v>
      </c>
      <c r="Y197" s="4">
        <v>0</v>
      </c>
      <c r="Z197" s="4"/>
      <c r="AA197" s="4"/>
      <c r="AB197" s="4"/>
    </row>
    <row r="198" spans="1:28">
      <c r="A198" s="4">
        <v>50</v>
      </c>
      <c r="B198" s="4">
        <v>0</v>
      </c>
      <c r="C198" s="4">
        <v>0</v>
      </c>
      <c r="D198" s="4">
        <v>1</v>
      </c>
      <c r="E198" s="4">
        <v>203</v>
      </c>
      <c r="F198" s="4">
        <f>ROUND(Source!Q186,O198)</f>
        <v>14095.91</v>
      </c>
      <c r="G198" s="4" t="s">
        <v>60</v>
      </c>
      <c r="H198" s="4" t="s">
        <v>61</v>
      </c>
      <c r="I198" s="4"/>
      <c r="J198" s="4"/>
      <c r="K198" s="4">
        <v>203</v>
      </c>
      <c r="L198" s="4">
        <v>11</v>
      </c>
      <c r="M198" s="4">
        <v>3</v>
      </c>
      <c r="N198" s="4" t="s">
        <v>6</v>
      </c>
      <c r="O198" s="4">
        <v>2</v>
      </c>
      <c r="P198" s="4"/>
      <c r="Q198" s="4"/>
      <c r="R198" s="4"/>
      <c r="S198" s="4"/>
      <c r="T198" s="4"/>
      <c r="U198" s="4"/>
      <c r="V198" s="4"/>
      <c r="W198" s="4">
        <v>12086.66</v>
      </c>
      <c r="X198" s="4">
        <v>1</v>
      </c>
      <c r="Y198" s="4">
        <v>92342</v>
      </c>
      <c r="Z198" s="4"/>
      <c r="AA198" s="4"/>
      <c r="AB198" s="4"/>
    </row>
    <row r="199" spans="1:28">
      <c r="A199" s="4">
        <v>50</v>
      </c>
      <c r="B199" s="4">
        <v>0</v>
      </c>
      <c r="C199" s="4">
        <v>0</v>
      </c>
      <c r="D199" s="4">
        <v>1</v>
      </c>
      <c r="E199" s="4">
        <v>231</v>
      </c>
      <c r="F199" s="4">
        <f>ROUND(Source!BB186,O199)</f>
        <v>0</v>
      </c>
      <c r="G199" s="4" t="s">
        <v>62</v>
      </c>
      <c r="H199" s="4" t="s">
        <v>63</v>
      </c>
      <c r="I199" s="4"/>
      <c r="J199" s="4"/>
      <c r="K199" s="4">
        <v>231</v>
      </c>
      <c r="L199" s="4">
        <v>12</v>
      </c>
      <c r="M199" s="4">
        <v>3</v>
      </c>
      <c r="N199" s="4" t="s">
        <v>6</v>
      </c>
      <c r="O199" s="4">
        <v>2</v>
      </c>
      <c r="P199" s="4"/>
      <c r="Q199" s="4"/>
      <c r="R199" s="4"/>
      <c r="S199" s="4"/>
      <c r="T199" s="4"/>
      <c r="U199" s="4"/>
      <c r="V199" s="4"/>
      <c r="W199" s="4">
        <v>0</v>
      </c>
      <c r="X199" s="4">
        <v>1</v>
      </c>
      <c r="Y199" s="4">
        <v>0</v>
      </c>
      <c r="Z199" s="4"/>
      <c r="AA199" s="4"/>
      <c r="AB199" s="4"/>
    </row>
    <row r="200" spans="1:28">
      <c r="A200" s="4">
        <v>50</v>
      </c>
      <c r="B200" s="4">
        <v>0</v>
      </c>
      <c r="C200" s="4">
        <v>0</v>
      </c>
      <c r="D200" s="4">
        <v>1</v>
      </c>
      <c r="E200" s="4">
        <v>204</v>
      </c>
      <c r="F200" s="4">
        <f>ROUND(Source!R186,O200)</f>
        <v>1820.89</v>
      </c>
      <c r="G200" s="4" t="s">
        <v>64</v>
      </c>
      <c r="H200" s="4" t="s">
        <v>65</v>
      </c>
      <c r="I200" s="4"/>
      <c r="J200" s="4"/>
      <c r="K200" s="4">
        <v>204</v>
      </c>
      <c r="L200" s="4">
        <v>13</v>
      </c>
      <c r="M200" s="4">
        <v>3</v>
      </c>
      <c r="N200" s="4" t="s">
        <v>6</v>
      </c>
      <c r="O200" s="4">
        <v>2</v>
      </c>
      <c r="P200" s="4"/>
      <c r="Q200" s="4"/>
      <c r="R200" s="4"/>
      <c r="S200" s="4"/>
      <c r="T200" s="4"/>
      <c r="U200" s="4"/>
      <c r="V200" s="4"/>
      <c r="W200" s="4">
        <v>1820.89</v>
      </c>
      <c r="X200" s="4">
        <v>1</v>
      </c>
      <c r="Y200" s="4">
        <v>44101</v>
      </c>
      <c r="Z200" s="4"/>
      <c r="AA200" s="4"/>
      <c r="AB200" s="4"/>
    </row>
    <row r="201" spans="1:28">
      <c r="A201" s="4">
        <v>50</v>
      </c>
      <c r="B201" s="4">
        <v>0</v>
      </c>
      <c r="C201" s="4">
        <v>0</v>
      </c>
      <c r="D201" s="4">
        <v>1</v>
      </c>
      <c r="E201" s="4">
        <v>205</v>
      </c>
      <c r="F201" s="4">
        <f>ROUND(Source!S186,O201)</f>
        <v>35282.379999999997</v>
      </c>
      <c r="G201" s="4" t="s">
        <v>66</v>
      </c>
      <c r="H201" s="4" t="s">
        <v>67</v>
      </c>
      <c r="I201" s="4"/>
      <c r="J201" s="4"/>
      <c r="K201" s="4">
        <v>205</v>
      </c>
      <c r="L201" s="4">
        <v>14</v>
      </c>
      <c r="M201" s="4">
        <v>3</v>
      </c>
      <c r="N201" s="4" t="s">
        <v>6</v>
      </c>
      <c r="O201" s="4">
        <v>2</v>
      </c>
      <c r="P201" s="4"/>
      <c r="Q201" s="4"/>
      <c r="R201" s="4"/>
      <c r="S201" s="4"/>
      <c r="T201" s="4"/>
      <c r="U201" s="4"/>
      <c r="V201" s="4"/>
      <c r="W201" s="4">
        <v>34611.880000000005</v>
      </c>
      <c r="X201" s="4">
        <v>1</v>
      </c>
      <c r="Y201" s="4">
        <v>838296</v>
      </c>
      <c r="Z201" s="4"/>
      <c r="AA201" s="4"/>
      <c r="AB201" s="4"/>
    </row>
    <row r="202" spans="1:28">
      <c r="A202" s="4">
        <v>50</v>
      </c>
      <c r="B202" s="4">
        <v>0</v>
      </c>
      <c r="C202" s="4">
        <v>0</v>
      </c>
      <c r="D202" s="4">
        <v>1</v>
      </c>
      <c r="E202" s="4">
        <v>232</v>
      </c>
      <c r="F202" s="4">
        <f>ROUND(Source!BC186,O202)</f>
        <v>0</v>
      </c>
      <c r="G202" s="4" t="s">
        <v>68</v>
      </c>
      <c r="H202" s="4" t="s">
        <v>69</v>
      </c>
      <c r="I202" s="4"/>
      <c r="J202" s="4"/>
      <c r="K202" s="4">
        <v>232</v>
      </c>
      <c r="L202" s="4">
        <v>15</v>
      </c>
      <c r="M202" s="4">
        <v>3</v>
      </c>
      <c r="N202" s="4" t="s">
        <v>6</v>
      </c>
      <c r="O202" s="4">
        <v>2</v>
      </c>
      <c r="P202" s="4"/>
      <c r="Q202" s="4"/>
      <c r="R202" s="4"/>
      <c r="S202" s="4"/>
      <c r="T202" s="4"/>
      <c r="U202" s="4"/>
      <c r="V202" s="4"/>
      <c r="W202" s="4">
        <v>0</v>
      </c>
      <c r="X202" s="4">
        <v>1</v>
      </c>
      <c r="Y202" s="4">
        <v>0</v>
      </c>
      <c r="Z202" s="4"/>
      <c r="AA202" s="4"/>
      <c r="AB202" s="4"/>
    </row>
    <row r="203" spans="1:28">
      <c r="A203" s="4">
        <v>50</v>
      </c>
      <c r="B203" s="4">
        <v>0</v>
      </c>
      <c r="C203" s="4">
        <v>0</v>
      </c>
      <c r="D203" s="4">
        <v>1</v>
      </c>
      <c r="E203" s="4">
        <v>214</v>
      </c>
      <c r="F203" s="4">
        <f>ROUND(Source!AS186,O203)</f>
        <v>778872.73</v>
      </c>
      <c r="G203" s="4" t="s">
        <v>70</v>
      </c>
      <c r="H203" s="4" t="s">
        <v>71</v>
      </c>
      <c r="I203" s="4"/>
      <c r="J203" s="4"/>
      <c r="K203" s="4">
        <v>214</v>
      </c>
      <c r="L203" s="4">
        <v>16</v>
      </c>
      <c r="M203" s="4">
        <v>3</v>
      </c>
      <c r="N203" s="4" t="s">
        <v>6</v>
      </c>
      <c r="O203" s="4">
        <v>2</v>
      </c>
      <c r="P203" s="4"/>
      <c r="Q203" s="4"/>
      <c r="R203" s="4"/>
      <c r="S203" s="4"/>
      <c r="T203" s="4"/>
      <c r="U203" s="4"/>
      <c r="V203" s="4"/>
      <c r="W203" s="4">
        <v>778872.73</v>
      </c>
      <c r="X203" s="4">
        <v>1</v>
      </c>
      <c r="Y203" s="4">
        <v>6420592</v>
      </c>
      <c r="Z203" s="4"/>
      <c r="AA203" s="4"/>
      <c r="AB203" s="4"/>
    </row>
    <row r="204" spans="1:28">
      <c r="A204" s="4">
        <v>50</v>
      </c>
      <c r="B204" s="4">
        <v>0</v>
      </c>
      <c r="C204" s="4">
        <v>0</v>
      </c>
      <c r="D204" s="4">
        <v>1</v>
      </c>
      <c r="E204" s="4">
        <v>215</v>
      </c>
      <c r="F204" s="4">
        <f>ROUND(Source!AT186,O204)</f>
        <v>0</v>
      </c>
      <c r="G204" s="4" t="s">
        <v>72</v>
      </c>
      <c r="H204" s="4" t="s">
        <v>73</v>
      </c>
      <c r="I204" s="4"/>
      <c r="J204" s="4"/>
      <c r="K204" s="4">
        <v>215</v>
      </c>
      <c r="L204" s="4">
        <v>17</v>
      </c>
      <c r="M204" s="4">
        <v>3</v>
      </c>
      <c r="N204" s="4" t="s">
        <v>6</v>
      </c>
      <c r="O204" s="4">
        <v>2</v>
      </c>
      <c r="P204" s="4"/>
      <c r="Q204" s="4"/>
      <c r="R204" s="4"/>
      <c r="S204" s="4"/>
      <c r="T204" s="4"/>
      <c r="U204" s="4"/>
      <c r="V204" s="4"/>
      <c r="W204" s="4">
        <v>0</v>
      </c>
      <c r="X204" s="4">
        <v>1</v>
      </c>
      <c r="Y204" s="4">
        <v>0</v>
      </c>
      <c r="Z204" s="4"/>
      <c r="AA204" s="4"/>
      <c r="AB204" s="4"/>
    </row>
    <row r="205" spans="1:28">
      <c r="A205" s="4">
        <v>50</v>
      </c>
      <c r="B205" s="4">
        <v>0</v>
      </c>
      <c r="C205" s="4">
        <v>0</v>
      </c>
      <c r="D205" s="4">
        <v>1</v>
      </c>
      <c r="E205" s="4">
        <v>217</v>
      </c>
      <c r="F205" s="4">
        <f>ROUND(Source!AU186,O205)</f>
        <v>0</v>
      </c>
      <c r="G205" s="4" t="s">
        <v>74</v>
      </c>
      <c r="H205" s="4" t="s">
        <v>75</v>
      </c>
      <c r="I205" s="4"/>
      <c r="J205" s="4"/>
      <c r="K205" s="4">
        <v>217</v>
      </c>
      <c r="L205" s="4">
        <v>18</v>
      </c>
      <c r="M205" s="4">
        <v>3</v>
      </c>
      <c r="N205" s="4" t="s">
        <v>6</v>
      </c>
      <c r="O205" s="4">
        <v>2</v>
      </c>
      <c r="P205" s="4"/>
      <c r="Q205" s="4"/>
      <c r="R205" s="4"/>
      <c r="S205" s="4"/>
      <c r="T205" s="4"/>
      <c r="U205" s="4"/>
      <c r="V205" s="4"/>
      <c r="W205" s="4">
        <v>0</v>
      </c>
      <c r="X205" s="4">
        <v>1</v>
      </c>
      <c r="Y205" s="4">
        <v>0</v>
      </c>
      <c r="Z205" s="4"/>
      <c r="AA205" s="4"/>
      <c r="AB205" s="4"/>
    </row>
    <row r="206" spans="1:28">
      <c r="A206" s="4">
        <v>50</v>
      </c>
      <c r="B206" s="4">
        <v>0</v>
      </c>
      <c r="C206" s="4">
        <v>0</v>
      </c>
      <c r="D206" s="4">
        <v>1</v>
      </c>
      <c r="E206" s="4">
        <v>230</v>
      </c>
      <c r="F206" s="4">
        <f>ROUND(Source!BA186,O206)</f>
        <v>0</v>
      </c>
      <c r="G206" s="4" t="s">
        <v>76</v>
      </c>
      <c r="H206" s="4" t="s">
        <v>77</v>
      </c>
      <c r="I206" s="4"/>
      <c r="J206" s="4"/>
      <c r="K206" s="4">
        <v>230</v>
      </c>
      <c r="L206" s="4">
        <v>19</v>
      </c>
      <c r="M206" s="4">
        <v>3</v>
      </c>
      <c r="N206" s="4" t="s">
        <v>6</v>
      </c>
      <c r="O206" s="4">
        <v>2</v>
      </c>
      <c r="P206" s="4"/>
      <c r="Q206" s="4"/>
      <c r="R206" s="4"/>
      <c r="S206" s="4"/>
      <c r="T206" s="4"/>
      <c r="U206" s="4"/>
      <c r="V206" s="4"/>
      <c r="W206" s="4">
        <v>0</v>
      </c>
      <c r="X206" s="4">
        <v>1</v>
      </c>
      <c r="Y206" s="4">
        <v>0</v>
      </c>
      <c r="Z206" s="4"/>
      <c r="AA206" s="4"/>
      <c r="AB206" s="4"/>
    </row>
    <row r="207" spans="1:28">
      <c r="A207" s="4">
        <v>50</v>
      </c>
      <c r="B207" s="4">
        <v>0</v>
      </c>
      <c r="C207" s="4">
        <v>0</v>
      </c>
      <c r="D207" s="4">
        <v>1</v>
      </c>
      <c r="E207" s="4">
        <v>206</v>
      </c>
      <c r="F207" s="4">
        <f>ROUND(Source!T186,O207)</f>
        <v>0</v>
      </c>
      <c r="G207" s="4" t="s">
        <v>78</v>
      </c>
      <c r="H207" s="4" t="s">
        <v>79</v>
      </c>
      <c r="I207" s="4"/>
      <c r="J207" s="4"/>
      <c r="K207" s="4">
        <v>206</v>
      </c>
      <c r="L207" s="4">
        <v>20</v>
      </c>
      <c r="M207" s="4">
        <v>3</v>
      </c>
      <c r="N207" s="4" t="s">
        <v>6</v>
      </c>
      <c r="O207" s="4">
        <v>2</v>
      </c>
      <c r="P207" s="4"/>
      <c r="Q207" s="4"/>
      <c r="R207" s="4"/>
      <c r="S207" s="4"/>
      <c r="T207" s="4"/>
      <c r="U207" s="4"/>
      <c r="V207" s="4"/>
      <c r="W207" s="4">
        <v>0</v>
      </c>
      <c r="X207" s="4">
        <v>1</v>
      </c>
      <c r="Y207" s="4">
        <v>0</v>
      </c>
      <c r="Z207" s="4"/>
      <c r="AA207" s="4"/>
      <c r="AB207" s="4"/>
    </row>
    <row r="208" spans="1:28">
      <c r="A208" s="4">
        <v>50</v>
      </c>
      <c r="B208" s="4">
        <v>0</v>
      </c>
      <c r="C208" s="4">
        <v>0</v>
      </c>
      <c r="D208" s="4">
        <v>1</v>
      </c>
      <c r="E208" s="4">
        <v>207</v>
      </c>
      <c r="F208" s="4">
        <f>Source!U186</f>
        <v>4001.9299009750002</v>
      </c>
      <c r="G208" s="4" t="s">
        <v>80</v>
      </c>
      <c r="H208" s="4" t="s">
        <v>81</v>
      </c>
      <c r="I208" s="4"/>
      <c r="J208" s="4"/>
      <c r="K208" s="4">
        <v>207</v>
      </c>
      <c r="L208" s="4">
        <v>21</v>
      </c>
      <c r="M208" s="4">
        <v>3</v>
      </c>
      <c r="N208" s="4" t="s">
        <v>6</v>
      </c>
      <c r="O208" s="4">
        <v>-1</v>
      </c>
      <c r="P208" s="4"/>
      <c r="Q208" s="4"/>
      <c r="R208" s="4"/>
      <c r="S208" s="4"/>
      <c r="T208" s="4"/>
      <c r="U208" s="4"/>
      <c r="V208" s="4"/>
      <c r="W208" s="4">
        <v>4001.9299009750002</v>
      </c>
      <c r="X208" s="4">
        <v>1</v>
      </c>
      <c r="Y208" s="4">
        <v>4001.9299009750002</v>
      </c>
      <c r="Z208" s="4"/>
      <c r="AA208" s="4"/>
      <c r="AB208" s="4"/>
    </row>
    <row r="209" spans="1:245">
      <c r="A209" s="4">
        <v>50</v>
      </c>
      <c r="B209" s="4">
        <v>0</v>
      </c>
      <c r="C209" s="4">
        <v>0</v>
      </c>
      <c r="D209" s="4">
        <v>1</v>
      </c>
      <c r="E209" s="4">
        <v>208</v>
      </c>
      <c r="F209" s="4">
        <f>Source!V186</f>
        <v>155.90989099999996</v>
      </c>
      <c r="G209" s="4" t="s">
        <v>82</v>
      </c>
      <c r="H209" s="4" t="s">
        <v>83</v>
      </c>
      <c r="I209" s="4"/>
      <c r="J209" s="4"/>
      <c r="K209" s="4">
        <v>208</v>
      </c>
      <c r="L209" s="4">
        <v>22</v>
      </c>
      <c r="M209" s="4">
        <v>3</v>
      </c>
      <c r="N209" s="4" t="s">
        <v>6</v>
      </c>
      <c r="O209" s="4">
        <v>-1</v>
      </c>
      <c r="P209" s="4"/>
      <c r="Q209" s="4"/>
      <c r="R209" s="4"/>
      <c r="S209" s="4"/>
      <c r="T209" s="4"/>
      <c r="U209" s="4"/>
      <c r="V209" s="4"/>
      <c r="W209" s="4">
        <v>155.90989099999999</v>
      </c>
      <c r="X209" s="4">
        <v>1</v>
      </c>
      <c r="Y209" s="4">
        <v>155.90989099999999</v>
      </c>
      <c r="Z209" s="4"/>
      <c r="AA209" s="4"/>
      <c r="AB209" s="4"/>
    </row>
    <row r="210" spans="1:245">
      <c r="A210" s="4">
        <v>50</v>
      </c>
      <c r="B210" s="4">
        <v>0</v>
      </c>
      <c r="C210" s="4">
        <v>0</v>
      </c>
      <c r="D210" s="4">
        <v>1</v>
      </c>
      <c r="E210" s="4">
        <v>209</v>
      </c>
      <c r="F210" s="4">
        <f>ROUND(Source!W186,O210)</f>
        <v>0</v>
      </c>
      <c r="G210" s="4" t="s">
        <v>84</v>
      </c>
      <c r="H210" s="4" t="s">
        <v>85</v>
      </c>
      <c r="I210" s="4"/>
      <c r="J210" s="4"/>
      <c r="K210" s="4">
        <v>209</v>
      </c>
      <c r="L210" s="4">
        <v>23</v>
      </c>
      <c r="M210" s="4">
        <v>3</v>
      </c>
      <c r="N210" s="4" t="s">
        <v>6</v>
      </c>
      <c r="O210" s="4">
        <v>2</v>
      </c>
      <c r="P210" s="4"/>
      <c r="Q210" s="4"/>
      <c r="R210" s="4"/>
      <c r="S210" s="4"/>
      <c r="T210" s="4"/>
      <c r="U210" s="4"/>
      <c r="V210" s="4"/>
      <c r="W210" s="4">
        <v>0</v>
      </c>
      <c r="X210" s="4">
        <v>1</v>
      </c>
      <c r="Y210" s="4">
        <v>0</v>
      </c>
      <c r="Z210" s="4"/>
      <c r="AA210" s="4"/>
      <c r="AB210" s="4"/>
    </row>
    <row r="211" spans="1:245">
      <c r="A211" s="4">
        <v>50</v>
      </c>
      <c r="B211" s="4">
        <v>0</v>
      </c>
      <c r="C211" s="4">
        <v>0</v>
      </c>
      <c r="D211" s="4">
        <v>1</v>
      </c>
      <c r="E211" s="4">
        <v>233</v>
      </c>
      <c r="F211" s="4">
        <f>ROUND(Source!BD186,O211)</f>
        <v>3817.27</v>
      </c>
      <c r="G211" s="4" t="s">
        <v>86</v>
      </c>
      <c r="H211" s="4" t="s">
        <v>87</v>
      </c>
      <c r="I211" s="4"/>
      <c r="J211" s="4"/>
      <c r="K211" s="4">
        <v>233</v>
      </c>
      <c r="L211" s="4">
        <v>24</v>
      </c>
      <c r="M211" s="4">
        <v>3</v>
      </c>
      <c r="N211" s="4" t="s">
        <v>6</v>
      </c>
      <c r="O211" s="4">
        <v>2</v>
      </c>
      <c r="P211" s="4"/>
      <c r="Q211" s="4"/>
      <c r="R211" s="4"/>
      <c r="S211" s="4"/>
      <c r="T211" s="4"/>
      <c r="U211" s="4"/>
      <c r="V211" s="4"/>
      <c r="W211" s="4">
        <v>3817.27</v>
      </c>
      <c r="X211" s="4">
        <v>1</v>
      </c>
      <c r="Y211" s="4">
        <v>29164</v>
      </c>
      <c r="Z211" s="4"/>
      <c r="AA211" s="4"/>
      <c r="AB211" s="4"/>
    </row>
    <row r="212" spans="1:245">
      <c r="A212" s="4">
        <v>50</v>
      </c>
      <c r="B212" s="4">
        <v>0</v>
      </c>
      <c r="C212" s="4">
        <v>0</v>
      </c>
      <c r="D212" s="4">
        <v>1</v>
      </c>
      <c r="E212" s="4">
        <v>210</v>
      </c>
      <c r="F212" s="4">
        <f>ROUND(Source!X186,O212)</f>
        <v>34062.25</v>
      </c>
      <c r="G212" s="4" t="s">
        <v>88</v>
      </c>
      <c r="H212" s="4" t="s">
        <v>89</v>
      </c>
      <c r="I212" s="4"/>
      <c r="J212" s="4"/>
      <c r="K212" s="4">
        <v>210</v>
      </c>
      <c r="L212" s="4">
        <v>25</v>
      </c>
      <c r="M212" s="4">
        <v>3</v>
      </c>
      <c r="N212" s="4" t="s">
        <v>6</v>
      </c>
      <c r="O212" s="4">
        <v>2</v>
      </c>
      <c r="P212" s="4"/>
      <c r="Q212" s="4"/>
      <c r="R212" s="4"/>
      <c r="S212" s="4"/>
      <c r="T212" s="4"/>
      <c r="U212" s="4"/>
      <c r="V212" s="4"/>
      <c r="W212" s="4">
        <v>34062.25</v>
      </c>
      <c r="X212" s="4">
        <v>1</v>
      </c>
      <c r="Y212" s="4">
        <v>824980</v>
      </c>
      <c r="Z212" s="4"/>
      <c r="AA212" s="4"/>
      <c r="AB212" s="4"/>
    </row>
    <row r="213" spans="1:245">
      <c r="A213" s="4">
        <v>50</v>
      </c>
      <c r="B213" s="4">
        <v>0</v>
      </c>
      <c r="C213" s="4">
        <v>0</v>
      </c>
      <c r="D213" s="4">
        <v>1</v>
      </c>
      <c r="E213" s="4">
        <v>211</v>
      </c>
      <c r="F213" s="4">
        <f>ROUND(Source!Y186,O213)</f>
        <v>19113.12</v>
      </c>
      <c r="G213" s="4" t="s">
        <v>90</v>
      </c>
      <c r="H213" s="4" t="s">
        <v>91</v>
      </c>
      <c r="I213" s="4"/>
      <c r="J213" s="4"/>
      <c r="K213" s="4">
        <v>211</v>
      </c>
      <c r="L213" s="4">
        <v>26</v>
      </c>
      <c r="M213" s="4">
        <v>3</v>
      </c>
      <c r="N213" s="4" t="s">
        <v>6</v>
      </c>
      <c r="O213" s="4">
        <v>2</v>
      </c>
      <c r="P213" s="4"/>
      <c r="Q213" s="4"/>
      <c r="R213" s="4"/>
      <c r="S213" s="4"/>
      <c r="T213" s="4"/>
      <c r="U213" s="4"/>
      <c r="V213" s="4"/>
      <c r="W213" s="4">
        <v>19113.12</v>
      </c>
      <c r="X213" s="4">
        <v>1</v>
      </c>
      <c r="Y213" s="4">
        <v>462921</v>
      </c>
      <c r="Z213" s="4"/>
      <c r="AA213" s="4"/>
      <c r="AB213" s="4"/>
    </row>
    <row r="214" spans="1:245">
      <c r="A214" s="4">
        <v>50</v>
      </c>
      <c r="B214" s="4">
        <v>0</v>
      </c>
      <c r="C214" s="4">
        <v>0</v>
      </c>
      <c r="D214" s="4">
        <v>1</v>
      </c>
      <c r="E214" s="4">
        <v>224</v>
      </c>
      <c r="F214" s="4">
        <f>ROUND(Source!AR186,O214)</f>
        <v>778872.73</v>
      </c>
      <c r="G214" s="4" t="s">
        <v>92</v>
      </c>
      <c r="H214" s="4" t="s">
        <v>93</v>
      </c>
      <c r="I214" s="4"/>
      <c r="J214" s="4"/>
      <c r="K214" s="4">
        <v>224</v>
      </c>
      <c r="L214" s="4">
        <v>27</v>
      </c>
      <c r="M214" s="4">
        <v>3</v>
      </c>
      <c r="N214" s="4" t="s">
        <v>6</v>
      </c>
      <c r="O214" s="4">
        <v>2</v>
      </c>
      <c r="P214" s="4"/>
      <c r="Q214" s="4"/>
      <c r="R214" s="4"/>
      <c r="S214" s="4"/>
      <c r="T214" s="4"/>
      <c r="U214" s="4"/>
      <c r="V214" s="4"/>
      <c r="W214" s="4">
        <v>780010.25</v>
      </c>
      <c r="X214" s="4">
        <v>1</v>
      </c>
      <c r="Y214" s="4">
        <v>6420592</v>
      </c>
      <c r="Z214" s="4"/>
      <c r="AA214" s="4"/>
      <c r="AB214" s="4"/>
    </row>
    <row r="215" spans="1:245">
      <c r="A215" s="4">
        <v>50</v>
      </c>
      <c r="B215" s="4">
        <v>1</v>
      </c>
      <c r="C215" s="4">
        <v>0</v>
      </c>
      <c r="D215" s="4">
        <v>2</v>
      </c>
      <c r="E215" s="4">
        <v>0</v>
      </c>
      <c r="F215" s="4">
        <f>ROUND(F214,O215)</f>
        <v>778872.73</v>
      </c>
      <c r="G215" s="4" t="s">
        <v>19</v>
      </c>
      <c r="H215" s="4" t="s">
        <v>94</v>
      </c>
      <c r="I215" s="4"/>
      <c r="J215" s="4"/>
      <c r="K215" s="4">
        <v>212</v>
      </c>
      <c r="L215" s="4">
        <v>28</v>
      </c>
      <c r="M215" s="4">
        <v>0</v>
      </c>
      <c r="N215" s="4" t="s">
        <v>6</v>
      </c>
      <c r="O215" s="4">
        <v>2</v>
      </c>
      <c r="P215" s="4"/>
      <c r="Q215" s="4"/>
      <c r="R215" s="4"/>
      <c r="S215" s="4"/>
      <c r="T215" s="4"/>
      <c r="U215" s="4"/>
      <c r="V215" s="4"/>
      <c r="W215" s="4">
        <v>780010.25</v>
      </c>
      <c r="X215" s="4">
        <v>1</v>
      </c>
      <c r="Y215" s="4">
        <v>6420592</v>
      </c>
      <c r="Z215" s="4"/>
      <c r="AA215" s="4"/>
      <c r="AB215" s="4"/>
    </row>
    <row r="216" spans="1:245">
      <c r="A216" s="4">
        <v>50</v>
      </c>
      <c r="B216" s="4">
        <v>1</v>
      </c>
      <c r="C216" s="4">
        <v>0</v>
      </c>
      <c r="D216" s="4">
        <v>2</v>
      </c>
      <c r="E216" s="4">
        <v>0</v>
      </c>
      <c r="F216" s="4">
        <f>ROUND(F215*0.2,O216)</f>
        <v>155774.54999999999</v>
      </c>
      <c r="G216" s="4" t="s">
        <v>31</v>
      </c>
      <c r="H216" s="4" t="s">
        <v>95</v>
      </c>
      <c r="I216" s="4"/>
      <c r="J216" s="4"/>
      <c r="K216" s="4">
        <v>212</v>
      </c>
      <c r="L216" s="4">
        <v>29</v>
      </c>
      <c r="M216" s="4">
        <v>0</v>
      </c>
      <c r="N216" s="4" t="s">
        <v>6</v>
      </c>
      <c r="O216" s="4">
        <v>2</v>
      </c>
      <c r="P216" s="4"/>
      <c r="Q216" s="4"/>
      <c r="R216" s="4"/>
      <c r="S216" s="4"/>
      <c r="T216" s="4"/>
      <c r="U216" s="4"/>
      <c r="V216" s="4"/>
      <c r="W216" s="4">
        <v>156002.04999999999</v>
      </c>
      <c r="X216" s="4">
        <v>1</v>
      </c>
      <c r="Y216" s="4">
        <v>1284118</v>
      </c>
      <c r="Z216" s="4"/>
      <c r="AA216" s="4"/>
      <c r="AB216" s="4"/>
    </row>
    <row r="217" spans="1:245">
      <c r="A217" s="4">
        <v>50</v>
      </c>
      <c r="B217" s="4">
        <v>1</v>
      </c>
      <c r="C217" s="4">
        <v>0</v>
      </c>
      <c r="D217" s="4">
        <v>2</v>
      </c>
      <c r="E217" s="4">
        <v>213</v>
      </c>
      <c r="F217" s="4">
        <f>ROUND(F215+F216,O217)</f>
        <v>934647.28</v>
      </c>
      <c r="G217" s="4" t="s">
        <v>96</v>
      </c>
      <c r="H217" s="4" t="s">
        <v>97</v>
      </c>
      <c r="I217" s="4"/>
      <c r="J217" s="4"/>
      <c r="K217" s="4">
        <v>212</v>
      </c>
      <c r="L217" s="4">
        <v>30</v>
      </c>
      <c r="M217" s="4">
        <v>0</v>
      </c>
      <c r="N217" s="4" t="s">
        <v>6</v>
      </c>
      <c r="O217" s="4">
        <v>2</v>
      </c>
      <c r="P217" s="4"/>
      <c r="Q217" s="4"/>
      <c r="R217" s="4"/>
      <c r="S217" s="4"/>
      <c r="T217" s="4"/>
      <c r="U217" s="4"/>
      <c r="V217" s="4"/>
      <c r="W217" s="4">
        <v>936012.3</v>
      </c>
      <c r="X217" s="4">
        <v>1</v>
      </c>
      <c r="Y217" s="4">
        <v>7704710</v>
      </c>
      <c r="Z217" s="4"/>
      <c r="AA217" s="4"/>
      <c r="AB217" s="4"/>
    </row>
    <row r="219" spans="1:245">
      <c r="A219" s="1">
        <v>4</v>
      </c>
      <c r="B219" s="1">
        <v>1</v>
      </c>
      <c r="C219" s="1"/>
      <c r="D219" s="1">
        <f>ROW(A291)</f>
        <v>291</v>
      </c>
      <c r="E219" s="1"/>
      <c r="F219" s="1" t="s">
        <v>17</v>
      </c>
      <c r="G219" s="1" t="s">
        <v>426</v>
      </c>
      <c r="H219" s="1" t="s">
        <v>6</v>
      </c>
      <c r="I219" s="1">
        <v>0</v>
      </c>
      <c r="J219" s="1"/>
      <c r="K219" s="1">
        <v>0</v>
      </c>
      <c r="L219" s="1"/>
      <c r="M219" s="1" t="s">
        <v>6</v>
      </c>
      <c r="N219" s="1"/>
      <c r="O219" s="1"/>
      <c r="P219" s="1"/>
      <c r="Q219" s="1"/>
      <c r="R219" s="1"/>
      <c r="S219" s="1">
        <v>31028413</v>
      </c>
      <c r="T219" s="1"/>
      <c r="U219" s="1" t="s">
        <v>6</v>
      </c>
      <c r="V219" s="1">
        <v>0</v>
      </c>
      <c r="W219" s="1"/>
      <c r="X219" s="1"/>
      <c r="Y219" s="1"/>
      <c r="Z219" s="1"/>
      <c r="AA219" s="1"/>
      <c r="AB219" s="1" t="s">
        <v>6</v>
      </c>
      <c r="AC219" s="1" t="s">
        <v>6</v>
      </c>
      <c r="AD219" s="1" t="s">
        <v>6</v>
      </c>
      <c r="AE219" s="1" t="s">
        <v>6</v>
      </c>
      <c r="AF219" s="1" t="s">
        <v>6</v>
      </c>
      <c r="AG219" s="1" t="s">
        <v>6</v>
      </c>
      <c r="AH219" s="1"/>
      <c r="AI219" s="1"/>
      <c r="AJ219" s="1"/>
      <c r="AK219" s="1"/>
      <c r="AL219" s="1"/>
      <c r="AM219" s="1"/>
      <c r="AN219" s="1"/>
      <c r="AO219" s="1"/>
      <c r="AP219" s="1" t="s">
        <v>6</v>
      </c>
      <c r="AQ219" s="1" t="s">
        <v>6</v>
      </c>
      <c r="AR219" s="1" t="s">
        <v>6</v>
      </c>
      <c r="AS219" s="1"/>
      <c r="AT219" s="1"/>
      <c r="AU219" s="1"/>
      <c r="AV219" s="1"/>
      <c r="AW219" s="1"/>
      <c r="AX219" s="1"/>
      <c r="AY219" s="1"/>
      <c r="AZ219" s="1" t="s">
        <v>6</v>
      </c>
      <c r="BA219" s="1"/>
      <c r="BB219" s="1" t="s">
        <v>6</v>
      </c>
      <c r="BC219" s="1" t="s">
        <v>6</v>
      </c>
      <c r="BD219" s="1" t="s">
        <v>6</v>
      </c>
      <c r="BE219" s="1" t="s">
        <v>6</v>
      </c>
      <c r="BF219" s="1" t="s">
        <v>6</v>
      </c>
      <c r="BG219" s="1" t="s">
        <v>6</v>
      </c>
      <c r="BH219" s="1" t="s">
        <v>6</v>
      </c>
      <c r="BI219" s="1" t="s">
        <v>6</v>
      </c>
      <c r="BJ219" s="1" t="s">
        <v>6</v>
      </c>
      <c r="BK219" s="1" t="s">
        <v>6</v>
      </c>
      <c r="BL219" s="1" t="s">
        <v>6</v>
      </c>
      <c r="BM219" s="1" t="s">
        <v>6</v>
      </c>
      <c r="BN219" s="1" t="s">
        <v>6</v>
      </c>
      <c r="BO219" s="1" t="s">
        <v>6</v>
      </c>
      <c r="BP219" s="1" t="s">
        <v>6</v>
      </c>
      <c r="BQ219" s="1"/>
      <c r="BR219" s="1"/>
      <c r="BS219" s="1"/>
      <c r="BT219" s="1"/>
      <c r="BU219" s="1"/>
      <c r="BV219" s="1"/>
      <c r="BW219" s="1"/>
      <c r="BX219" s="1">
        <v>0</v>
      </c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>
        <v>0</v>
      </c>
    </row>
    <row r="221" spans="1:245">
      <c r="A221" s="2">
        <v>52</v>
      </c>
      <c r="B221" s="2">
        <f t="shared" ref="B221:G221" si="221">B291</f>
        <v>1</v>
      </c>
      <c r="C221" s="2">
        <f t="shared" si="221"/>
        <v>4</v>
      </c>
      <c r="D221" s="2">
        <f t="shared" si="221"/>
        <v>219</v>
      </c>
      <c r="E221" s="2">
        <f t="shared" si="221"/>
        <v>0</v>
      </c>
      <c r="F221" s="2" t="str">
        <f t="shared" si="221"/>
        <v>Новый раздел</v>
      </c>
      <c r="G221" s="2" t="str">
        <f t="shared" si="221"/>
        <v>Раздел КР</v>
      </c>
      <c r="H221" s="2"/>
      <c r="I221" s="2"/>
      <c r="J221" s="2"/>
      <c r="K221" s="2"/>
      <c r="L221" s="2"/>
      <c r="M221" s="2"/>
      <c r="N221" s="2"/>
      <c r="O221" s="2">
        <f t="shared" ref="O221:AT221" si="222">O291</f>
        <v>597168.93000000005</v>
      </c>
      <c r="P221" s="2">
        <f t="shared" si="222"/>
        <v>544833.74</v>
      </c>
      <c r="Q221" s="2">
        <f t="shared" si="222"/>
        <v>13476.89</v>
      </c>
      <c r="R221" s="2">
        <f t="shared" si="222"/>
        <v>1589.51</v>
      </c>
      <c r="S221" s="2">
        <f t="shared" si="222"/>
        <v>38858.300000000003</v>
      </c>
      <c r="T221" s="2">
        <f t="shared" si="222"/>
        <v>0</v>
      </c>
      <c r="U221" s="2">
        <f t="shared" si="222"/>
        <v>4474.3152452349996</v>
      </c>
      <c r="V221" s="2">
        <f t="shared" si="222"/>
        <v>128.16516579500001</v>
      </c>
      <c r="W221" s="2">
        <f t="shared" si="222"/>
        <v>0</v>
      </c>
      <c r="X221" s="2">
        <f t="shared" si="222"/>
        <v>40959.97</v>
      </c>
      <c r="Y221" s="2">
        <f t="shared" si="222"/>
        <v>23283.200000000001</v>
      </c>
      <c r="Z221" s="2">
        <f t="shared" si="222"/>
        <v>0</v>
      </c>
      <c r="AA221" s="2">
        <f t="shared" si="222"/>
        <v>0</v>
      </c>
      <c r="AB221" s="2">
        <f t="shared" si="222"/>
        <v>597168.93000000005</v>
      </c>
      <c r="AC221" s="2">
        <f t="shared" si="222"/>
        <v>544833.74</v>
      </c>
      <c r="AD221" s="2">
        <f t="shared" si="222"/>
        <v>13476.89</v>
      </c>
      <c r="AE221" s="2">
        <f t="shared" si="222"/>
        <v>1589.51</v>
      </c>
      <c r="AF221" s="2">
        <f t="shared" si="222"/>
        <v>38858.300000000003</v>
      </c>
      <c r="AG221" s="2">
        <f t="shared" si="222"/>
        <v>0</v>
      </c>
      <c r="AH221" s="2">
        <f t="shared" si="222"/>
        <v>4474.3152452349996</v>
      </c>
      <c r="AI221" s="2">
        <f t="shared" si="222"/>
        <v>128.16516579500001</v>
      </c>
      <c r="AJ221" s="2">
        <f t="shared" si="222"/>
        <v>0</v>
      </c>
      <c r="AK221" s="2">
        <f t="shared" si="222"/>
        <v>40959.97</v>
      </c>
      <c r="AL221" s="2">
        <f t="shared" si="222"/>
        <v>23283.200000000001</v>
      </c>
      <c r="AM221" s="2">
        <f t="shared" si="222"/>
        <v>0</v>
      </c>
      <c r="AN221" s="2">
        <f t="shared" si="222"/>
        <v>0</v>
      </c>
      <c r="AO221" s="2">
        <f t="shared" si="222"/>
        <v>0</v>
      </c>
      <c r="AP221" s="2">
        <f t="shared" si="222"/>
        <v>0</v>
      </c>
      <c r="AQ221" s="2">
        <f t="shared" si="222"/>
        <v>0</v>
      </c>
      <c r="AR221" s="2">
        <f t="shared" si="222"/>
        <v>661412.1</v>
      </c>
      <c r="AS221" s="2">
        <f t="shared" si="222"/>
        <v>643379.62</v>
      </c>
      <c r="AT221" s="2">
        <f t="shared" si="222"/>
        <v>18032.48</v>
      </c>
      <c r="AU221" s="2">
        <f t="shared" ref="AU221:BZ221" si="223">AU291</f>
        <v>0</v>
      </c>
      <c r="AV221" s="2">
        <f t="shared" si="223"/>
        <v>544833.74</v>
      </c>
      <c r="AW221" s="2">
        <f t="shared" si="223"/>
        <v>544833.74</v>
      </c>
      <c r="AX221" s="2">
        <f t="shared" si="223"/>
        <v>0</v>
      </c>
      <c r="AY221" s="2">
        <f t="shared" si="223"/>
        <v>544833.74</v>
      </c>
      <c r="AZ221" s="2">
        <f t="shared" si="223"/>
        <v>0</v>
      </c>
      <c r="BA221" s="2">
        <f t="shared" si="223"/>
        <v>0</v>
      </c>
      <c r="BB221" s="2">
        <f t="shared" si="223"/>
        <v>0</v>
      </c>
      <c r="BC221" s="2">
        <f t="shared" si="223"/>
        <v>0</v>
      </c>
      <c r="BD221" s="2">
        <f t="shared" si="223"/>
        <v>0</v>
      </c>
      <c r="BE221" s="2">
        <f t="shared" si="223"/>
        <v>0</v>
      </c>
      <c r="BF221" s="2">
        <f t="shared" si="223"/>
        <v>0</v>
      </c>
      <c r="BG221" s="2">
        <f t="shared" si="223"/>
        <v>0</v>
      </c>
      <c r="BH221" s="2">
        <f t="shared" si="223"/>
        <v>0</v>
      </c>
      <c r="BI221" s="2">
        <f t="shared" si="223"/>
        <v>0</v>
      </c>
      <c r="BJ221" s="2">
        <f t="shared" si="223"/>
        <v>0</v>
      </c>
      <c r="BK221" s="2">
        <f t="shared" si="223"/>
        <v>0</v>
      </c>
      <c r="BL221" s="2">
        <f t="shared" si="223"/>
        <v>0</v>
      </c>
      <c r="BM221" s="2">
        <f t="shared" si="223"/>
        <v>0</v>
      </c>
      <c r="BN221" s="2">
        <f t="shared" si="223"/>
        <v>0</v>
      </c>
      <c r="BO221" s="2">
        <f t="shared" si="223"/>
        <v>0</v>
      </c>
      <c r="BP221" s="2">
        <f t="shared" si="223"/>
        <v>0</v>
      </c>
      <c r="BQ221" s="2">
        <f t="shared" si="223"/>
        <v>0</v>
      </c>
      <c r="BR221" s="2">
        <f t="shared" si="223"/>
        <v>0</v>
      </c>
      <c r="BS221" s="2">
        <f t="shared" si="223"/>
        <v>0</v>
      </c>
      <c r="BT221" s="2">
        <f t="shared" si="223"/>
        <v>0</v>
      </c>
      <c r="BU221" s="2">
        <f t="shared" si="223"/>
        <v>0</v>
      </c>
      <c r="BV221" s="2">
        <f t="shared" si="223"/>
        <v>0</v>
      </c>
      <c r="BW221" s="2">
        <f t="shared" si="223"/>
        <v>0</v>
      </c>
      <c r="BX221" s="2">
        <f t="shared" si="223"/>
        <v>0</v>
      </c>
      <c r="BY221" s="2">
        <f t="shared" si="223"/>
        <v>0</v>
      </c>
      <c r="BZ221" s="2">
        <f t="shared" si="223"/>
        <v>0</v>
      </c>
      <c r="CA221" s="2">
        <f t="shared" ref="CA221:DF221" si="224">CA291</f>
        <v>661412.1</v>
      </c>
      <c r="CB221" s="2">
        <f t="shared" si="224"/>
        <v>643379.62</v>
      </c>
      <c r="CC221" s="2">
        <f t="shared" si="224"/>
        <v>18032.48</v>
      </c>
      <c r="CD221" s="2">
        <f t="shared" si="224"/>
        <v>0</v>
      </c>
      <c r="CE221" s="2">
        <f t="shared" si="224"/>
        <v>544833.74</v>
      </c>
      <c r="CF221" s="2">
        <f t="shared" si="224"/>
        <v>544833.74</v>
      </c>
      <c r="CG221" s="2">
        <f t="shared" si="224"/>
        <v>0</v>
      </c>
      <c r="CH221" s="2">
        <f t="shared" si="224"/>
        <v>544833.74</v>
      </c>
      <c r="CI221" s="2">
        <f t="shared" si="224"/>
        <v>0</v>
      </c>
      <c r="CJ221" s="2">
        <f t="shared" si="224"/>
        <v>0</v>
      </c>
      <c r="CK221" s="2">
        <f t="shared" si="224"/>
        <v>0</v>
      </c>
      <c r="CL221" s="2">
        <f t="shared" si="224"/>
        <v>0</v>
      </c>
      <c r="CM221" s="2">
        <f t="shared" si="224"/>
        <v>0</v>
      </c>
      <c r="CN221" s="2">
        <f t="shared" si="224"/>
        <v>0</v>
      </c>
      <c r="CO221" s="2">
        <f t="shared" si="224"/>
        <v>0</v>
      </c>
      <c r="CP221" s="2">
        <f t="shared" si="224"/>
        <v>0</v>
      </c>
      <c r="CQ221" s="2">
        <f t="shared" si="224"/>
        <v>0</v>
      </c>
      <c r="CR221" s="2">
        <f t="shared" si="224"/>
        <v>0</v>
      </c>
      <c r="CS221" s="2">
        <f t="shared" si="224"/>
        <v>0</v>
      </c>
      <c r="CT221" s="2">
        <f t="shared" si="224"/>
        <v>0</v>
      </c>
      <c r="CU221" s="2">
        <f t="shared" si="224"/>
        <v>0</v>
      </c>
      <c r="CV221" s="2">
        <f t="shared" si="224"/>
        <v>0</v>
      </c>
      <c r="CW221" s="2">
        <f t="shared" si="224"/>
        <v>0</v>
      </c>
      <c r="CX221" s="2">
        <f t="shared" si="224"/>
        <v>0</v>
      </c>
      <c r="CY221" s="2">
        <f t="shared" si="224"/>
        <v>0</v>
      </c>
      <c r="CZ221" s="2">
        <f t="shared" si="224"/>
        <v>0</v>
      </c>
      <c r="DA221" s="2">
        <f t="shared" si="224"/>
        <v>0</v>
      </c>
      <c r="DB221" s="2">
        <f t="shared" si="224"/>
        <v>0</v>
      </c>
      <c r="DC221" s="2">
        <f t="shared" si="224"/>
        <v>0</v>
      </c>
      <c r="DD221" s="2">
        <f t="shared" si="224"/>
        <v>0</v>
      </c>
      <c r="DE221" s="2">
        <f t="shared" si="224"/>
        <v>0</v>
      </c>
      <c r="DF221" s="2">
        <f t="shared" si="224"/>
        <v>0</v>
      </c>
      <c r="DG221" s="3">
        <f t="shared" ref="DG221:EL221" si="225">DG291</f>
        <v>0</v>
      </c>
      <c r="DH221" s="3">
        <f t="shared" si="225"/>
        <v>0</v>
      </c>
      <c r="DI221" s="3">
        <f t="shared" si="225"/>
        <v>0</v>
      </c>
      <c r="DJ221" s="3">
        <f t="shared" si="225"/>
        <v>0</v>
      </c>
      <c r="DK221" s="3">
        <f t="shared" si="225"/>
        <v>0</v>
      </c>
      <c r="DL221" s="3">
        <f t="shared" si="225"/>
        <v>0</v>
      </c>
      <c r="DM221" s="3">
        <f t="shared" si="225"/>
        <v>0</v>
      </c>
      <c r="DN221" s="3">
        <f t="shared" si="225"/>
        <v>0</v>
      </c>
      <c r="DO221" s="3">
        <f t="shared" si="225"/>
        <v>0</v>
      </c>
      <c r="DP221" s="3">
        <f t="shared" si="225"/>
        <v>0</v>
      </c>
      <c r="DQ221" s="3">
        <f t="shared" si="225"/>
        <v>0</v>
      </c>
      <c r="DR221" s="3">
        <f t="shared" si="225"/>
        <v>0</v>
      </c>
      <c r="DS221" s="3">
        <f t="shared" si="225"/>
        <v>0</v>
      </c>
      <c r="DT221" s="3">
        <f t="shared" si="225"/>
        <v>0</v>
      </c>
      <c r="DU221" s="3">
        <f t="shared" si="225"/>
        <v>0</v>
      </c>
      <c r="DV221" s="3">
        <f t="shared" si="225"/>
        <v>0</v>
      </c>
      <c r="DW221" s="3">
        <f t="shared" si="225"/>
        <v>0</v>
      </c>
      <c r="DX221" s="3">
        <f t="shared" si="225"/>
        <v>0</v>
      </c>
      <c r="DY221" s="3">
        <f t="shared" si="225"/>
        <v>0</v>
      </c>
      <c r="DZ221" s="3">
        <f t="shared" si="225"/>
        <v>0</v>
      </c>
      <c r="EA221" s="3">
        <f t="shared" si="225"/>
        <v>0</v>
      </c>
      <c r="EB221" s="3">
        <f t="shared" si="225"/>
        <v>0</v>
      </c>
      <c r="EC221" s="3">
        <f t="shared" si="225"/>
        <v>0</v>
      </c>
      <c r="ED221" s="3">
        <f t="shared" si="225"/>
        <v>0</v>
      </c>
      <c r="EE221" s="3">
        <f t="shared" si="225"/>
        <v>0</v>
      </c>
      <c r="EF221" s="3">
        <f t="shared" si="225"/>
        <v>0</v>
      </c>
      <c r="EG221" s="3">
        <f t="shared" si="225"/>
        <v>0</v>
      </c>
      <c r="EH221" s="3">
        <f t="shared" si="225"/>
        <v>0</v>
      </c>
      <c r="EI221" s="3">
        <f t="shared" si="225"/>
        <v>0</v>
      </c>
      <c r="EJ221" s="3">
        <f t="shared" si="225"/>
        <v>0</v>
      </c>
      <c r="EK221" s="3">
        <f t="shared" si="225"/>
        <v>0</v>
      </c>
      <c r="EL221" s="3">
        <f t="shared" si="225"/>
        <v>0</v>
      </c>
      <c r="EM221" s="3">
        <f t="shared" ref="EM221:FR221" si="226">EM291</f>
        <v>0</v>
      </c>
      <c r="EN221" s="3">
        <f t="shared" si="226"/>
        <v>0</v>
      </c>
      <c r="EO221" s="3">
        <f t="shared" si="226"/>
        <v>0</v>
      </c>
      <c r="EP221" s="3">
        <f t="shared" si="226"/>
        <v>0</v>
      </c>
      <c r="EQ221" s="3">
        <f t="shared" si="226"/>
        <v>0</v>
      </c>
      <c r="ER221" s="3">
        <f t="shared" si="226"/>
        <v>0</v>
      </c>
      <c r="ES221" s="3">
        <f t="shared" si="226"/>
        <v>0</v>
      </c>
      <c r="ET221" s="3">
        <f t="shared" si="226"/>
        <v>0</v>
      </c>
      <c r="EU221" s="3">
        <f t="shared" si="226"/>
        <v>0</v>
      </c>
      <c r="EV221" s="3">
        <f t="shared" si="226"/>
        <v>0</v>
      </c>
      <c r="EW221" s="3">
        <f t="shared" si="226"/>
        <v>0</v>
      </c>
      <c r="EX221" s="3">
        <f t="shared" si="226"/>
        <v>0</v>
      </c>
      <c r="EY221" s="3">
        <f t="shared" si="226"/>
        <v>0</v>
      </c>
      <c r="EZ221" s="3">
        <f t="shared" si="226"/>
        <v>0</v>
      </c>
      <c r="FA221" s="3">
        <f t="shared" si="226"/>
        <v>0</v>
      </c>
      <c r="FB221" s="3">
        <f t="shared" si="226"/>
        <v>0</v>
      </c>
      <c r="FC221" s="3">
        <f t="shared" si="226"/>
        <v>0</v>
      </c>
      <c r="FD221" s="3">
        <f t="shared" si="226"/>
        <v>0</v>
      </c>
      <c r="FE221" s="3">
        <f t="shared" si="226"/>
        <v>0</v>
      </c>
      <c r="FF221" s="3">
        <f t="shared" si="226"/>
        <v>0</v>
      </c>
      <c r="FG221" s="3">
        <f t="shared" si="226"/>
        <v>0</v>
      </c>
      <c r="FH221" s="3">
        <f t="shared" si="226"/>
        <v>0</v>
      </c>
      <c r="FI221" s="3">
        <f t="shared" si="226"/>
        <v>0</v>
      </c>
      <c r="FJ221" s="3">
        <f t="shared" si="226"/>
        <v>0</v>
      </c>
      <c r="FK221" s="3">
        <f t="shared" si="226"/>
        <v>0</v>
      </c>
      <c r="FL221" s="3">
        <f t="shared" si="226"/>
        <v>0</v>
      </c>
      <c r="FM221" s="3">
        <f t="shared" si="226"/>
        <v>0</v>
      </c>
      <c r="FN221" s="3">
        <f t="shared" si="226"/>
        <v>0</v>
      </c>
      <c r="FO221" s="3">
        <f t="shared" si="226"/>
        <v>0</v>
      </c>
      <c r="FP221" s="3">
        <f t="shared" si="226"/>
        <v>0</v>
      </c>
      <c r="FQ221" s="3">
        <f t="shared" si="226"/>
        <v>0</v>
      </c>
      <c r="FR221" s="3">
        <f t="shared" si="226"/>
        <v>0</v>
      </c>
      <c r="FS221" s="3">
        <f t="shared" ref="FS221:GX221" si="227">FS291</f>
        <v>0</v>
      </c>
      <c r="FT221" s="3">
        <f t="shared" si="227"/>
        <v>0</v>
      </c>
      <c r="FU221" s="3">
        <f t="shared" si="227"/>
        <v>0</v>
      </c>
      <c r="FV221" s="3">
        <f t="shared" si="227"/>
        <v>0</v>
      </c>
      <c r="FW221" s="3">
        <f t="shared" si="227"/>
        <v>0</v>
      </c>
      <c r="FX221" s="3">
        <f t="shared" si="227"/>
        <v>0</v>
      </c>
      <c r="FY221" s="3">
        <f t="shared" si="227"/>
        <v>0</v>
      </c>
      <c r="FZ221" s="3">
        <f t="shared" si="227"/>
        <v>0</v>
      </c>
      <c r="GA221" s="3">
        <f t="shared" si="227"/>
        <v>0</v>
      </c>
      <c r="GB221" s="3">
        <f t="shared" si="227"/>
        <v>0</v>
      </c>
      <c r="GC221" s="3">
        <f t="shared" si="227"/>
        <v>0</v>
      </c>
      <c r="GD221" s="3">
        <f t="shared" si="227"/>
        <v>0</v>
      </c>
      <c r="GE221" s="3">
        <f t="shared" si="227"/>
        <v>0</v>
      </c>
      <c r="GF221" s="3">
        <f t="shared" si="227"/>
        <v>0</v>
      </c>
      <c r="GG221" s="3">
        <f t="shared" si="227"/>
        <v>0</v>
      </c>
      <c r="GH221" s="3">
        <f t="shared" si="227"/>
        <v>0</v>
      </c>
      <c r="GI221" s="3">
        <f t="shared" si="227"/>
        <v>0</v>
      </c>
      <c r="GJ221" s="3">
        <f t="shared" si="227"/>
        <v>0</v>
      </c>
      <c r="GK221" s="3">
        <f t="shared" si="227"/>
        <v>0</v>
      </c>
      <c r="GL221" s="3">
        <f t="shared" si="227"/>
        <v>0</v>
      </c>
      <c r="GM221" s="3">
        <f t="shared" si="227"/>
        <v>0</v>
      </c>
      <c r="GN221" s="3">
        <f t="shared" si="227"/>
        <v>0</v>
      </c>
      <c r="GO221" s="3">
        <f t="shared" si="227"/>
        <v>0</v>
      </c>
      <c r="GP221" s="3">
        <f t="shared" si="227"/>
        <v>0</v>
      </c>
      <c r="GQ221" s="3">
        <f t="shared" si="227"/>
        <v>0</v>
      </c>
      <c r="GR221" s="3">
        <f t="shared" si="227"/>
        <v>0</v>
      </c>
      <c r="GS221" s="3">
        <f t="shared" si="227"/>
        <v>0</v>
      </c>
      <c r="GT221" s="3">
        <f t="shared" si="227"/>
        <v>0</v>
      </c>
      <c r="GU221" s="3">
        <f t="shared" si="227"/>
        <v>0</v>
      </c>
      <c r="GV221" s="3">
        <f t="shared" si="227"/>
        <v>0</v>
      </c>
      <c r="GW221" s="3">
        <f t="shared" si="227"/>
        <v>0</v>
      </c>
      <c r="GX221" s="3">
        <f t="shared" si="227"/>
        <v>0</v>
      </c>
    </row>
    <row r="223" spans="1:245">
      <c r="A223">
        <v>17</v>
      </c>
      <c r="B223">
        <v>1</v>
      </c>
      <c r="C223">
        <f>ROW(SmtRes!A402)</f>
        <v>402</v>
      </c>
      <c r="D223">
        <f>ROW(EtalonRes!A427)</f>
        <v>427</v>
      </c>
      <c r="E223" t="s">
        <v>427</v>
      </c>
      <c r="F223" t="s">
        <v>428</v>
      </c>
      <c r="G223" t="s">
        <v>429</v>
      </c>
      <c r="H223" t="s">
        <v>430</v>
      </c>
      <c r="I223">
        <f>ROUND(26/100,7)</f>
        <v>0.26</v>
      </c>
      <c r="J223">
        <v>0</v>
      </c>
      <c r="K223">
        <f>ROUND(26/100,7)</f>
        <v>0.26</v>
      </c>
      <c r="O223">
        <f t="shared" ref="O223:O254" si="228">ROUND(CP223,2)</f>
        <v>125.72</v>
      </c>
      <c r="P223">
        <f t="shared" ref="P223:P247" si="229">ROUND(CQ223*I223,2)</f>
        <v>0</v>
      </c>
      <c r="Q223">
        <f t="shared" ref="Q223:Q254" si="230">ROUND(CR223*I223,2)</f>
        <v>0</v>
      </c>
      <c r="R223">
        <f t="shared" ref="R223:R254" si="231">ROUND(CS223*I223,2)</f>
        <v>0</v>
      </c>
      <c r="S223">
        <f t="shared" ref="S223:S254" si="232">ROUND(CT223*I223,2)</f>
        <v>125.72</v>
      </c>
      <c r="T223">
        <f t="shared" ref="T223:T254" si="233">ROUND(CU223*I223,2)</f>
        <v>0</v>
      </c>
      <c r="U223">
        <f t="shared" ref="U223:U254" si="234">CV223*I223</f>
        <v>15.954639999999999</v>
      </c>
      <c r="V223">
        <f t="shared" ref="V223:V254" si="235">CW223*I223</f>
        <v>0</v>
      </c>
      <c r="W223">
        <f t="shared" ref="W223:W254" si="236">ROUND(CX223*I223,2)</f>
        <v>0</v>
      </c>
      <c r="X223">
        <f t="shared" ref="X223:X254" si="237">ROUND(CY223,2)</f>
        <v>128.22999999999999</v>
      </c>
      <c r="Y223">
        <f t="shared" ref="Y223:Y254" si="238">ROUND(CZ223,2)</f>
        <v>67.89</v>
      </c>
      <c r="AA223">
        <v>31028412</v>
      </c>
      <c r="AB223">
        <f t="shared" ref="AB223:AB254" si="239">ROUND((AC223+AD223+AF223),6)</f>
        <v>483.55200000000002</v>
      </c>
      <c r="AC223">
        <f t="shared" ref="AC223:AC231" si="240">ROUND((ES223),6)</f>
        <v>0</v>
      </c>
      <c r="AD223">
        <f>ROUND(((((ET223*ROUND(1.15,7)))-((EU223*ROUND(1.15,7))))+AE223),6)</f>
        <v>0</v>
      </c>
      <c r="AE223">
        <f t="shared" ref="AE223:AF225" si="241">ROUND(((EU223*ROUND(1.15,7))),6)</f>
        <v>0</v>
      </c>
      <c r="AF223">
        <f t="shared" si="241"/>
        <v>483.55200000000002</v>
      </c>
      <c r="AG223">
        <f t="shared" ref="AG223:AG254" si="242">ROUND((AP223),6)</f>
        <v>0</v>
      </c>
      <c r="AH223">
        <f t="shared" ref="AH223:AI225" si="243">((EW223*ROUND(1.15,7)))</f>
        <v>61.363999999999997</v>
      </c>
      <c r="AI223">
        <f t="shared" si="243"/>
        <v>0</v>
      </c>
      <c r="AJ223">
        <f t="shared" ref="AJ223:AJ254" si="244">(AS223)</f>
        <v>0</v>
      </c>
      <c r="AK223">
        <v>420.48</v>
      </c>
      <c r="AL223">
        <v>0</v>
      </c>
      <c r="AM223">
        <v>0</v>
      </c>
      <c r="AN223">
        <v>0</v>
      </c>
      <c r="AO223">
        <v>420.48</v>
      </c>
      <c r="AP223">
        <v>0</v>
      </c>
      <c r="AQ223">
        <v>53.36</v>
      </c>
      <c r="AR223">
        <v>0</v>
      </c>
      <c r="AS223">
        <v>0</v>
      </c>
      <c r="AT223">
        <v>102</v>
      </c>
      <c r="AU223">
        <v>54</v>
      </c>
      <c r="AV223">
        <v>1</v>
      </c>
      <c r="AW223">
        <v>1</v>
      </c>
      <c r="AZ223">
        <v>1</v>
      </c>
      <c r="BA223">
        <v>24.22</v>
      </c>
      <c r="BB223">
        <v>1</v>
      </c>
      <c r="BC223">
        <v>1</v>
      </c>
      <c r="BD223" t="s">
        <v>6</v>
      </c>
      <c r="BE223" t="s">
        <v>6</v>
      </c>
      <c r="BF223" t="s">
        <v>6</v>
      </c>
      <c r="BG223" t="s">
        <v>6</v>
      </c>
      <c r="BH223">
        <v>0</v>
      </c>
      <c r="BI223">
        <v>1</v>
      </c>
      <c r="BJ223" t="s">
        <v>431</v>
      </c>
      <c r="BM223">
        <v>68001</v>
      </c>
      <c r="BN223">
        <v>0</v>
      </c>
      <c r="BO223" t="s">
        <v>1327</v>
      </c>
      <c r="BP223">
        <v>1</v>
      </c>
      <c r="BQ223">
        <v>6</v>
      </c>
      <c r="BR223">
        <v>0</v>
      </c>
      <c r="BS223">
        <v>24.22</v>
      </c>
      <c r="BT223">
        <v>1</v>
      </c>
      <c r="BU223">
        <v>1</v>
      </c>
      <c r="BV223">
        <v>1</v>
      </c>
      <c r="BW223">
        <v>1</v>
      </c>
      <c r="BX223">
        <v>1</v>
      </c>
      <c r="BY223" t="s">
        <v>6</v>
      </c>
      <c r="BZ223">
        <v>102</v>
      </c>
      <c r="CA223">
        <v>54</v>
      </c>
      <c r="CB223" t="s">
        <v>6</v>
      </c>
      <c r="CE223">
        <v>0</v>
      </c>
      <c r="CF223">
        <v>0</v>
      </c>
      <c r="CG223">
        <v>0</v>
      </c>
      <c r="CM223">
        <v>0</v>
      </c>
      <c r="CN223" t="s">
        <v>6</v>
      </c>
      <c r="CO223">
        <v>0</v>
      </c>
      <c r="CP223">
        <f t="shared" ref="CP223:CP254" si="245">(P223+Q223+S223)</f>
        <v>125.72</v>
      </c>
      <c r="CQ223">
        <f t="shared" ref="CQ223:CQ247" si="246">AC223*BC223</f>
        <v>0</v>
      </c>
      <c r="CR223">
        <f t="shared" ref="CR223:CR254" si="247">AD223*BB223</f>
        <v>0</v>
      </c>
      <c r="CS223">
        <f t="shared" ref="CS223:CS254" si="248">AE223</f>
        <v>0</v>
      </c>
      <c r="CT223">
        <f t="shared" ref="CT223:CT254" si="249">AF223</f>
        <v>483.55200000000002</v>
      </c>
      <c r="CU223">
        <f t="shared" ref="CU223:CU254" si="250">AG223</f>
        <v>0</v>
      </c>
      <c r="CV223">
        <f t="shared" ref="CV223:CV254" si="251">AH223</f>
        <v>61.363999999999997</v>
      </c>
      <c r="CW223">
        <f t="shared" ref="CW223:CW254" si="252">AI223</f>
        <v>0</v>
      </c>
      <c r="CX223">
        <f t="shared" ref="CX223:CX254" si="253">AJ223</f>
        <v>0</v>
      </c>
      <c r="CY223">
        <f t="shared" ref="CY223:CY254" si="254">(((S223+R223)*AT223)/100)</f>
        <v>128.23439999999999</v>
      </c>
      <c r="CZ223">
        <f t="shared" ref="CZ223:CZ254" si="255">(((S223+R223)*AU223)/100)</f>
        <v>67.888800000000003</v>
      </c>
      <c r="DC223" t="s">
        <v>6</v>
      </c>
      <c r="DD223" t="s">
        <v>6</v>
      </c>
      <c r="DE223" t="s">
        <v>36</v>
      </c>
      <c r="DF223" t="s">
        <v>36</v>
      </c>
      <c r="DG223" t="s">
        <v>36</v>
      </c>
      <c r="DH223" t="s">
        <v>6</v>
      </c>
      <c r="DI223" t="s">
        <v>36</v>
      </c>
      <c r="DJ223" t="s">
        <v>36</v>
      </c>
      <c r="DK223" t="s">
        <v>6</v>
      </c>
      <c r="DL223" t="s">
        <v>6</v>
      </c>
      <c r="DM223" t="s">
        <v>6</v>
      </c>
      <c r="DN223">
        <v>0</v>
      </c>
      <c r="DO223">
        <v>0</v>
      </c>
      <c r="DP223">
        <v>1</v>
      </c>
      <c r="DQ223">
        <v>1</v>
      </c>
      <c r="DU223">
        <v>1013</v>
      </c>
      <c r="DV223" t="s">
        <v>430</v>
      </c>
      <c r="DW223" t="s">
        <v>430</v>
      </c>
      <c r="DX223">
        <v>1</v>
      </c>
      <c r="DZ223" t="s">
        <v>6</v>
      </c>
      <c r="EA223" t="s">
        <v>6</v>
      </c>
      <c r="EB223" t="s">
        <v>6</v>
      </c>
      <c r="EC223" t="s">
        <v>6</v>
      </c>
      <c r="EE223">
        <v>30853058</v>
      </c>
      <c r="EF223">
        <v>6</v>
      </c>
      <c r="EG223" t="s">
        <v>37</v>
      </c>
      <c r="EH223">
        <v>0</v>
      </c>
      <c r="EI223" t="s">
        <v>6</v>
      </c>
      <c r="EJ223">
        <v>1</v>
      </c>
      <c r="EK223">
        <v>68001</v>
      </c>
      <c r="EL223" t="s">
        <v>432</v>
      </c>
      <c r="EM223" t="s">
        <v>433</v>
      </c>
      <c r="EO223" t="s">
        <v>6</v>
      </c>
      <c r="EQ223">
        <v>131072</v>
      </c>
      <c r="ER223">
        <v>420.48</v>
      </c>
      <c r="ES223">
        <v>0</v>
      </c>
      <c r="ET223">
        <v>0</v>
      </c>
      <c r="EU223">
        <v>0</v>
      </c>
      <c r="EV223">
        <v>420.48</v>
      </c>
      <c r="EW223">
        <v>53.36</v>
      </c>
      <c r="EX223">
        <v>0</v>
      </c>
      <c r="EY223">
        <v>0</v>
      </c>
      <c r="FQ223">
        <v>0</v>
      </c>
      <c r="FR223">
        <f t="shared" ref="FR223:FR254" si="256">ROUND(IF(AND(BH223=3,BI223=3),P223,0),2)</f>
        <v>0</v>
      </c>
      <c r="FS223">
        <v>0</v>
      </c>
      <c r="FX223">
        <v>102</v>
      </c>
      <c r="FY223">
        <v>54</v>
      </c>
      <c r="GA223" t="s">
        <v>6</v>
      </c>
      <c r="GD223">
        <v>1</v>
      </c>
      <c r="GF223">
        <v>-1318578741</v>
      </c>
      <c r="GG223">
        <v>2</v>
      </c>
      <c r="GH223">
        <v>1</v>
      </c>
      <c r="GI223">
        <v>4</v>
      </c>
      <c r="GJ223">
        <v>0</v>
      </c>
      <c r="GK223">
        <v>0</v>
      </c>
      <c r="GL223">
        <f t="shared" ref="GL223:GL254" si="257">ROUND(IF(AND(BH223=3,BI223=3,FS223&lt;&gt;0),P223,0),2)</f>
        <v>0</v>
      </c>
      <c r="GM223">
        <f t="shared" ref="GM223:GM254" si="258">ROUND(O223+X223+Y223,2)+GX223</f>
        <v>321.83999999999997</v>
      </c>
      <c r="GN223">
        <f t="shared" ref="GN223:GN254" si="259">IF(OR(BI223=0,BI223=1),ROUND(O223+X223+Y223,2),0)</f>
        <v>321.83999999999997</v>
      </c>
      <c r="GO223">
        <f t="shared" ref="GO223:GO254" si="260">IF(BI223=2,ROUND(O223+X223+Y223,2),0)</f>
        <v>0</v>
      </c>
      <c r="GP223">
        <f t="shared" ref="GP223:GP254" si="261">IF(BI223=4,ROUND(O223+X223+Y223,2)+GX223,0)</f>
        <v>0</v>
      </c>
      <c r="GR223">
        <v>0</v>
      </c>
      <c r="GS223">
        <v>0</v>
      </c>
      <c r="GT223">
        <v>0</v>
      </c>
      <c r="GU223" t="s">
        <v>6</v>
      </c>
      <c r="GV223">
        <f t="shared" ref="GV223:GV254" si="262">ROUND((GT223),6)</f>
        <v>0</v>
      </c>
      <c r="GW223">
        <v>1</v>
      </c>
      <c r="GX223">
        <f t="shared" ref="GX223:GX254" si="263">ROUND(HC223*I223,2)</f>
        <v>0</v>
      </c>
      <c r="HA223">
        <v>0</v>
      </c>
      <c r="HB223">
        <v>0</v>
      </c>
      <c r="HC223">
        <f t="shared" ref="HC223:HC254" si="264">GV223*GW223</f>
        <v>0</v>
      </c>
      <c r="HE223" t="s">
        <v>6</v>
      </c>
      <c r="HF223" t="s">
        <v>6</v>
      </c>
      <c r="HI223">
        <f t="shared" ref="HI223:HI254" si="265">ROUND(R223*BS223,0)</f>
        <v>0</v>
      </c>
      <c r="HJ223">
        <f t="shared" ref="HJ223:HJ254" si="266">ROUND(S223*BA223,0)</f>
        <v>3045</v>
      </c>
      <c r="HK223">
        <f t="shared" ref="HK223:HK254" si="267">ROUND((((HJ223+HI223)*AT223)/100),0)</f>
        <v>3106</v>
      </c>
      <c r="HL223">
        <f t="shared" ref="HL223:HL254" si="268">ROUND((((HJ223+HI223)*AU223)/100),0)</f>
        <v>1644</v>
      </c>
      <c r="HM223" t="s">
        <v>6</v>
      </c>
      <c r="HN223" t="s">
        <v>6</v>
      </c>
      <c r="HO223" t="s">
        <v>6</v>
      </c>
      <c r="HP223" t="s">
        <v>6</v>
      </c>
      <c r="HQ223" t="s">
        <v>6</v>
      </c>
      <c r="IK223">
        <v>0</v>
      </c>
    </row>
    <row r="224" spans="1:245">
      <c r="A224">
        <v>17</v>
      </c>
      <c r="B224">
        <v>1</v>
      </c>
      <c r="C224">
        <f>ROW(SmtRes!A404)</f>
        <v>404</v>
      </c>
      <c r="D224">
        <f>ROW(EtalonRes!A429)</f>
        <v>429</v>
      </c>
      <c r="E224" t="s">
        <v>434</v>
      </c>
      <c r="F224" t="s">
        <v>435</v>
      </c>
      <c r="G224" t="s">
        <v>436</v>
      </c>
      <c r="H224" t="s">
        <v>437</v>
      </c>
      <c r="I224">
        <f>ROUND(75/100,7)</f>
        <v>0.75</v>
      </c>
      <c r="J224">
        <v>0</v>
      </c>
      <c r="K224">
        <f>ROUND(75/100,7)</f>
        <v>0.75</v>
      </c>
      <c r="O224">
        <f t="shared" si="228"/>
        <v>1293.96</v>
      </c>
      <c r="P224">
        <f t="shared" si="229"/>
        <v>0</v>
      </c>
      <c r="Q224">
        <f t="shared" si="230"/>
        <v>0</v>
      </c>
      <c r="R224">
        <f t="shared" si="231"/>
        <v>0</v>
      </c>
      <c r="S224">
        <f t="shared" si="232"/>
        <v>1293.96</v>
      </c>
      <c r="T224">
        <f t="shared" si="233"/>
        <v>0</v>
      </c>
      <c r="U224">
        <f t="shared" si="234"/>
        <v>184.85099999999997</v>
      </c>
      <c r="V224">
        <f t="shared" si="235"/>
        <v>0</v>
      </c>
      <c r="W224">
        <f t="shared" si="236"/>
        <v>0</v>
      </c>
      <c r="X224">
        <f t="shared" si="237"/>
        <v>1190.44</v>
      </c>
      <c r="Y224">
        <f t="shared" si="238"/>
        <v>569.34</v>
      </c>
      <c r="AA224">
        <v>31028412</v>
      </c>
      <c r="AB224">
        <f t="shared" si="239"/>
        <v>1725.2760000000001</v>
      </c>
      <c r="AC224">
        <f t="shared" si="240"/>
        <v>0</v>
      </c>
      <c r="AD224">
        <f>ROUND(((((ET224*ROUND(1.15,7)))-((EU224*ROUND(1.15,7))))+AE224),6)</f>
        <v>0</v>
      </c>
      <c r="AE224">
        <f t="shared" si="241"/>
        <v>0</v>
      </c>
      <c r="AF224">
        <f t="shared" si="241"/>
        <v>1725.2760000000001</v>
      </c>
      <c r="AG224">
        <f t="shared" si="242"/>
        <v>0</v>
      </c>
      <c r="AH224">
        <f t="shared" si="243"/>
        <v>246.46799999999996</v>
      </c>
      <c r="AI224">
        <f t="shared" si="243"/>
        <v>0</v>
      </c>
      <c r="AJ224">
        <f t="shared" si="244"/>
        <v>0</v>
      </c>
      <c r="AK224">
        <v>1500.24</v>
      </c>
      <c r="AL224">
        <v>0</v>
      </c>
      <c r="AM224">
        <v>0</v>
      </c>
      <c r="AN224">
        <v>0</v>
      </c>
      <c r="AO224">
        <v>1500.24</v>
      </c>
      <c r="AP224">
        <v>0</v>
      </c>
      <c r="AQ224">
        <v>214.32</v>
      </c>
      <c r="AR224">
        <v>0</v>
      </c>
      <c r="AS224">
        <v>0</v>
      </c>
      <c r="AT224">
        <v>92</v>
      </c>
      <c r="AU224">
        <v>44</v>
      </c>
      <c r="AV224">
        <v>1</v>
      </c>
      <c r="AW224">
        <v>1</v>
      </c>
      <c r="AZ224">
        <v>1</v>
      </c>
      <c r="BA224">
        <v>24.22</v>
      </c>
      <c r="BB224">
        <v>1</v>
      </c>
      <c r="BC224">
        <v>1</v>
      </c>
      <c r="BD224" t="s">
        <v>6</v>
      </c>
      <c r="BE224" t="s">
        <v>6</v>
      </c>
      <c r="BF224" t="s">
        <v>6</v>
      </c>
      <c r="BG224" t="s">
        <v>6</v>
      </c>
      <c r="BH224">
        <v>0</v>
      </c>
      <c r="BI224">
        <v>1</v>
      </c>
      <c r="BJ224" t="s">
        <v>438</v>
      </c>
      <c r="BM224">
        <v>69001</v>
      </c>
      <c r="BN224">
        <v>0</v>
      </c>
      <c r="BO224" t="s">
        <v>1327</v>
      </c>
      <c r="BP224">
        <v>1</v>
      </c>
      <c r="BQ224">
        <v>6</v>
      </c>
      <c r="BR224">
        <v>0</v>
      </c>
      <c r="BS224">
        <v>24.22</v>
      </c>
      <c r="BT224">
        <v>1</v>
      </c>
      <c r="BU224">
        <v>1</v>
      </c>
      <c r="BV224">
        <v>1</v>
      </c>
      <c r="BW224">
        <v>1</v>
      </c>
      <c r="BX224">
        <v>1</v>
      </c>
      <c r="BY224" t="s">
        <v>6</v>
      </c>
      <c r="BZ224">
        <v>92</v>
      </c>
      <c r="CA224">
        <v>44</v>
      </c>
      <c r="CB224" t="s">
        <v>6</v>
      </c>
      <c r="CE224">
        <v>0</v>
      </c>
      <c r="CF224">
        <v>0</v>
      </c>
      <c r="CG224">
        <v>0</v>
      </c>
      <c r="CM224">
        <v>0</v>
      </c>
      <c r="CN224" t="s">
        <v>6</v>
      </c>
      <c r="CO224">
        <v>0</v>
      </c>
      <c r="CP224">
        <f t="shared" si="245"/>
        <v>1293.96</v>
      </c>
      <c r="CQ224">
        <f t="shared" si="246"/>
        <v>0</v>
      </c>
      <c r="CR224">
        <f t="shared" si="247"/>
        <v>0</v>
      </c>
      <c r="CS224">
        <f t="shared" si="248"/>
        <v>0</v>
      </c>
      <c r="CT224">
        <f t="shared" si="249"/>
        <v>1725.2760000000001</v>
      </c>
      <c r="CU224">
        <f t="shared" si="250"/>
        <v>0</v>
      </c>
      <c r="CV224">
        <f t="shared" si="251"/>
        <v>246.46799999999996</v>
      </c>
      <c r="CW224">
        <f t="shared" si="252"/>
        <v>0</v>
      </c>
      <c r="CX224">
        <f t="shared" si="253"/>
        <v>0</v>
      </c>
      <c r="CY224">
        <f t="shared" si="254"/>
        <v>1190.4432000000002</v>
      </c>
      <c r="CZ224">
        <f t="shared" si="255"/>
        <v>569.3424</v>
      </c>
      <c r="DC224" t="s">
        <v>6</v>
      </c>
      <c r="DD224" t="s">
        <v>6</v>
      </c>
      <c r="DE224" t="s">
        <v>36</v>
      </c>
      <c r="DF224" t="s">
        <v>36</v>
      </c>
      <c r="DG224" t="s">
        <v>36</v>
      </c>
      <c r="DH224" t="s">
        <v>6</v>
      </c>
      <c r="DI224" t="s">
        <v>36</v>
      </c>
      <c r="DJ224" t="s">
        <v>36</v>
      </c>
      <c r="DK224" t="s">
        <v>6</v>
      </c>
      <c r="DL224" t="s">
        <v>6</v>
      </c>
      <c r="DM224" t="s">
        <v>6</v>
      </c>
      <c r="DN224">
        <v>0</v>
      </c>
      <c r="DO224">
        <v>0</v>
      </c>
      <c r="DP224">
        <v>1</v>
      </c>
      <c r="DQ224">
        <v>1</v>
      </c>
      <c r="DU224">
        <v>1013</v>
      </c>
      <c r="DV224" t="s">
        <v>437</v>
      </c>
      <c r="DW224" t="s">
        <v>437</v>
      </c>
      <c r="DX224">
        <v>1</v>
      </c>
      <c r="DZ224" t="s">
        <v>6</v>
      </c>
      <c r="EA224" t="s">
        <v>6</v>
      </c>
      <c r="EB224" t="s">
        <v>6</v>
      </c>
      <c r="EC224" t="s">
        <v>6</v>
      </c>
      <c r="EE224">
        <v>30853060</v>
      </c>
      <c r="EF224">
        <v>6</v>
      </c>
      <c r="EG224" t="s">
        <v>37</v>
      </c>
      <c r="EH224">
        <v>0</v>
      </c>
      <c r="EI224" t="s">
        <v>6</v>
      </c>
      <c r="EJ224">
        <v>1</v>
      </c>
      <c r="EK224">
        <v>69001</v>
      </c>
      <c r="EL224" t="s">
        <v>409</v>
      </c>
      <c r="EM224" t="s">
        <v>410</v>
      </c>
      <c r="EO224" t="s">
        <v>6</v>
      </c>
      <c r="EQ224">
        <v>131072</v>
      </c>
      <c r="ER224">
        <v>1500.24</v>
      </c>
      <c r="ES224">
        <v>0</v>
      </c>
      <c r="ET224">
        <v>0</v>
      </c>
      <c r="EU224">
        <v>0</v>
      </c>
      <c r="EV224">
        <v>1500.24</v>
      </c>
      <c r="EW224">
        <v>214.32</v>
      </c>
      <c r="EX224">
        <v>0</v>
      </c>
      <c r="EY224">
        <v>0</v>
      </c>
      <c r="FQ224">
        <v>0</v>
      </c>
      <c r="FR224">
        <f t="shared" si="256"/>
        <v>0</v>
      </c>
      <c r="FS224">
        <v>0</v>
      </c>
      <c r="FX224">
        <v>92</v>
      </c>
      <c r="FY224">
        <v>44</v>
      </c>
      <c r="GA224" t="s">
        <v>6</v>
      </c>
      <c r="GD224">
        <v>1</v>
      </c>
      <c r="GF224">
        <v>1414586906</v>
      </c>
      <c r="GG224">
        <v>2</v>
      </c>
      <c r="GH224">
        <v>1</v>
      </c>
      <c r="GI224">
        <v>4</v>
      </c>
      <c r="GJ224">
        <v>0</v>
      </c>
      <c r="GK224">
        <v>0</v>
      </c>
      <c r="GL224">
        <f t="shared" si="257"/>
        <v>0</v>
      </c>
      <c r="GM224">
        <f t="shared" si="258"/>
        <v>3053.74</v>
      </c>
      <c r="GN224">
        <f t="shared" si="259"/>
        <v>3053.74</v>
      </c>
      <c r="GO224">
        <f t="shared" si="260"/>
        <v>0</v>
      </c>
      <c r="GP224">
        <f t="shared" si="261"/>
        <v>0</v>
      </c>
      <c r="GR224">
        <v>0</v>
      </c>
      <c r="GS224">
        <v>0</v>
      </c>
      <c r="GT224">
        <v>0</v>
      </c>
      <c r="GU224" t="s">
        <v>6</v>
      </c>
      <c r="GV224">
        <f t="shared" si="262"/>
        <v>0</v>
      </c>
      <c r="GW224">
        <v>1</v>
      </c>
      <c r="GX224">
        <f t="shared" si="263"/>
        <v>0</v>
      </c>
      <c r="HA224">
        <v>0</v>
      </c>
      <c r="HB224">
        <v>0</v>
      </c>
      <c r="HC224">
        <f t="shared" si="264"/>
        <v>0</v>
      </c>
      <c r="HE224" t="s">
        <v>6</v>
      </c>
      <c r="HF224" t="s">
        <v>6</v>
      </c>
      <c r="HI224">
        <f t="shared" si="265"/>
        <v>0</v>
      </c>
      <c r="HJ224">
        <f t="shared" si="266"/>
        <v>31340</v>
      </c>
      <c r="HK224">
        <f t="shared" si="267"/>
        <v>28833</v>
      </c>
      <c r="HL224">
        <f t="shared" si="268"/>
        <v>13790</v>
      </c>
      <c r="HM224" t="s">
        <v>6</v>
      </c>
      <c r="HN224" t="s">
        <v>6</v>
      </c>
      <c r="HO224" t="s">
        <v>6</v>
      </c>
      <c r="HP224" t="s">
        <v>6</v>
      </c>
      <c r="HQ224" t="s">
        <v>6</v>
      </c>
      <c r="IK224">
        <v>0</v>
      </c>
    </row>
    <row r="225" spans="1:245">
      <c r="A225">
        <v>17</v>
      </c>
      <c r="B225">
        <v>1</v>
      </c>
      <c r="C225">
        <f>ROW(SmtRes!A407)</f>
        <v>407</v>
      </c>
      <c r="D225">
        <f>ROW(EtalonRes!A432)</f>
        <v>432</v>
      </c>
      <c r="E225" t="s">
        <v>439</v>
      </c>
      <c r="F225" t="s">
        <v>440</v>
      </c>
      <c r="G225" t="s">
        <v>441</v>
      </c>
      <c r="H225" t="s">
        <v>442</v>
      </c>
      <c r="I225">
        <f>ROUND(48/100,7)</f>
        <v>0.48</v>
      </c>
      <c r="J225">
        <v>0</v>
      </c>
      <c r="K225">
        <f>ROUND(48/100,7)</f>
        <v>0.48</v>
      </c>
      <c r="O225">
        <f t="shared" si="228"/>
        <v>33.65</v>
      </c>
      <c r="P225">
        <f t="shared" si="229"/>
        <v>0</v>
      </c>
      <c r="Q225">
        <f t="shared" si="230"/>
        <v>4.55</v>
      </c>
      <c r="R225">
        <f t="shared" si="231"/>
        <v>0</v>
      </c>
      <c r="S225">
        <f t="shared" si="232"/>
        <v>29.1</v>
      </c>
      <c r="T225">
        <f t="shared" si="233"/>
        <v>0</v>
      </c>
      <c r="U225">
        <f t="shared" si="234"/>
        <v>3.8639999999999994</v>
      </c>
      <c r="V225">
        <f t="shared" si="235"/>
        <v>0</v>
      </c>
      <c r="W225">
        <f t="shared" si="236"/>
        <v>0</v>
      </c>
      <c r="X225">
        <f t="shared" si="237"/>
        <v>27.06</v>
      </c>
      <c r="Y225">
        <f t="shared" si="238"/>
        <v>16.010000000000002</v>
      </c>
      <c r="AA225">
        <v>31028412</v>
      </c>
      <c r="AB225">
        <f t="shared" si="239"/>
        <v>70.103999999999999</v>
      </c>
      <c r="AC225">
        <f t="shared" si="240"/>
        <v>0</v>
      </c>
      <c r="AD225">
        <f>ROUND(((((ET225*ROUND(1.15,7)))-((EU225*ROUND(1.15,7))))+AE225),6)</f>
        <v>9.4875000000000007</v>
      </c>
      <c r="AE225">
        <f t="shared" si="241"/>
        <v>0</v>
      </c>
      <c r="AF225">
        <f t="shared" si="241"/>
        <v>60.616500000000002</v>
      </c>
      <c r="AG225">
        <f t="shared" si="242"/>
        <v>0</v>
      </c>
      <c r="AH225">
        <f t="shared" si="243"/>
        <v>8.0499999999999989</v>
      </c>
      <c r="AI225">
        <f t="shared" si="243"/>
        <v>0</v>
      </c>
      <c r="AJ225">
        <f t="shared" si="244"/>
        <v>0</v>
      </c>
      <c r="AK225">
        <v>60.96</v>
      </c>
      <c r="AL225">
        <v>0</v>
      </c>
      <c r="AM225">
        <v>8.25</v>
      </c>
      <c r="AN225">
        <v>0</v>
      </c>
      <c r="AO225">
        <v>52.71</v>
      </c>
      <c r="AP225">
        <v>0</v>
      </c>
      <c r="AQ225">
        <v>7</v>
      </c>
      <c r="AR225">
        <v>0</v>
      </c>
      <c r="AS225">
        <v>0</v>
      </c>
      <c r="AT225">
        <v>93</v>
      </c>
      <c r="AU225">
        <v>55</v>
      </c>
      <c r="AV225">
        <v>1</v>
      </c>
      <c r="AW225">
        <v>1</v>
      </c>
      <c r="AZ225">
        <v>1</v>
      </c>
      <c r="BA225">
        <v>24.22</v>
      </c>
      <c r="BB225">
        <v>1</v>
      </c>
      <c r="BC225">
        <v>1</v>
      </c>
      <c r="BD225" t="s">
        <v>6</v>
      </c>
      <c r="BE225" t="s">
        <v>6</v>
      </c>
      <c r="BF225" t="s">
        <v>6</v>
      </c>
      <c r="BG225" t="s">
        <v>6</v>
      </c>
      <c r="BH225">
        <v>0</v>
      </c>
      <c r="BI225">
        <v>1</v>
      </c>
      <c r="BJ225" t="s">
        <v>443</v>
      </c>
      <c r="BM225">
        <v>52001</v>
      </c>
      <c r="BN225">
        <v>0</v>
      </c>
      <c r="BO225" t="s">
        <v>1327</v>
      </c>
      <c r="BP225">
        <v>1</v>
      </c>
      <c r="BQ225">
        <v>6</v>
      </c>
      <c r="BR225">
        <v>0</v>
      </c>
      <c r="BS225">
        <v>24.22</v>
      </c>
      <c r="BT225">
        <v>1</v>
      </c>
      <c r="BU225">
        <v>1</v>
      </c>
      <c r="BV225">
        <v>1</v>
      </c>
      <c r="BW225">
        <v>1</v>
      </c>
      <c r="BX225">
        <v>1</v>
      </c>
      <c r="BY225" t="s">
        <v>6</v>
      </c>
      <c r="BZ225">
        <v>93</v>
      </c>
      <c r="CA225">
        <v>55</v>
      </c>
      <c r="CB225" t="s">
        <v>6</v>
      </c>
      <c r="CE225">
        <v>0</v>
      </c>
      <c r="CF225">
        <v>0</v>
      </c>
      <c r="CG225">
        <v>0</v>
      </c>
      <c r="CM225">
        <v>0</v>
      </c>
      <c r="CN225" t="s">
        <v>6</v>
      </c>
      <c r="CO225">
        <v>0</v>
      </c>
      <c r="CP225">
        <f t="shared" si="245"/>
        <v>33.65</v>
      </c>
      <c r="CQ225">
        <f t="shared" si="246"/>
        <v>0</v>
      </c>
      <c r="CR225">
        <f t="shared" si="247"/>
        <v>9.4875000000000007</v>
      </c>
      <c r="CS225">
        <f t="shared" si="248"/>
        <v>0</v>
      </c>
      <c r="CT225">
        <f t="shared" si="249"/>
        <v>60.616500000000002</v>
      </c>
      <c r="CU225">
        <f t="shared" si="250"/>
        <v>0</v>
      </c>
      <c r="CV225">
        <f t="shared" si="251"/>
        <v>8.0499999999999989</v>
      </c>
      <c r="CW225">
        <f t="shared" si="252"/>
        <v>0</v>
      </c>
      <c r="CX225">
        <f t="shared" si="253"/>
        <v>0</v>
      </c>
      <c r="CY225">
        <f t="shared" si="254"/>
        <v>27.063000000000002</v>
      </c>
      <c r="CZ225">
        <f t="shared" si="255"/>
        <v>16.004999999999999</v>
      </c>
      <c r="DC225" t="s">
        <v>6</v>
      </c>
      <c r="DD225" t="s">
        <v>6</v>
      </c>
      <c r="DE225" t="s">
        <v>36</v>
      </c>
      <c r="DF225" t="s">
        <v>36</v>
      </c>
      <c r="DG225" t="s">
        <v>36</v>
      </c>
      <c r="DH225" t="s">
        <v>6</v>
      </c>
      <c r="DI225" t="s">
        <v>36</v>
      </c>
      <c r="DJ225" t="s">
        <v>36</v>
      </c>
      <c r="DK225" t="s">
        <v>6</v>
      </c>
      <c r="DL225" t="s">
        <v>6</v>
      </c>
      <c r="DM225" t="s">
        <v>6</v>
      </c>
      <c r="DN225">
        <v>0</v>
      </c>
      <c r="DO225">
        <v>0</v>
      </c>
      <c r="DP225">
        <v>1</v>
      </c>
      <c r="DQ225">
        <v>1</v>
      </c>
      <c r="DU225">
        <v>1013</v>
      </c>
      <c r="DV225" t="s">
        <v>442</v>
      </c>
      <c r="DW225" t="s">
        <v>442</v>
      </c>
      <c r="DX225">
        <v>1</v>
      </c>
      <c r="DZ225" t="s">
        <v>6</v>
      </c>
      <c r="EA225" t="s">
        <v>6</v>
      </c>
      <c r="EB225" t="s">
        <v>6</v>
      </c>
      <c r="EC225" t="s">
        <v>6</v>
      </c>
      <c r="EE225">
        <v>30853003</v>
      </c>
      <c r="EF225">
        <v>6</v>
      </c>
      <c r="EG225" t="s">
        <v>37</v>
      </c>
      <c r="EH225">
        <v>0</v>
      </c>
      <c r="EI225" t="s">
        <v>6</v>
      </c>
      <c r="EJ225">
        <v>1</v>
      </c>
      <c r="EK225">
        <v>52001</v>
      </c>
      <c r="EL225" t="s">
        <v>444</v>
      </c>
      <c r="EM225" t="s">
        <v>445</v>
      </c>
      <c r="EO225" t="s">
        <v>6</v>
      </c>
      <c r="EQ225">
        <v>131072</v>
      </c>
      <c r="ER225">
        <v>60.96</v>
      </c>
      <c r="ES225">
        <v>0</v>
      </c>
      <c r="ET225">
        <v>8.25</v>
      </c>
      <c r="EU225">
        <v>0</v>
      </c>
      <c r="EV225">
        <v>52.71</v>
      </c>
      <c r="EW225">
        <v>7</v>
      </c>
      <c r="EX225">
        <v>0</v>
      </c>
      <c r="EY225">
        <v>0</v>
      </c>
      <c r="FQ225">
        <v>0</v>
      </c>
      <c r="FR225">
        <f t="shared" si="256"/>
        <v>0</v>
      </c>
      <c r="FS225">
        <v>0</v>
      </c>
      <c r="FX225">
        <v>93</v>
      </c>
      <c r="FY225">
        <v>55</v>
      </c>
      <c r="GA225" t="s">
        <v>6</v>
      </c>
      <c r="GD225">
        <v>1</v>
      </c>
      <c r="GF225">
        <v>1482704342</v>
      </c>
      <c r="GG225">
        <v>2</v>
      </c>
      <c r="GH225">
        <v>1</v>
      </c>
      <c r="GI225">
        <v>4</v>
      </c>
      <c r="GJ225">
        <v>0</v>
      </c>
      <c r="GK225">
        <v>0</v>
      </c>
      <c r="GL225">
        <f t="shared" si="257"/>
        <v>0</v>
      </c>
      <c r="GM225">
        <f t="shared" si="258"/>
        <v>76.72</v>
      </c>
      <c r="GN225">
        <f t="shared" si="259"/>
        <v>76.72</v>
      </c>
      <c r="GO225">
        <f t="shared" si="260"/>
        <v>0</v>
      </c>
      <c r="GP225">
        <f t="shared" si="261"/>
        <v>0</v>
      </c>
      <c r="GR225">
        <v>0</v>
      </c>
      <c r="GS225">
        <v>0</v>
      </c>
      <c r="GT225">
        <v>0</v>
      </c>
      <c r="GU225" t="s">
        <v>6</v>
      </c>
      <c r="GV225">
        <f t="shared" si="262"/>
        <v>0</v>
      </c>
      <c r="GW225">
        <v>1</v>
      </c>
      <c r="GX225">
        <f t="shared" si="263"/>
        <v>0</v>
      </c>
      <c r="HA225">
        <v>0</v>
      </c>
      <c r="HB225">
        <v>0</v>
      </c>
      <c r="HC225">
        <f t="shared" si="264"/>
        <v>0</v>
      </c>
      <c r="HE225" t="s">
        <v>6</v>
      </c>
      <c r="HF225" t="s">
        <v>6</v>
      </c>
      <c r="HI225">
        <f t="shared" si="265"/>
        <v>0</v>
      </c>
      <c r="HJ225">
        <f t="shared" si="266"/>
        <v>705</v>
      </c>
      <c r="HK225">
        <f t="shared" si="267"/>
        <v>656</v>
      </c>
      <c r="HL225">
        <f t="shared" si="268"/>
        <v>388</v>
      </c>
      <c r="HM225" t="s">
        <v>6</v>
      </c>
      <c r="HN225" t="s">
        <v>6</v>
      </c>
      <c r="HO225" t="s">
        <v>6</v>
      </c>
      <c r="HP225" t="s">
        <v>6</v>
      </c>
      <c r="HQ225" t="s">
        <v>6</v>
      </c>
      <c r="IK225">
        <v>0</v>
      </c>
    </row>
    <row r="226" spans="1:245">
      <c r="A226">
        <v>17</v>
      </c>
      <c r="B226">
        <v>1</v>
      </c>
      <c r="C226">
        <f>ROW(SmtRes!A420)</f>
        <v>420</v>
      </c>
      <c r="D226">
        <f>ROW(EtalonRes!A445)</f>
        <v>445</v>
      </c>
      <c r="E226" t="s">
        <v>446</v>
      </c>
      <c r="F226" t="s">
        <v>447</v>
      </c>
      <c r="G226" t="s">
        <v>448</v>
      </c>
      <c r="H226" t="s">
        <v>449</v>
      </c>
      <c r="I226">
        <v>23</v>
      </c>
      <c r="J226">
        <v>0</v>
      </c>
      <c r="K226">
        <v>23</v>
      </c>
      <c r="O226">
        <f t="shared" si="228"/>
        <v>48838.31</v>
      </c>
      <c r="P226">
        <f t="shared" si="229"/>
        <v>42142.9</v>
      </c>
      <c r="Q226">
        <f t="shared" si="230"/>
        <v>1158.51</v>
      </c>
      <c r="R226">
        <f t="shared" si="231"/>
        <v>0</v>
      </c>
      <c r="S226">
        <f t="shared" si="232"/>
        <v>5536.9</v>
      </c>
      <c r="T226">
        <f t="shared" si="233"/>
        <v>0</v>
      </c>
      <c r="U226">
        <f t="shared" si="234"/>
        <v>684.39375000000007</v>
      </c>
      <c r="V226">
        <f t="shared" si="235"/>
        <v>0</v>
      </c>
      <c r="W226">
        <f t="shared" si="236"/>
        <v>0</v>
      </c>
      <c r="X226">
        <f t="shared" si="237"/>
        <v>5381.87</v>
      </c>
      <c r="Y226">
        <f t="shared" si="238"/>
        <v>2588.5</v>
      </c>
      <c r="AA226">
        <v>31028412</v>
      </c>
      <c r="AB226">
        <f t="shared" si="239"/>
        <v>2123.4046750000002</v>
      </c>
      <c r="AC226">
        <f t="shared" si="240"/>
        <v>1832.3</v>
      </c>
      <c r="AD226">
        <f>ROUND(((((ET226*ROUND((1.25*1.15),7)))-((EU226*ROUND((1.25*1.15),7))))+AE226),6)</f>
        <v>50.37</v>
      </c>
      <c r="AE226">
        <f>ROUND(((EU226*ROUND((1.25*1.15),7))),6)</f>
        <v>0</v>
      </c>
      <c r="AF226">
        <f>ROUND(((EV226*ROUND((1.15*1.15),7))),6)</f>
        <v>240.73467500000001</v>
      </c>
      <c r="AG226">
        <f t="shared" si="242"/>
        <v>0</v>
      </c>
      <c r="AH226">
        <f>((EW226*ROUND((1.15*1.15),7)))</f>
        <v>29.756250000000001</v>
      </c>
      <c r="AI226">
        <f>((EX226*ROUND((1.25*1.15),7)))</f>
        <v>0</v>
      </c>
      <c r="AJ226">
        <f t="shared" si="244"/>
        <v>0</v>
      </c>
      <c r="AK226">
        <v>2049.37</v>
      </c>
      <c r="AL226">
        <v>1832.3</v>
      </c>
      <c r="AM226">
        <v>35.04</v>
      </c>
      <c r="AN226">
        <v>0</v>
      </c>
      <c r="AO226">
        <v>182.03</v>
      </c>
      <c r="AP226">
        <v>0</v>
      </c>
      <c r="AQ226">
        <v>22.5</v>
      </c>
      <c r="AR226">
        <v>0</v>
      </c>
      <c r="AS226">
        <v>0</v>
      </c>
      <c r="AT226">
        <v>97.2</v>
      </c>
      <c r="AU226">
        <v>46.75</v>
      </c>
      <c r="AV226">
        <v>1</v>
      </c>
      <c r="AW226">
        <v>1</v>
      </c>
      <c r="AZ226">
        <v>1</v>
      </c>
      <c r="BA226">
        <v>24.22</v>
      </c>
      <c r="BB226">
        <v>1</v>
      </c>
      <c r="BC226">
        <v>1</v>
      </c>
      <c r="BD226" t="s">
        <v>6</v>
      </c>
      <c r="BE226" t="s">
        <v>6</v>
      </c>
      <c r="BF226" t="s">
        <v>6</v>
      </c>
      <c r="BG226" t="s">
        <v>6</v>
      </c>
      <c r="BH226">
        <v>0</v>
      </c>
      <c r="BI226">
        <v>1</v>
      </c>
      <c r="BJ226" t="s">
        <v>450</v>
      </c>
      <c r="BM226">
        <v>10001</v>
      </c>
      <c r="BN226">
        <v>0</v>
      </c>
      <c r="BO226" t="s">
        <v>1327</v>
      </c>
      <c r="BP226">
        <v>1</v>
      </c>
      <c r="BQ226">
        <v>2</v>
      </c>
      <c r="BR226">
        <v>0</v>
      </c>
      <c r="BS226">
        <v>24.22</v>
      </c>
      <c r="BT226">
        <v>1</v>
      </c>
      <c r="BU226">
        <v>1</v>
      </c>
      <c r="BV226">
        <v>1</v>
      </c>
      <c r="BW226">
        <v>1</v>
      </c>
      <c r="BX226">
        <v>1</v>
      </c>
      <c r="BY226" t="s">
        <v>6</v>
      </c>
      <c r="BZ226">
        <v>108</v>
      </c>
      <c r="CA226">
        <v>55</v>
      </c>
      <c r="CB226" t="s">
        <v>6</v>
      </c>
      <c r="CE226">
        <v>0</v>
      </c>
      <c r="CF226">
        <v>0</v>
      </c>
      <c r="CG226">
        <v>0</v>
      </c>
      <c r="CM226">
        <v>0</v>
      </c>
      <c r="CN226" t="s">
        <v>6</v>
      </c>
      <c r="CO226">
        <v>0</v>
      </c>
      <c r="CP226">
        <f t="shared" si="245"/>
        <v>48838.310000000005</v>
      </c>
      <c r="CQ226">
        <f t="shared" si="246"/>
        <v>1832.3</v>
      </c>
      <c r="CR226">
        <f t="shared" si="247"/>
        <v>50.37</v>
      </c>
      <c r="CS226">
        <f t="shared" si="248"/>
        <v>0</v>
      </c>
      <c r="CT226">
        <f t="shared" si="249"/>
        <v>240.73467500000001</v>
      </c>
      <c r="CU226">
        <f t="shared" si="250"/>
        <v>0</v>
      </c>
      <c r="CV226">
        <f t="shared" si="251"/>
        <v>29.756250000000001</v>
      </c>
      <c r="CW226">
        <f t="shared" si="252"/>
        <v>0</v>
      </c>
      <c r="CX226">
        <f t="shared" si="253"/>
        <v>0</v>
      </c>
      <c r="CY226">
        <f t="shared" si="254"/>
        <v>5381.8667999999998</v>
      </c>
      <c r="CZ226">
        <f t="shared" si="255"/>
        <v>2588.5007499999997</v>
      </c>
      <c r="DC226" t="s">
        <v>6</v>
      </c>
      <c r="DD226" t="s">
        <v>6</v>
      </c>
      <c r="DE226" t="s">
        <v>126</v>
      </c>
      <c r="DF226" t="s">
        <v>126</v>
      </c>
      <c r="DG226" t="s">
        <v>127</v>
      </c>
      <c r="DH226" t="s">
        <v>6</v>
      </c>
      <c r="DI226" t="s">
        <v>127</v>
      </c>
      <c r="DJ226" t="s">
        <v>126</v>
      </c>
      <c r="DK226" t="s">
        <v>6</v>
      </c>
      <c r="DL226" t="s">
        <v>6</v>
      </c>
      <c r="DM226" t="s">
        <v>6</v>
      </c>
      <c r="DN226">
        <v>0</v>
      </c>
      <c r="DO226">
        <v>0</v>
      </c>
      <c r="DP226">
        <v>1</v>
      </c>
      <c r="DQ226">
        <v>1</v>
      </c>
      <c r="DU226">
        <v>1013</v>
      </c>
      <c r="DV226" t="s">
        <v>449</v>
      </c>
      <c r="DW226" t="s">
        <v>449</v>
      </c>
      <c r="DX226">
        <v>1</v>
      </c>
      <c r="DZ226" t="s">
        <v>6</v>
      </c>
      <c r="EA226" t="s">
        <v>6</v>
      </c>
      <c r="EB226" t="s">
        <v>6</v>
      </c>
      <c r="EC226" t="s">
        <v>6</v>
      </c>
      <c r="EE226">
        <v>30852905</v>
      </c>
      <c r="EF226">
        <v>2</v>
      </c>
      <c r="EG226" t="s">
        <v>26</v>
      </c>
      <c r="EH226">
        <v>0</v>
      </c>
      <c r="EI226" t="s">
        <v>6</v>
      </c>
      <c r="EJ226">
        <v>1</v>
      </c>
      <c r="EK226">
        <v>10001</v>
      </c>
      <c r="EL226" t="s">
        <v>27</v>
      </c>
      <c r="EM226" t="s">
        <v>28</v>
      </c>
      <c r="EO226" t="s">
        <v>6</v>
      </c>
      <c r="EQ226">
        <v>131072</v>
      </c>
      <c r="ER226">
        <v>2049.37</v>
      </c>
      <c r="ES226">
        <v>1832.3</v>
      </c>
      <c r="ET226">
        <v>35.04</v>
      </c>
      <c r="EU226">
        <v>0</v>
      </c>
      <c r="EV226">
        <v>182.03</v>
      </c>
      <c r="EW226">
        <v>22.5</v>
      </c>
      <c r="EX226">
        <v>0</v>
      </c>
      <c r="EY226">
        <v>0</v>
      </c>
      <c r="FQ226">
        <v>0</v>
      </c>
      <c r="FR226">
        <f t="shared" si="256"/>
        <v>0</v>
      </c>
      <c r="FS226">
        <v>0</v>
      </c>
      <c r="FT226" t="s">
        <v>29</v>
      </c>
      <c r="FU226" t="s">
        <v>30</v>
      </c>
      <c r="FX226">
        <v>97.2</v>
      </c>
      <c r="FY226">
        <v>46.75</v>
      </c>
      <c r="GA226" t="s">
        <v>6</v>
      </c>
      <c r="GD226">
        <v>1</v>
      </c>
      <c r="GF226">
        <v>-1074416826</v>
      </c>
      <c r="GG226">
        <v>2</v>
      </c>
      <c r="GH226">
        <v>1</v>
      </c>
      <c r="GI226">
        <v>4</v>
      </c>
      <c r="GJ226">
        <v>0</v>
      </c>
      <c r="GK226">
        <v>0</v>
      </c>
      <c r="GL226">
        <f t="shared" si="257"/>
        <v>0</v>
      </c>
      <c r="GM226">
        <f t="shared" si="258"/>
        <v>56808.68</v>
      </c>
      <c r="GN226">
        <f t="shared" si="259"/>
        <v>56808.68</v>
      </c>
      <c r="GO226">
        <f t="shared" si="260"/>
        <v>0</v>
      </c>
      <c r="GP226">
        <f t="shared" si="261"/>
        <v>0</v>
      </c>
      <c r="GR226">
        <v>0</v>
      </c>
      <c r="GS226">
        <v>0</v>
      </c>
      <c r="GT226">
        <v>0</v>
      </c>
      <c r="GU226" t="s">
        <v>6</v>
      </c>
      <c r="GV226">
        <f t="shared" si="262"/>
        <v>0</v>
      </c>
      <c r="GW226">
        <v>1</v>
      </c>
      <c r="GX226">
        <f t="shared" si="263"/>
        <v>0</v>
      </c>
      <c r="HA226">
        <v>0</v>
      </c>
      <c r="HB226">
        <v>0</v>
      </c>
      <c r="HC226">
        <f t="shared" si="264"/>
        <v>0</v>
      </c>
      <c r="HE226" t="s">
        <v>6</v>
      </c>
      <c r="HF226" t="s">
        <v>6</v>
      </c>
      <c r="HI226">
        <f t="shared" si="265"/>
        <v>0</v>
      </c>
      <c r="HJ226">
        <f t="shared" si="266"/>
        <v>134104</v>
      </c>
      <c r="HK226">
        <f t="shared" si="267"/>
        <v>130349</v>
      </c>
      <c r="HL226">
        <f t="shared" si="268"/>
        <v>62694</v>
      </c>
      <c r="HM226" t="s">
        <v>6</v>
      </c>
      <c r="HN226" t="s">
        <v>6</v>
      </c>
      <c r="HO226" t="s">
        <v>6</v>
      </c>
      <c r="HP226" t="s">
        <v>6</v>
      </c>
      <c r="HQ226" t="s">
        <v>6</v>
      </c>
      <c r="IK226">
        <v>0</v>
      </c>
    </row>
    <row r="227" spans="1:245">
      <c r="A227">
        <v>17</v>
      </c>
      <c r="B227">
        <v>1</v>
      </c>
      <c r="C227">
        <f>ROW(SmtRes!A429)</f>
        <v>429</v>
      </c>
      <c r="D227">
        <f>ROW(EtalonRes!A454)</f>
        <v>454</v>
      </c>
      <c r="E227" t="s">
        <v>451</v>
      </c>
      <c r="F227" t="s">
        <v>452</v>
      </c>
      <c r="G227" t="s">
        <v>453</v>
      </c>
      <c r="H227" t="s">
        <v>454</v>
      </c>
      <c r="I227">
        <f>ROUND(6/100,7)</f>
        <v>0.06</v>
      </c>
      <c r="J227">
        <v>0</v>
      </c>
      <c r="K227">
        <f>ROUND(6/100,7)</f>
        <v>0.06</v>
      </c>
      <c r="O227">
        <f t="shared" si="228"/>
        <v>111.57</v>
      </c>
      <c r="P227">
        <f t="shared" si="229"/>
        <v>85.89</v>
      </c>
      <c r="Q227">
        <f t="shared" si="230"/>
        <v>4.54</v>
      </c>
      <c r="R227">
        <f t="shared" si="231"/>
        <v>0</v>
      </c>
      <c r="S227">
        <f t="shared" si="232"/>
        <v>21.14</v>
      </c>
      <c r="T227">
        <f t="shared" si="233"/>
        <v>0</v>
      </c>
      <c r="U227">
        <f t="shared" si="234"/>
        <v>2.5376129999999999</v>
      </c>
      <c r="V227">
        <f t="shared" si="235"/>
        <v>0</v>
      </c>
      <c r="W227">
        <f t="shared" si="236"/>
        <v>0</v>
      </c>
      <c r="X227">
        <f t="shared" si="237"/>
        <v>18.46</v>
      </c>
      <c r="Y227">
        <f t="shared" si="238"/>
        <v>9.8800000000000008</v>
      </c>
      <c r="AA227">
        <v>31028412</v>
      </c>
      <c r="AB227">
        <f t="shared" si="239"/>
        <v>1859.4882749999999</v>
      </c>
      <c r="AC227">
        <f t="shared" si="240"/>
        <v>1431.46</v>
      </c>
      <c r="AD227">
        <f>ROUND(((((ET227*ROUND((1.25*1.15),7)))-((EU227*ROUND((1.25*1.15),7))))+AE227),6)</f>
        <v>75.727500000000006</v>
      </c>
      <c r="AE227">
        <f>ROUND(((EU227*ROUND((1.25*1.15),7))),6)</f>
        <v>0</v>
      </c>
      <c r="AF227">
        <f>ROUND(((EV227*ROUND((1.15*1.15),7))),6)</f>
        <v>352.30077499999999</v>
      </c>
      <c r="AG227">
        <f t="shared" si="242"/>
        <v>0</v>
      </c>
      <c r="AH227">
        <f>((EW227*ROUND((1.15*1.15),7)))</f>
        <v>42.293550000000003</v>
      </c>
      <c r="AI227">
        <f>((EX227*ROUND((1.25*1.15),7)))</f>
        <v>0</v>
      </c>
      <c r="AJ227">
        <f t="shared" si="244"/>
        <v>0</v>
      </c>
      <c r="AK227">
        <v>1750.53</v>
      </c>
      <c r="AL227">
        <v>1431.46</v>
      </c>
      <c r="AM227">
        <v>52.68</v>
      </c>
      <c r="AN227">
        <v>0</v>
      </c>
      <c r="AO227">
        <v>266.39</v>
      </c>
      <c r="AP227">
        <v>0</v>
      </c>
      <c r="AQ227">
        <v>31.98</v>
      </c>
      <c r="AR227">
        <v>0</v>
      </c>
      <c r="AS227">
        <v>0</v>
      </c>
      <c r="AT227">
        <v>87.3</v>
      </c>
      <c r="AU227">
        <v>46.75</v>
      </c>
      <c r="AV227">
        <v>1</v>
      </c>
      <c r="AW227">
        <v>1</v>
      </c>
      <c r="AZ227">
        <v>1</v>
      </c>
      <c r="BA227">
        <v>24.22</v>
      </c>
      <c r="BB227">
        <v>1</v>
      </c>
      <c r="BC227">
        <v>1</v>
      </c>
      <c r="BD227" t="s">
        <v>6</v>
      </c>
      <c r="BE227" t="s">
        <v>6</v>
      </c>
      <c r="BF227" t="s">
        <v>6</v>
      </c>
      <c r="BG227" t="s">
        <v>6</v>
      </c>
      <c r="BH227">
        <v>0</v>
      </c>
      <c r="BI227">
        <v>1</v>
      </c>
      <c r="BJ227" t="s">
        <v>455</v>
      </c>
      <c r="BM227">
        <v>26001</v>
      </c>
      <c r="BN227">
        <v>0</v>
      </c>
      <c r="BO227" t="s">
        <v>1327</v>
      </c>
      <c r="BP227">
        <v>1</v>
      </c>
      <c r="BQ227">
        <v>2</v>
      </c>
      <c r="BR227">
        <v>0</v>
      </c>
      <c r="BS227">
        <v>24.22</v>
      </c>
      <c r="BT227">
        <v>1</v>
      </c>
      <c r="BU227">
        <v>1</v>
      </c>
      <c r="BV227">
        <v>1</v>
      </c>
      <c r="BW227">
        <v>1</v>
      </c>
      <c r="BX227">
        <v>1</v>
      </c>
      <c r="BY227" t="s">
        <v>6</v>
      </c>
      <c r="BZ227">
        <v>97</v>
      </c>
      <c r="CA227">
        <v>55</v>
      </c>
      <c r="CB227" t="s">
        <v>6</v>
      </c>
      <c r="CE227">
        <v>0</v>
      </c>
      <c r="CF227">
        <v>0</v>
      </c>
      <c r="CG227">
        <v>0</v>
      </c>
      <c r="CM227">
        <v>0</v>
      </c>
      <c r="CN227" t="s">
        <v>6</v>
      </c>
      <c r="CO227">
        <v>0</v>
      </c>
      <c r="CP227">
        <f t="shared" si="245"/>
        <v>111.57000000000001</v>
      </c>
      <c r="CQ227">
        <f t="shared" si="246"/>
        <v>1431.46</v>
      </c>
      <c r="CR227">
        <f t="shared" si="247"/>
        <v>75.727500000000006</v>
      </c>
      <c r="CS227">
        <f t="shared" si="248"/>
        <v>0</v>
      </c>
      <c r="CT227">
        <f t="shared" si="249"/>
        <v>352.30077499999999</v>
      </c>
      <c r="CU227">
        <f t="shared" si="250"/>
        <v>0</v>
      </c>
      <c r="CV227">
        <f t="shared" si="251"/>
        <v>42.293550000000003</v>
      </c>
      <c r="CW227">
        <f t="shared" si="252"/>
        <v>0</v>
      </c>
      <c r="CX227">
        <f t="shared" si="253"/>
        <v>0</v>
      </c>
      <c r="CY227">
        <f t="shared" si="254"/>
        <v>18.455220000000001</v>
      </c>
      <c r="CZ227">
        <f t="shared" si="255"/>
        <v>9.882950000000001</v>
      </c>
      <c r="DC227" t="s">
        <v>6</v>
      </c>
      <c r="DD227" t="s">
        <v>6</v>
      </c>
      <c r="DE227" t="s">
        <v>126</v>
      </c>
      <c r="DF227" t="s">
        <v>126</v>
      </c>
      <c r="DG227" t="s">
        <v>127</v>
      </c>
      <c r="DH227" t="s">
        <v>6</v>
      </c>
      <c r="DI227" t="s">
        <v>127</v>
      </c>
      <c r="DJ227" t="s">
        <v>126</v>
      </c>
      <c r="DK227" t="s">
        <v>6</v>
      </c>
      <c r="DL227" t="s">
        <v>6</v>
      </c>
      <c r="DM227" t="s">
        <v>6</v>
      </c>
      <c r="DN227">
        <v>0</v>
      </c>
      <c r="DO227">
        <v>0</v>
      </c>
      <c r="DP227">
        <v>1</v>
      </c>
      <c r="DQ227">
        <v>1</v>
      </c>
      <c r="DU227">
        <v>1013</v>
      </c>
      <c r="DV227" t="s">
        <v>454</v>
      </c>
      <c r="DW227" t="s">
        <v>454</v>
      </c>
      <c r="DX227">
        <v>1</v>
      </c>
      <c r="DZ227" t="s">
        <v>6</v>
      </c>
      <c r="EA227" t="s">
        <v>6</v>
      </c>
      <c r="EB227" t="s">
        <v>6</v>
      </c>
      <c r="EC227" t="s">
        <v>6</v>
      </c>
      <c r="EE227">
        <v>30852954</v>
      </c>
      <c r="EF227">
        <v>2</v>
      </c>
      <c r="EG227" t="s">
        <v>26</v>
      </c>
      <c r="EH227">
        <v>0</v>
      </c>
      <c r="EI227" t="s">
        <v>6</v>
      </c>
      <c r="EJ227">
        <v>1</v>
      </c>
      <c r="EK227">
        <v>26001</v>
      </c>
      <c r="EL227" t="s">
        <v>456</v>
      </c>
      <c r="EM227" t="s">
        <v>457</v>
      </c>
      <c r="EO227" t="s">
        <v>6</v>
      </c>
      <c r="EQ227">
        <v>0</v>
      </c>
      <c r="ER227">
        <v>1750.53</v>
      </c>
      <c r="ES227">
        <v>1431.46</v>
      </c>
      <c r="ET227">
        <v>52.68</v>
      </c>
      <c r="EU227">
        <v>0</v>
      </c>
      <c r="EV227">
        <v>266.39</v>
      </c>
      <c r="EW227">
        <v>31.98</v>
      </c>
      <c r="EX227">
        <v>0</v>
      </c>
      <c r="EY227">
        <v>0</v>
      </c>
      <c r="FQ227">
        <v>0</v>
      </c>
      <c r="FR227">
        <f t="shared" si="256"/>
        <v>0</v>
      </c>
      <c r="FS227">
        <v>0</v>
      </c>
      <c r="FT227" t="s">
        <v>29</v>
      </c>
      <c r="FU227" t="s">
        <v>30</v>
      </c>
      <c r="FX227">
        <v>87.3</v>
      </c>
      <c r="FY227">
        <v>46.75</v>
      </c>
      <c r="GA227" t="s">
        <v>6</v>
      </c>
      <c r="GD227">
        <v>1</v>
      </c>
      <c r="GF227">
        <v>-1184629134</v>
      </c>
      <c r="GG227">
        <v>2</v>
      </c>
      <c r="GH227">
        <v>1</v>
      </c>
      <c r="GI227">
        <v>4</v>
      </c>
      <c r="GJ227">
        <v>0</v>
      </c>
      <c r="GK227">
        <v>0</v>
      </c>
      <c r="GL227">
        <f t="shared" si="257"/>
        <v>0</v>
      </c>
      <c r="GM227">
        <f t="shared" si="258"/>
        <v>139.91</v>
      </c>
      <c r="GN227">
        <f t="shared" si="259"/>
        <v>139.91</v>
      </c>
      <c r="GO227">
        <f t="shared" si="260"/>
        <v>0</v>
      </c>
      <c r="GP227">
        <f t="shared" si="261"/>
        <v>0</v>
      </c>
      <c r="GR227">
        <v>0</v>
      </c>
      <c r="GS227">
        <v>3</v>
      </c>
      <c r="GT227">
        <v>0</v>
      </c>
      <c r="GU227" t="s">
        <v>6</v>
      </c>
      <c r="GV227">
        <f t="shared" si="262"/>
        <v>0</v>
      </c>
      <c r="GW227">
        <v>1</v>
      </c>
      <c r="GX227">
        <f t="shared" si="263"/>
        <v>0</v>
      </c>
      <c r="HA227">
        <v>0</v>
      </c>
      <c r="HB227">
        <v>0</v>
      </c>
      <c r="HC227">
        <f t="shared" si="264"/>
        <v>0</v>
      </c>
      <c r="HE227" t="s">
        <v>6</v>
      </c>
      <c r="HF227" t="s">
        <v>6</v>
      </c>
      <c r="HI227">
        <f t="shared" si="265"/>
        <v>0</v>
      </c>
      <c r="HJ227">
        <f t="shared" si="266"/>
        <v>512</v>
      </c>
      <c r="HK227">
        <f t="shared" si="267"/>
        <v>447</v>
      </c>
      <c r="HL227">
        <f t="shared" si="268"/>
        <v>239</v>
      </c>
      <c r="HM227" t="s">
        <v>6</v>
      </c>
      <c r="HN227" t="s">
        <v>6</v>
      </c>
      <c r="HO227" t="s">
        <v>6</v>
      </c>
      <c r="HP227" t="s">
        <v>6</v>
      </c>
      <c r="HQ227" t="s">
        <v>6</v>
      </c>
      <c r="IK227">
        <v>0</v>
      </c>
    </row>
    <row r="228" spans="1:245">
      <c r="A228">
        <v>17</v>
      </c>
      <c r="B228">
        <v>1</v>
      </c>
      <c r="C228">
        <f>ROW(SmtRes!A437)</f>
        <v>437</v>
      </c>
      <c r="D228">
        <f>ROW(EtalonRes!A462)</f>
        <v>462</v>
      </c>
      <c r="E228" t="s">
        <v>458</v>
      </c>
      <c r="F228" t="s">
        <v>459</v>
      </c>
      <c r="G228" t="s">
        <v>1329</v>
      </c>
      <c r="H228" t="s">
        <v>460</v>
      </c>
      <c r="I228">
        <f>ROUND(288/100,7)</f>
        <v>2.88</v>
      </c>
      <c r="J228">
        <v>0</v>
      </c>
      <c r="K228">
        <f>ROUND(288/100,7)</f>
        <v>2.88</v>
      </c>
      <c r="O228">
        <f t="shared" si="228"/>
        <v>990.81</v>
      </c>
      <c r="P228">
        <f t="shared" si="229"/>
        <v>5.67</v>
      </c>
      <c r="Q228">
        <f t="shared" si="230"/>
        <v>674.99</v>
      </c>
      <c r="R228">
        <f t="shared" si="231"/>
        <v>7.87</v>
      </c>
      <c r="S228">
        <f t="shared" si="232"/>
        <v>310.14999999999998</v>
      </c>
      <c r="T228">
        <f t="shared" si="233"/>
        <v>0</v>
      </c>
      <c r="U228">
        <f t="shared" si="234"/>
        <v>33.784055999999993</v>
      </c>
      <c r="V228">
        <f t="shared" si="235"/>
        <v>0.70379999999999998</v>
      </c>
      <c r="W228">
        <f t="shared" si="236"/>
        <v>0</v>
      </c>
      <c r="X228">
        <f t="shared" si="237"/>
        <v>277.63</v>
      </c>
      <c r="Y228">
        <f t="shared" si="238"/>
        <v>148.66999999999999</v>
      </c>
      <c r="AA228">
        <v>31028412</v>
      </c>
      <c r="AB228">
        <f t="shared" si="239"/>
        <v>344.03117500000002</v>
      </c>
      <c r="AC228">
        <f t="shared" si="240"/>
        <v>1.97</v>
      </c>
      <c r="AD228">
        <f>ROUND(((((ET228*ROUND((1.25*1.15),7)))-((EU228*ROUND((1.25*1.15),7))))+AE228),6)</f>
        <v>234.37</v>
      </c>
      <c r="AE228">
        <f>ROUND(((EU228*ROUND((1.25*1.15),7))),6)</f>
        <v>2.7312500000000002</v>
      </c>
      <c r="AF228">
        <f>ROUND(((EV228*ROUND((1.15*1.15),7))),6)</f>
        <v>107.691175</v>
      </c>
      <c r="AG228">
        <f t="shared" si="242"/>
        <v>0</v>
      </c>
      <c r="AH228">
        <f>((EW228*ROUND((1.15*1.15),7)))</f>
        <v>11.730574999999998</v>
      </c>
      <c r="AI228">
        <f>((EX228*ROUND((1.25*1.15),7)))</f>
        <v>0.24437500000000001</v>
      </c>
      <c r="AJ228">
        <f t="shared" si="244"/>
        <v>0</v>
      </c>
      <c r="AK228">
        <v>246.44</v>
      </c>
      <c r="AL228">
        <v>1.97</v>
      </c>
      <c r="AM228">
        <v>163.04</v>
      </c>
      <c r="AN228">
        <v>1.9</v>
      </c>
      <c r="AO228">
        <v>81.430000000000007</v>
      </c>
      <c r="AP228">
        <v>0</v>
      </c>
      <c r="AQ228">
        <v>8.8699999999999992</v>
      </c>
      <c r="AR228">
        <v>0.17</v>
      </c>
      <c r="AS228">
        <v>0</v>
      </c>
      <c r="AT228">
        <v>87.3</v>
      </c>
      <c r="AU228">
        <v>46.75</v>
      </c>
      <c r="AV228">
        <v>1</v>
      </c>
      <c r="AW228">
        <v>1</v>
      </c>
      <c r="AZ228">
        <v>1</v>
      </c>
      <c r="BA228">
        <v>24.22</v>
      </c>
      <c r="BB228">
        <v>1</v>
      </c>
      <c r="BC228">
        <v>1</v>
      </c>
      <c r="BD228" t="s">
        <v>6</v>
      </c>
      <c r="BE228" t="s">
        <v>6</v>
      </c>
      <c r="BF228" t="s">
        <v>6</v>
      </c>
      <c r="BG228" t="s">
        <v>6</v>
      </c>
      <c r="BH228">
        <v>0</v>
      </c>
      <c r="BI228">
        <v>1</v>
      </c>
      <c r="BJ228" t="s">
        <v>461</v>
      </c>
      <c r="BM228">
        <v>26001</v>
      </c>
      <c r="BN228">
        <v>0</v>
      </c>
      <c r="BO228" t="s">
        <v>1327</v>
      </c>
      <c r="BP228">
        <v>1</v>
      </c>
      <c r="BQ228">
        <v>2</v>
      </c>
      <c r="BR228">
        <v>0</v>
      </c>
      <c r="BS228">
        <v>24.22</v>
      </c>
      <c r="BT228">
        <v>1</v>
      </c>
      <c r="BU228">
        <v>1</v>
      </c>
      <c r="BV228">
        <v>1</v>
      </c>
      <c r="BW228">
        <v>1</v>
      </c>
      <c r="BX228">
        <v>1</v>
      </c>
      <c r="BY228" t="s">
        <v>6</v>
      </c>
      <c r="BZ228">
        <v>97</v>
      </c>
      <c r="CA228">
        <v>55</v>
      </c>
      <c r="CB228" t="s">
        <v>6</v>
      </c>
      <c r="CE228">
        <v>0</v>
      </c>
      <c r="CF228">
        <v>0</v>
      </c>
      <c r="CG228">
        <v>0</v>
      </c>
      <c r="CM228">
        <v>0</v>
      </c>
      <c r="CN228" t="s">
        <v>6</v>
      </c>
      <c r="CO228">
        <v>0</v>
      </c>
      <c r="CP228">
        <f t="shared" si="245"/>
        <v>990.81</v>
      </c>
      <c r="CQ228">
        <f t="shared" si="246"/>
        <v>1.97</v>
      </c>
      <c r="CR228">
        <f t="shared" si="247"/>
        <v>234.37</v>
      </c>
      <c r="CS228">
        <f t="shared" si="248"/>
        <v>2.7312500000000002</v>
      </c>
      <c r="CT228">
        <f t="shared" si="249"/>
        <v>107.691175</v>
      </c>
      <c r="CU228">
        <f t="shared" si="250"/>
        <v>0</v>
      </c>
      <c r="CV228">
        <f t="shared" si="251"/>
        <v>11.730574999999998</v>
      </c>
      <c r="CW228">
        <f t="shared" si="252"/>
        <v>0.24437500000000001</v>
      </c>
      <c r="CX228">
        <f t="shared" si="253"/>
        <v>0</v>
      </c>
      <c r="CY228">
        <f t="shared" si="254"/>
        <v>277.63145999999995</v>
      </c>
      <c r="CZ228">
        <f t="shared" si="255"/>
        <v>148.67435</v>
      </c>
      <c r="DC228" t="s">
        <v>6</v>
      </c>
      <c r="DD228" t="s">
        <v>6</v>
      </c>
      <c r="DE228" t="s">
        <v>126</v>
      </c>
      <c r="DF228" t="s">
        <v>126</v>
      </c>
      <c r="DG228" t="s">
        <v>127</v>
      </c>
      <c r="DH228" t="s">
        <v>6</v>
      </c>
      <c r="DI228" t="s">
        <v>127</v>
      </c>
      <c r="DJ228" t="s">
        <v>126</v>
      </c>
      <c r="DK228" t="s">
        <v>6</v>
      </c>
      <c r="DL228" t="s">
        <v>6</v>
      </c>
      <c r="DM228" t="s">
        <v>6</v>
      </c>
      <c r="DN228">
        <v>0</v>
      </c>
      <c r="DO228">
        <v>0</v>
      </c>
      <c r="DP228">
        <v>1</v>
      </c>
      <c r="DQ228">
        <v>1</v>
      </c>
      <c r="DU228">
        <v>1013</v>
      </c>
      <c r="DV228" t="s">
        <v>460</v>
      </c>
      <c r="DW228" t="s">
        <v>460</v>
      </c>
      <c r="DX228">
        <v>1</v>
      </c>
      <c r="DZ228" t="s">
        <v>6</v>
      </c>
      <c r="EA228" t="s">
        <v>6</v>
      </c>
      <c r="EB228" t="s">
        <v>6</v>
      </c>
      <c r="EC228" t="s">
        <v>6</v>
      </c>
      <c r="EE228">
        <v>30852954</v>
      </c>
      <c r="EF228">
        <v>2</v>
      </c>
      <c r="EG228" t="s">
        <v>26</v>
      </c>
      <c r="EH228">
        <v>0</v>
      </c>
      <c r="EI228" t="s">
        <v>6</v>
      </c>
      <c r="EJ228">
        <v>1</v>
      </c>
      <c r="EK228">
        <v>26001</v>
      </c>
      <c r="EL228" t="s">
        <v>456</v>
      </c>
      <c r="EM228" t="s">
        <v>457</v>
      </c>
      <c r="EO228" t="s">
        <v>6</v>
      </c>
      <c r="EQ228">
        <v>131072</v>
      </c>
      <c r="ER228">
        <v>246.44</v>
      </c>
      <c r="ES228">
        <v>1.97</v>
      </c>
      <c r="ET228">
        <v>163.04</v>
      </c>
      <c r="EU228">
        <v>1.9</v>
      </c>
      <c r="EV228">
        <v>81.430000000000007</v>
      </c>
      <c r="EW228">
        <v>8.8699999999999992</v>
      </c>
      <c r="EX228">
        <v>0.17</v>
      </c>
      <c r="EY228">
        <v>0</v>
      </c>
      <c r="FQ228">
        <v>0</v>
      </c>
      <c r="FR228">
        <f t="shared" si="256"/>
        <v>0</v>
      </c>
      <c r="FS228">
        <v>0</v>
      </c>
      <c r="FT228" t="s">
        <v>29</v>
      </c>
      <c r="FU228" t="s">
        <v>30</v>
      </c>
      <c r="FX228">
        <v>87.3</v>
      </c>
      <c r="FY228">
        <v>46.75</v>
      </c>
      <c r="GA228" t="s">
        <v>6</v>
      </c>
      <c r="GD228">
        <v>1</v>
      </c>
      <c r="GF228">
        <v>2134164842</v>
      </c>
      <c r="GG228">
        <v>2</v>
      </c>
      <c r="GH228">
        <v>1</v>
      </c>
      <c r="GI228">
        <v>4</v>
      </c>
      <c r="GJ228">
        <v>0</v>
      </c>
      <c r="GK228">
        <v>0</v>
      </c>
      <c r="GL228">
        <f t="shared" si="257"/>
        <v>0</v>
      </c>
      <c r="GM228">
        <f t="shared" si="258"/>
        <v>1417.11</v>
      </c>
      <c r="GN228">
        <f t="shared" si="259"/>
        <v>1417.11</v>
      </c>
      <c r="GO228">
        <f t="shared" si="260"/>
        <v>0</v>
      </c>
      <c r="GP228">
        <f t="shared" si="261"/>
        <v>0</v>
      </c>
      <c r="GR228">
        <v>0</v>
      </c>
      <c r="GS228">
        <v>0</v>
      </c>
      <c r="GT228">
        <v>0</v>
      </c>
      <c r="GU228" t="s">
        <v>6</v>
      </c>
      <c r="GV228">
        <f t="shared" si="262"/>
        <v>0</v>
      </c>
      <c r="GW228">
        <v>1</v>
      </c>
      <c r="GX228">
        <f t="shared" si="263"/>
        <v>0</v>
      </c>
      <c r="HA228">
        <v>0</v>
      </c>
      <c r="HB228">
        <v>0</v>
      </c>
      <c r="HC228">
        <f t="shared" si="264"/>
        <v>0</v>
      </c>
      <c r="HE228" t="s">
        <v>6</v>
      </c>
      <c r="HF228" t="s">
        <v>6</v>
      </c>
      <c r="HI228">
        <f t="shared" si="265"/>
        <v>191</v>
      </c>
      <c r="HJ228">
        <f t="shared" si="266"/>
        <v>7512</v>
      </c>
      <c r="HK228">
        <f t="shared" si="267"/>
        <v>6725</v>
      </c>
      <c r="HL228">
        <f t="shared" si="268"/>
        <v>3601</v>
      </c>
      <c r="HM228" t="s">
        <v>6</v>
      </c>
      <c r="HN228" t="s">
        <v>6</v>
      </c>
      <c r="HO228" t="s">
        <v>6</v>
      </c>
      <c r="HP228" t="s">
        <v>6</v>
      </c>
      <c r="HQ228" t="s">
        <v>6</v>
      </c>
      <c r="IK228">
        <v>0</v>
      </c>
    </row>
    <row r="229" spans="1:245">
      <c r="A229">
        <v>17</v>
      </c>
      <c r="B229">
        <v>1</v>
      </c>
      <c r="E229" t="s">
        <v>462</v>
      </c>
      <c r="F229" t="s">
        <v>463</v>
      </c>
      <c r="G229" t="s">
        <v>464</v>
      </c>
      <c r="H229" t="s">
        <v>118</v>
      </c>
      <c r="I229">
        <v>132.47999999999999</v>
      </c>
      <c r="J229">
        <v>0</v>
      </c>
      <c r="K229">
        <v>132.47999999999999</v>
      </c>
      <c r="O229">
        <f t="shared" si="228"/>
        <v>2595.2800000000002</v>
      </c>
      <c r="P229">
        <f t="shared" si="229"/>
        <v>2595.2800000000002</v>
      </c>
      <c r="Q229">
        <f t="shared" si="230"/>
        <v>0</v>
      </c>
      <c r="R229">
        <f t="shared" si="231"/>
        <v>0</v>
      </c>
      <c r="S229">
        <f t="shared" si="232"/>
        <v>0</v>
      </c>
      <c r="T229">
        <f t="shared" si="233"/>
        <v>0</v>
      </c>
      <c r="U229">
        <f t="shared" si="234"/>
        <v>0</v>
      </c>
      <c r="V229">
        <f t="shared" si="235"/>
        <v>0</v>
      </c>
      <c r="W229">
        <f t="shared" si="236"/>
        <v>0</v>
      </c>
      <c r="X229">
        <f t="shared" si="237"/>
        <v>0</v>
      </c>
      <c r="Y229">
        <f t="shared" si="238"/>
        <v>0</v>
      </c>
      <c r="AA229">
        <v>31028412</v>
      </c>
      <c r="AB229">
        <f t="shared" si="239"/>
        <v>19.59</v>
      </c>
      <c r="AC229">
        <f t="shared" si="240"/>
        <v>19.59</v>
      </c>
      <c r="AD229">
        <f>ROUND((((ET229)-(EU229))+AE229),6)</f>
        <v>0</v>
      </c>
      <c r="AE229">
        <f>ROUND((EU229),6)</f>
        <v>0</v>
      </c>
      <c r="AF229">
        <f>ROUND((EV229),6)</f>
        <v>0</v>
      </c>
      <c r="AG229">
        <f t="shared" si="242"/>
        <v>0</v>
      </c>
      <c r="AH229">
        <f>(EW229)</f>
        <v>0</v>
      </c>
      <c r="AI229">
        <f>(EX229)</f>
        <v>0</v>
      </c>
      <c r="AJ229">
        <f t="shared" si="244"/>
        <v>0</v>
      </c>
      <c r="AK229">
        <v>19.59</v>
      </c>
      <c r="AL229">
        <v>19.59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1</v>
      </c>
      <c r="AW229">
        <v>1</v>
      </c>
      <c r="AZ229">
        <v>1</v>
      </c>
      <c r="BA229">
        <v>1</v>
      </c>
      <c r="BB229">
        <v>1</v>
      </c>
      <c r="BC229">
        <v>1</v>
      </c>
      <c r="BD229" t="s">
        <v>6</v>
      </c>
      <c r="BE229" t="s">
        <v>6</v>
      </c>
      <c r="BF229" t="s">
        <v>6</v>
      </c>
      <c r="BG229" t="s">
        <v>6</v>
      </c>
      <c r="BH229">
        <v>3</v>
      </c>
      <c r="BI229">
        <v>1</v>
      </c>
      <c r="BJ229" t="s">
        <v>465</v>
      </c>
      <c r="BM229">
        <v>500001</v>
      </c>
      <c r="BN229">
        <v>0</v>
      </c>
      <c r="BO229" t="s">
        <v>111</v>
      </c>
      <c r="BP229">
        <v>1</v>
      </c>
      <c r="BQ229">
        <v>8</v>
      </c>
      <c r="BR229">
        <v>0</v>
      </c>
      <c r="BS229">
        <v>1</v>
      </c>
      <c r="BT229">
        <v>1</v>
      </c>
      <c r="BU229">
        <v>1</v>
      </c>
      <c r="BV229">
        <v>1</v>
      </c>
      <c r="BW229">
        <v>1</v>
      </c>
      <c r="BX229">
        <v>1</v>
      </c>
      <c r="BY229" t="s">
        <v>6</v>
      </c>
      <c r="BZ229">
        <v>0</v>
      </c>
      <c r="CA229">
        <v>0</v>
      </c>
      <c r="CB229" t="s">
        <v>6</v>
      </c>
      <c r="CE229">
        <v>0</v>
      </c>
      <c r="CF229">
        <v>0</v>
      </c>
      <c r="CG229">
        <v>0</v>
      </c>
      <c r="CM229">
        <v>0</v>
      </c>
      <c r="CN229" t="s">
        <v>6</v>
      </c>
      <c r="CO229">
        <v>0</v>
      </c>
      <c r="CP229">
        <f t="shared" si="245"/>
        <v>2595.2800000000002</v>
      </c>
      <c r="CQ229">
        <f t="shared" si="246"/>
        <v>19.59</v>
      </c>
      <c r="CR229">
        <f t="shared" si="247"/>
        <v>0</v>
      </c>
      <c r="CS229">
        <f t="shared" si="248"/>
        <v>0</v>
      </c>
      <c r="CT229">
        <f t="shared" si="249"/>
        <v>0</v>
      </c>
      <c r="CU229">
        <f t="shared" si="250"/>
        <v>0</v>
      </c>
      <c r="CV229">
        <f t="shared" si="251"/>
        <v>0</v>
      </c>
      <c r="CW229">
        <f t="shared" si="252"/>
        <v>0</v>
      </c>
      <c r="CX229">
        <f t="shared" si="253"/>
        <v>0</v>
      </c>
      <c r="CY229">
        <f t="shared" si="254"/>
        <v>0</v>
      </c>
      <c r="CZ229">
        <f t="shared" si="255"/>
        <v>0</v>
      </c>
      <c r="DC229" t="s">
        <v>6</v>
      </c>
      <c r="DD229" t="s">
        <v>6</v>
      </c>
      <c r="DE229" t="s">
        <v>6</v>
      </c>
      <c r="DF229" t="s">
        <v>6</v>
      </c>
      <c r="DG229" t="s">
        <v>6</v>
      </c>
      <c r="DH229" t="s">
        <v>6</v>
      </c>
      <c r="DI229" t="s">
        <v>6</v>
      </c>
      <c r="DJ229" t="s">
        <v>6</v>
      </c>
      <c r="DK229" t="s">
        <v>6</v>
      </c>
      <c r="DL229" t="s">
        <v>6</v>
      </c>
      <c r="DM229" t="s">
        <v>6</v>
      </c>
      <c r="DN229">
        <v>0</v>
      </c>
      <c r="DO229">
        <v>0</v>
      </c>
      <c r="DP229">
        <v>1</v>
      </c>
      <c r="DQ229">
        <v>1</v>
      </c>
      <c r="DU229">
        <v>1009</v>
      </c>
      <c r="DV229" t="s">
        <v>118</v>
      </c>
      <c r="DW229" t="s">
        <v>118</v>
      </c>
      <c r="DX229">
        <v>1</v>
      </c>
      <c r="DZ229" t="s">
        <v>6</v>
      </c>
      <c r="EA229" t="s">
        <v>6</v>
      </c>
      <c r="EB229" t="s">
        <v>6</v>
      </c>
      <c r="EC229" t="s">
        <v>6</v>
      </c>
      <c r="EE229">
        <v>30852824</v>
      </c>
      <c r="EF229">
        <v>8</v>
      </c>
      <c r="EG229" t="s">
        <v>112</v>
      </c>
      <c r="EH229">
        <v>0</v>
      </c>
      <c r="EI229" t="s">
        <v>6</v>
      </c>
      <c r="EJ229">
        <v>1</v>
      </c>
      <c r="EK229">
        <v>500001</v>
      </c>
      <c r="EL229" t="s">
        <v>113</v>
      </c>
      <c r="EM229" t="s">
        <v>114</v>
      </c>
      <c r="EO229" t="s">
        <v>6</v>
      </c>
      <c r="EQ229">
        <v>0</v>
      </c>
      <c r="ER229">
        <v>19.59</v>
      </c>
      <c r="ES229">
        <v>19.59</v>
      </c>
      <c r="ET229">
        <v>0</v>
      </c>
      <c r="EU229">
        <v>0</v>
      </c>
      <c r="EV229">
        <v>0</v>
      </c>
      <c r="EW229">
        <v>0</v>
      </c>
      <c r="EX229">
        <v>0</v>
      </c>
      <c r="EY229">
        <v>0</v>
      </c>
      <c r="FQ229">
        <v>0</v>
      </c>
      <c r="FR229">
        <f t="shared" si="256"/>
        <v>0</v>
      </c>
      <c r="FS229">
        <v>0</v>
      </c>
      <c r="FX229">
        <v>0</v>
      </c>
      <c r="FY229">
        <v>0</v>
      </c>
      <c r="GA229" t="s">
        <v>6</v>
      </c>
      <c r="GD229">
        <v>1</v>
      </c>
      <c r="GF229">
        <v>-2137627051</v>
      </c>
      <c r="GG229">
        <v>2</v>
      </c>
      <c r="GH229">
        <v>1</v>
      </c>
      <c r="GI229">
        <v>4</v>
      </c>
      <c r="GJ229">
        <v>0</v>
      </c>
      <c r="GK229">
        <v>0</v>
      </c>
      <c r="GL229">
        <f t="shared" si="257"/>
        <v>0</v>
      </c>
      <c r="GM229">
        <f t="shared" si="258"/>
        <v>2595.2800000000002</v>
      </c>
      <c r="GN229">
        <f t="shared" si="259"/>
        <v>2595.2800000000002</v>
      </c>
      <c r="GO229">
        <f t="shared" si="260"/>
        <v>0</v>
      </c>
      <c r="GP229">
        <f t="shared" si="261"/>
        <v>0</v>
      </c>
      <c r="GR229">
        <v>0</v>
      </c>
      <c r="GS229">
        <v>3</v>
      </c>
      <c r="GT229">
        <v>0</v>
      </c>
      <c r="GU229" t="s">
        <v>6</v>
      </c>
      <c r="GV229">
        <f t="shared" si="262"/>
        <v>0</v>
      </c>
      <c r="GW229">
        <v>1</v>
      </c>
      <c r="GX229">
        <f t="shared" si="263"/>
        <v>0</v>
      </c>
      <c r="HA229">
        <v>0</v>
      </c>
      <c r="HB229">
        <v>0</v>
      </c>
      <c r="HC229">
        <f t="shared" si="264"/>
        <v>0</v>
      </c>
      <c r="HE229" t="s">
        <v>6</v>
      </c>
      <c r="HF229" t="s">
        <v>6</v>
      </c>
      <c r="HI229">
        <f t="shared" si="265"/>
        <v>0</v>
      </c>
      <c r="HJ229">
        <f t="shared" si="266"/>
        <v>0</v>
      </c>
      <c r="HK229">
        <f t="shared" si="267"/>
        <v>0</v>
      </c>
      <c r="HL229">
        <f t="shared" si="268"/>
        <v>0</v>
      </c>
      <c r="HM229" t="s">
        <v>6</v>
      </c>
      <c r="HN229" t="s">
        <v>6</v>
      </c>
      <c r="HO229" t="s">
        <v>6</v>
      </c>
      <c r="HP229" t="s">
        <v>6</v>
      </c>
      <c r="HQ229" t="s">
        <v>6</v>
      </c>
      <c r="IK229">
        <v>0</v>
      </c>
    </row>
    <row r="230" spans="1:245">
      <c r="A230">
        <v>17</v>
      </c>
      <c r="B230">
        <v>1</v>
      </c>
      <c r="C230">
        <f>ROW(SmtRes!A442)</f>
        <v>442</v>
      </c>
      <c r="D230">
        <f>ROW(EtalonRes!A467)</f>
        <v>467</v>
      </c>
      <c r="E230" t="s">
        <v>466</v>
      </c>
      <c r="F230" t="s">
        <v>467</v>
      </c>
      <c r="G230" t="s">
        <v>468</v>
      </c>
      <c r="H230" t="s">
        <v>469</v>
      </c>
      <c r="I230">
        <f>ROUND(144.87/100,7)</f>
        <v>1.4487000000000001</v>
      </c>
      <c r="J230">
        <v>0</v>
      </c>
      <c r="K230">
        <f>ROUND(144.87/100,7)</f>
        <v>1.4487000000000001</v>
      </c>
      <c r="O230">
        <f t="shared" si="228"/>
        <v>1157.19</v>
      </c>
      <c r="P230">
        <f t="shared" si="229"/>
        <v>449.59</v>
      </c>
      <c r="Q230">
        <f t="shared" si="230"/>
        <v>13.35</v>
      </c>
      <c r="R230">
        <f t="shared" si="231"/>
        <v>0</v>
      </c>
      <c r="S230">
        <f t="shared" si="232"/>
        <v>694.25</v>
      </c>
      <c r="T230">
        <f t="shared" si="233"/>
        <v>0</v>
      </c>
      <c r="U230">
        <f t="shared" si="234"/>
        <v>83.341900125000009</v>
      </c>
      <c r="V230">
        <f t="shared" si="235"/>
        <v>0</v>
      </c>
      <c r="W230">
        <f t="shared" si="236"/>
        <v>0</v>
      </c>
      <c r="X230">
        <f t="shared" si="237"/>
        <v>687.31</v>
      </c>
      <c r="Y230">
        <f t="shared" si="238"/>
        <v>407.18</v>
      </c>
      <c r="AA230">
        <v>31028412</v>
      </c>
      <c r="AB230">
        <f t="shared" si="239"/>
        <v>798.77547500000003</v>
      </c>
      <c r="AC230">
        <f t="shared" si="240"/>
        <v>310.33999999999997</v>
      </c>
      <c r="AD230">
        <f>ROUND(((((ET230*ROUND((1.25*1.15),7)))-((EU230*ROUND((1.25*1.15),7))))+AE230),6)</f>
        <v>9.2143750000000004</v>
      </c>
      <c r="AE230">
        <f>ROUND(((EU230*ROUND((1.25*1.15),7))),6)</f>
        <v>0</v>
      </c>
      <c r="AF230">
        <f>ROUND(((EV230*ROUND((1.15*1.15),7))),6)</f>
        <v>479.22109999999998</v>
      </c>
      <c r="AG230">
        <f t="shared" si="242"/>
        <v>0</v>
      </c>
      <c r="AH230">
        <f>((EW230*ROUND((1.15*1.15),7)))</f>
        <v>57.528750000000002</v>
      </c>
      <c r="AI230">
        <f>((EX230*ROUND((1.25*1.15),7)))</f>
        <v>0</v>
      </c>
      <c r="AJ230">
        <f t="shared" si="244"/>
        <v>0</v>
      </c>
      <c r="AK230">
        <v>679.11</v>
      </c>
      <c r="AL230">
        <v>310.33999999999997</v>
      </c>
      <c r="AM230">
        <v>6.41</v>
      </c>
      <c r="AN230">
        <v>0</v>
      </c>
      <c r="AO230">
        <v>362.36</v>
      </c>
      <c r="AP230">
        <v>0</v>
      </c>
      <c r="AQ230">
        <v>43.5</v>
      </c>
      <c r="AR230">
        <v>0</v>
      </c>
      <c r="AS230">
        <v>0</v>
      </c>
      <c r="AT230">
        <v>99</v>
      </c>
      <c r="AU230">
        <v>58.65</v>
      </c>
      <c r="AV230">
        <v>1</v>
      </c>
      <c r="AW230">
        <v>1</v>
      </c>
      <c r="AZ230">
        <v>1</v>
      </c>
      <c r="BA230">
        <v>24.22</v>
      </c>
      <c r="BB230">
        <v>1</v>
      </c>
      <c r="BC230">
        <v>1</v>
      </c>
      <c r="BD230" t="s">
        <v>6</v>
      </c>
      <c r="BE230" t="s">
        <v>6</v>
      </c>
      <c r="BF230" t="s">
        <v>6</v>
      </c>
      <c r="BG230" t="s">
        <v>6</v>
      </c>
      <c r="BH230">
        <v>0</v>
      </c>
      <c r="BI230">
        <v>1</v>
      </c>
      <c r="BJ230" t="s">
        <v>470</v>
      </c>
      <c r="BM230">
        <v>8001</v>
      </c>
      <c r="BN230">
        <v>0</v>
      </c>
      <c r="BO230" t="s">
        <v>1327</v>
      </c>
      <c r="BP230">
        <v>1</v>
      </c>
      <c r="BQ230">
        <v>2</v>
      </c>
      <c r="BR230">
        <v>0</v>
      </c>
      <c r="BS230">
        <v>24.22</v>
      </c>
      <c r="BT230">
        <v>1</v>
      </c>
      <c r="BU230">
        <v>1</v>
      </c>
      <c r="BV230">
        <v>1</v>
      </c>
      <c r="BW230">
        <v>1</v>
      </c>
      <c r="BX230">
        <v>1</v>
      </c>
      <c r="BY230" t="s">
        <v>6</v>
      </c>
      <c r="BZ230">
        <v>110</v>
      </c>
      <c r="CA230">
        <v>69</v>
      </c>
      <c r="CB230" t="s">
        <v>6</v>
      </c>
      <c r="CE230">
        <v>0</v>
      </c>
      <c r="CF230">
        <v>0</v>
      </c>
      <c r="CG230">
        <v>0</v>
      </c>
      <c r="CM230">
        <v>0</v>
      </c>
      <c r="CN230" t="s">
        <v>6</v>
      </c>
      <c r="CO230">
        <v>0</v>
      </c>
      <c r="CP230">
        <f t="shared" si="245"/>
        <v>1157.19</v>
      </c>
      <c r="CQ230">
        <f t="shared" si="246"/>
        <v>310.33999999999997</v>
      </c>
      <c r="CR230">
        <f t="shared" si="247"/>
        <v>9.2143750000000004</v>
      </c>
      <c r="CS230">
        <f t="shared" si="248"/>
        <v>0</v>
      </c>
      <c r="CT230">
        <f t="shared" si="249"/>
        <v>479.22109999999998</v>
      </c>
      <c r="CU230">
        <f t="shared" si="250"/>
        <v>0</v>
      </c>
      <c r="CV230">
        <f t="shared" si="251"/>
        <v>57.528750000000002</v>
      </c>
      <c r="CW230">
        <f t="shared" si="252"/>
        <v>0</v>
      </c>
      <c r="CX230">
        <f t="shared" si="253"/>
        <v>0</v>
      </c>
      <c r="CY230">
        <f t="shared" si="254"/>
        <v>687.3075</v>
      </c>
      <c r="CZ230">
        <f t="shared" si="255"/>
        <v>407.17762499999998</v>
      </c>
      <c r="DC230" t="s">
        <v>6</v>
      </c>
      <c r="DD230" t="s">
        <v>6</v>
      </c>
      <c r="DE230" t="s">
        <v>126</v>
      </c>
      <c r="DF230" t="s">
        <v>126</v>
      </c>
      <c r="DG230" t="s">
        <v>127</v>
      </c>
      <c r="DH230" t="s">
        <v>6</v>
      </c>
      <c r="DI230" t="s">
        <v>127</v>
      </c>
      <c r="DJ230" t="s">
        <v>126</v>
      </c>
      <c r="DK230" t="s">
        <v>6</v>
      </c>
      <c r="DL230" t="s">
        <v>6</v>
      </c>
      <c r="DM230" t="s">
        <v>6</v>
      </c>
      <c r="DN230">
        <v>0</v>
      </c>
      <c r="DO230">
        <v>0</v>
      </c>
      <c r="DP230">
        <v>1</v>
      </c>
      <c r="DQ230">
        <v>1</v>
      </c>
      <c r="DU230">
        <v>1013</v>
      </c>
      <c r="DV230" t="s">
        <v>469</v>
      </c>
      <c r="DW230" t="s">
        <v>469</v>
      </c>
      <c r="DX230">
        <v>1</v>
      </c>
      <c r="DZ230" t="s">
        <v>6</v>
      </c>
      <c r="EA230" t="s">
        <v>6</v>
      </c>
      <c r="EB230" t="s">
        <v>6</v>
      </c>
      <c r="EC230" t="s">
        <v>6</v>
      </c>
      <c r="EE230">
        <v>30852902</v>
      </c>
      <c r="EF230">
        <v>2</v>
      </c>
      <c r="EG230" t="s">
        <v>26</v>
      </c>
      <c r="EH230">
        <v>0</v>
      </c>
      <c r="EI230" t="s">
        <v>6</v>
      </c>
      <c r="EJ230">
        <v>1</v>
      </c>
      <c r="EK230">
        <v>8001</v>
      </c>
      <c r="EL230" t="s">
        <v>211</v>
      </c>
      <c r="EM230" t="s">
        <v>212</v>
      </c>
      <c r="EO230" t="s">
        <v>6</v>
      </c>
      <c r="EQ230">
        <v>131072</v>
      </c>
      <c r="ER230">
        <v>679.11</v>
      </c>
      <c r="ES230">
        <v>310.33999999999997</v>
      </c>
      <c r="ET230">
        <v>6.41</v>
      </c>
      <c r="EU230">
        <v>0</v>
      </c>
      <c r="EV230">
        <v>362.36</v>
      </c>
      <c r="EW230">
        <v>43.5</v>
      </c>
      <c r="EX230">
        <v>0</v>
      </c>
      <c r="EY230">
        <v>0</v>
      </c>
      <c r="FQ230">
        <v>0</v>
      </c>
      <c r="FR230">
        <f t="shared" si="256"/>
        <v>0</v>
      </c>
      <c r="FS230">
        <v>0</v>
      </c>
      <c r="FT230" t="s">
        <v>29</v>
      </c>
      <c r="FU230" t="s">
        <v>30</v>
      </c>
      <c r="FX230">
        <v>99</v>
      </c>
      <c r="FY230">
        <v>58.65</v>
      </c>
      <c r="GA230" t="s">
        <v>6</v>
      </c>
      <c r="GD230">
        <v>1</v>
      </c>
      <c r="GF230">
        <v>-2035902389</v>
      </c>
      <c r="GG230">
        <v>2</v>
      </c>
      <c r="GH230">
        <v>1</v>
      </c>
      <c r="GI230">
        <v>4</v>
      </c>
      <c r="GJ230">
        <v>0</v>
      </c>
      <c r="GK230">
        <v>0</v>
      </c>
      <c r="GL230">
        <f t="shared" si="257"/>
        <v>0</v>
      </c>
      <c r="GM230">
        <f t="shared" si="258"/>
        <v>2251.6799999999998</v>
      </c>
      <c r="GN230">
        <f t="shared" si="259"/>
        <v>2251.6799999999998</v>
      </c>
      <c r="GO230">
        <f t="shared" si="260"/>
        <v>0</v>
      </c>
      <c r="GP230">
        <f t="shared" si="261"/>
        <v>0</v>
      </c>
      <c r="GR230">
        <v>0</v>
      </c>
      <c r="GS230">
        <v>0</v>
      </c>
      <c r="GT230">
        <v>0</v>
      </c>
      <c r="GU230" t="s">
        <v>6</v>
      </c>
      <c r="GV230">
        <f t="shared" si="262"/>
        <v>0</v>
      </c>
      <c r="GW230">
        <v>1</v>
      </c>
      <c r="GX230">
        <f t="shared" si="263"/>
        <v>0</v>
      </c>
      <c r="HA230">
        <v>0</v>
      </c>
      <c r="HB230">
        <v>0</v>
      </c>
      <c r="HC230">
        <f t="shared" si="264"/>
        <v>0</v>
      </c>
      <c r="HE230" t="s">
        <v>6</v>
      </c>
      <c r="HF230" t="s">
        <v>6</v>
      </c>
      <c r="HI230">
        <f t="shared" si="265"/>
        <v>0</v>
      </c>
      <c r="HJ230">
        <f t="shared" si="266"/>
        <v>16815</v>
      </c>
      <c r="HK230">
        <f t="shared" si="267"/>
        <v>16647</v>
      </c>
      <c r="HL230">
        <f t="shared" si="268"/>
        <v>9862</v>
      </c>
      <c r="HM230" t="s">
        <v>6</v>
      </c>
      <c r="HN230" t="s">
        <v>6</v>
      </c>
      <c r="HO230" t="s">
        <v>6</v>
      </c>
      <c r="HP230" t="s">
        <v>6</v>
      </c>
      <c r="HQ230" t="s">
        <v>6</v>
      </c>
      <c r="IK230">
        <v>0</v>
      </c>
    </row>
    <row r="231" spans="1:245">
      <c r="A231">
        <v>17</v>
      </c>
      <c r="B231">
        <v>1</v>
      </c>
      <c r="C231">
        <f>ROW(SmtRes!A446)</f>
        <v>446</v>
      </c>
      <c r="D231">
        <f>ROW(EtalonRes!A471)</f>
        <v>471</v>
      </c>
      <c r="E231" t="s">
        <v>471</v>
      </c>
      <c r="F231" t="s">
        <v>201</v>
      </c>
      <c r="G231" t="s">
        <v>202</v>
      </c>
      <c r="H231" t="s">
        <v>203</v>
      </c>
      <c r="I231">
        <v>15</v>
      </c>
      <c r="J231">
        <v>0</v>
      </c>
      <c r="K231">
        <v>15</v>
      </c>
      <c r="O231">
        <f t="shared" si="228"/>
        <v>3004.09</v>
      </c>
      <c r="P231">
        <f t="shared" si="229"/>
        <v>0</v>
      </c>
      <c r="Q231">
        <f t="shared" si="230"/>
        <v>1788.83</v>
      </c>
      <c r="R231">
        <f t="shared" si="231"/>
        <v>192.68</v>
      </c>
      <c r="S231">
        <f t="shared" si="232"/>
        <v>1215.26</v>
      </c>
      <c r="T231">
        <f t="shared" si="233"/>
        <v>0</v>
      </c>
      <c r="U231">
        <f t="shared" si="234"/>
        <v>142.13999999999999</v>
      </c>
      <c r="V231">
        <f t="shared" si="235"/>
        <v>19.837499999999999</v>
      </c>
      <c r="W231">
        <f t="shared" si="236"/>
        <v>0</v>
      </c>
      <c r="X231">
        <f t="shared" si="237"/>
        <v>1281.23</v>
      </c>
      <c r="Y231">
        <f t="shared" si="238"/>
        <v>1281.23</v>
      </c>
      <c r="AA231">
        <v>31028412</v>
      </c>
      <c r="AB231">
        <f t="shared" si="239"/>
        <v>200.27250000000001</v>
      </c>
      <c r="AC231">
        <f t="shared" si="240"/>
        <v>0</v>
      </c>
      <c r="AD231">
        <f>ROUND(((((ET231*ROUND(1.15,7)))-((EU231*ROUND(1.15,7))))+AE231),6)</f>
        <v>119.255</v>
      </c>
      <c r="AE231">
        <f>ROUND(((EU231*ROUND(1.15,7))),6)</f>
        <v>12.845499999999999</v>
      </c>
      <c r="AF231">
        <f>ROUND(((EV231*ROUND(1.15,7))),6)</f>
        <v>81.017499999999998</v>
      </c>
      <c r="AG231">
        <f t="shared" si="242"/>
        <v>0</v>
      </c>
      <c r="AH231">
        <f>((EW231*ROUND(1.15,7)))</f>
        <v>9.4759999999999991</v>
      </c>
      <c r="AI231">
        <f>((EX231*ROUND(1.15,7)))</f>
        <v>1.3224999999999998</v>
      </c>
      <c r="AJ231">
        <f t="shared" si="244"/>
        <v>0</v>
      </c>
      <c r="AK231">
        <v>174.15</v>
      </c>
      <c r="AL231">
        <v>0</v>
      </c>
      <c r="AM231">
        <v>103.7</v>
      </c>
      <c r="AN231">
        <v>11.17</v>
      </c>
      <c r="AO231">
        <v>70.45</v>
      </c>
      <c r="AP231">
        <v>0</v>
      </c>
      <c r="AQ231">
        <v>8.24</v>
      </c>
      <c r="AR231">
        <v>1.1499999999999999</v>
      </c>
      <c r="AS231">
        <v>0</v>
      </c>
      <c r="AT231">
        <v>91</v>
      </c>
      <c r="AU231">
        <v>91</v>
      </c>
      <c r="AV231">
        <v>1</v>
      </c>
      <c r="AW231">
        <v>1</v>
      </c>
      <c r="AZ231">
        <v>1</v>
      </c>
      <c r="BA231">
        <v>24.22</v>
      </c>
      <c r="BB231">
        <v>1</v>
      </c>
      <c r="BC231">
        <v>1</v>
      </c>
      <c r="BD231" t="s">
        <v>6</v>
      </c>
      <c r="BE231" t="s">
        <v>6</v>
      </c>
      <c r="BF231" t="s">
        <v>6</v>
      </c>
      <c r="BG231" t="s">
        <v>6</v>
      </c>
      <c r="BH231">
        <v>0</v>
      </c>
      <c r="BI231">
        <v>1</v>
      </c>
      <c r="BJ231" t="s">
        <v>204</v>
      </c>
      <c r="BM231">
        <v>46003</v>
      </c>
      <c r="BN231">
        <v>0</v>
      </c>
      <c r="BO231" t="s">
        <v>1327</v>
      </c>
      <c r="BP231">
        <v>1</v>
      </c>
      <c r="BQ231">
        <v>2</v>
      </c>
      <c r="BR231">
        <v>0</v>
      </c>
      <c r="BS231">
        <v>24.22</v>
      </c>
      <c r="BT231">
        <v>1</v>
      </c>
      <c r="BU231">
        <v>1</v>
      </c>
      <c r="BV231">
        <v>1</v>
      </c>
      <c r="BW231">
        <v>1</v>
      </c>
      <c r="BX231">
        <v>1</v>
      </c>
      <c r="BY231" t="s">
        <v>6</v>
      </c>
      <c r="BZ231">
        <v>91</v>
      </c>
      <c r="CA231">
        <v>52</v>
      </c>
      <c r="CB231" t="s">
        <v>6</v>
      </c>
      <c r="CE231">
        <v>0</v>
      </c>
      <c r="CF231">
        <v>0</v>
      </c>
      <c r="CG231">
        <v>0</v>
      </c>
      <c r="CM231">
        <v>0</v>
      </c>
      <c r="CN231" t="s">
        <v>6</v>
      </c>
      <c r="CO231">
        <v>0</v>
      </c>
      <c r="CP231">
        <f t="shared" si="245"/>
        <v>3004.09</v>
      </c>
      <c r="CQ231">
        <f t="shared" si="246"/>
        <v>0</v>
      </c>
      <c r="CR231">
        <f t="shared" si="247"/>
        <v>119.255</v>
      </c>
      <c r="CS231">
        <f t="shared" si="248"/>
        <v>12.845499999999999</v>
      </c>
      <c r="CT231">
        <f t="shared" si="249"/>
        <v>81.017499999999998</v>
      </c>
      <c r="CU231">
        <f t="shared" si="250"/>
        <v>0</v>
      </c>
      <c r="CV231">
        <f t="shared" si="251"/>
        <v>9.4759999999999991</v>
      </c>
      <c r="CW231">
        <f t="shared" si="252"/>
        <v>1.3224999999999998</v>
      </c>
      <c r="CX231">
        <f t="shared" si="253"/>
        <v>0</v>
      </c>
      <c r="CY231">
        <f t="shared" si="254"/>
        <v>1281.2254</v>
      </c>
      <c r="CZ231">
        <f t="shared" si="255"/>
        <v>1281.2254</v>
      </c>
      <c r="DC231" t="s">
        <v>6</v>
      </c>
      <c r="DD231" t="s">
        <v>6</v>
      </c>
      <c r="DE231" t="s">
        <v>36</v>
      </c>
      <c r="DF231" t="s">
        <v>36</v>
      </c>
      <c r="DG231" t="s">
        <v>36</v>
      </c>
      <c r="DH231" t="s">
        <v>6</v>
      </c>
      <c r="DI231" t="s">
        <v>36</v>
      </c>
      <c r="DJ231" t="s">
        <v>36</v>
      </c>
      <c r="DK231" t="s">
        <v>6</v>
      </c>
      <c r="DL231" t="s">
        <v>6</v>
      </c>
      <c r="DM231" t="s">
        <v>6</v>
      </c>
      <c r="DN231">
        <v>0</v>
      </c>
      <c r="DO231">
        <v>0</v>
      </c>
      <c r="DP231">
        <v>1</v>
      </c>
      <c r="DQ231">
        <v>1</v>
      </c>
      <c r="DU231">
        <v>1013</v>
      </c>
      <c r="DV231" t="s">
        <v>203</v>
      </c>
      <c r="DW231" t="s">
        <v>203</v>
      </c>
      <c r="DX231">
        <v>1</v>
      </c>
      <c r="DZ231" t="s">
        <v>6</v>
      </c>
      <c r="EA231" t="s">
        <v>6</v>
      </c>
      <c r="EB231" t="s">
        <v>6</v>
      </c>
      <c r="EC231" t="s">
        <v>6</v>
      </c>
      <c r="EE231">
        <v>30853204</v>
      </c>
      <c r="EF231">
        <v>2</v>
      </c>
      <c r="EG231" t="s">
        <v>26</v>
      </c>
      <c r="EH231">
        <v>0</v>
      </c>
      <c r="EI231" t="s">
        <v>6</v>
      </c>
      <c r="EJ231">
        <v>1</v>
      </c>
      <c r="EK231">
        <v>46003</v>
      </c>
      <c r="EL231" t="s">
        <v>205</v>
      </c>
      <c r="EM231" t="s">
        <v>206</v>
      </c>
      <c r="EO231" t="s">
        <v>6</v>
      </c>
      <c r="EQ231">
        <v>131072</v>
      </c>
      <c r="ER231">
        <v>174.15</v>
      </c>
      <c r="ES231">
        <v>0</v>
      </c>
      <c r="ET231">
        <v>103.7</v>
      </c>
      <c r="EU231">
        <v>11.17</v>
      </c>
      <c r="EV231">
        <v>70.45</v>
      </c>
      <c r="EW231">
        <v>8.24</v>
      </c>
      <c r="EX231">
        <v>1.1499999999999999</v>
      </c>
      <c r="EY231">
        <v>0</v>
      </c>
      <c r="FQ231">
        <v>0</v>
      </c>
      <c r="FR231">
        <f t="shared" si="256"/>
        <v>0</v>
      </c>
      <c r="FS231">
        <v>0</v>
      </c>
      <c r="FX231">
        <v>91</v>
      </c>
      <c r="FY231">
        <v>91</v>
      </c>
      <c r="GA231" t="s">
        <v>6</v>
      </c>
      <c r="GD231">
        <v>1</v>
      </c>
      <c r="GF231">
        <v>1198658066</v>
      </c>
      <c r="GG231">
        <v>2</v>
      </c>
      <c r="GH231">
        <v>1</v>
      </c>
      <c r="GI231">
        <v>4</v>
      </c>
      <c r="GJ231">
        <v>0</v>
      </c>
      <c r="GK231">
        <v>0</v>
      </c>
      <c r="GL231">
        <f t="shared" si="257"/>
        <v>0</v>
      </c>
      <c r="GM231">
        <f t="shared" si="258"/>
        <v>5566.55</v>
      </c>
      <c r="GN231">
        <f t="shared" si="259"/>
        <v>5566.55</v>
      </c>
      <c r="GO231">
        <f t="shared" si="260"/>
        <v>0</v>
      </c>
      <c r="GP231">
        <f t="shared" si="261"/>
        <v>0</v>
      </c>
      <c r="GR231">
        <v>0</v>
      </c>
      <c r="GS231">
        <v>0</v>
      </c>
      <c r="GT231">
        <v>0</v>
      </c>
      <c r="GU231" t="s">
        <v>6</v>
      </c>
      <c r="GV231">
        <f t="shared" si="262"/>
        <v>0</v>
      </c>
      <c r="GW231">
        <v>1</v>
      </c>
      <c r="GX231">
        <f t="shared" si="263"/>
        <v>0</v>
      </c>
      <c r="HA231">
        <v>0</v>
      </c>
      <c r="HB231">
        <v>0</v>
      </c>
      <c r="HC231">
        <f t="shared" si="264"/>
        <v>0</v>
      </c>
      <c r="HE231" t="s">
        <v>6</v>
      </c>
      <c r="HF231" t="s">
        <v>6</v>
      </c>
      <c r="HI231">
        <f t="shared" si="265"/>
        <v>4667</v>
      </c>
      <c r="HJ231">
        <f t="shared" si="266"/>
        <v>29434</v>
      </c>
      <c r="HK231">
        <f t="shared" si="267"/>
        <v>31032</v>
      </c>
      <c r="HL231">
        <f t="shared" si="268"/>
        <v>31032</v>
      </c>
      <c r="HM231" t="s">
        <v>6</v>
      </c>
      <c r="HN231" t="s">
        <v>6</v>
      </c>
      <c r="HO231" t="s">
        <v>6</v>
      </c>
      <c r="HP231" t="s">
        <v>6</v>
      </c>
      <c r="HQ231" t="s">
        <v>6</v>
      </c>
      <c r="IK231">
        <v>0</v>
      </c>
    </row>
    <row r="232" spans="1:245">
      <c r="A232">
        <v>17</v>
      </c>
      <c r="B232">
        <v>1</v>
      </c>
      <c r="C232">
        <f>ROW(SmtRes!A468)</f>
        <v>468</v>
      </c>
      <c r="D232">
        <f>ROW(EtalonRes!A493)</f>
        <v>493</v>
      </c>
      <c r="E232" t="s">
        <v>472</v>
      </c>
      <c r="F232" t="s">
        <v>473</v>
      </c>
      <c r="G232" t="s">
        <v>474</v>
      </c>
      <c r="H232" t="s">
        <v>475</v>
      </c>
      <c r="I232">
        <f>ROUND(78.8/1000,7)</f>
        <v>7.8799999999999995E-2</v>
      </c>
      <c r="J232">
        <v>0</v>
      </c>
      <c r="K232">
        <f>ROUND(78.8/1000,7)</f>
        <v>7.8799999999999995E-2</v>
      </c>
      <c r="O232">
        <f t="shared" si="228"/>
        <v>82.56</v>
      </c>
      <c r="P232">
        <f t="shared" si="229"/>
        <v>0</v>
      </c>
      <c r="Q232">
        <f t="shared" si="230"/>
        <v>45.5</v>
      </c>
      <c r="R232">
        <f t="shared" si="231"/>
        <v>3.64</v>
      </c>
      <c r="S232">
        <f t="shared" si="232"/>
        <v>37.06</v>
      </c>
      <c r="T232">
        <f t="shared" si="233"/>
        <v>0</v>
      </c>
      <c r="U232">
        <f t="shared" si="234"/>
        <v>4.3909014800000001</v>
      </c>
      <c r="V232">
        <f t="shared" si="235"/>
        <v>0.26198241999999999</v>
      </c>
      <c r="W232">
        <f t="shared" si="236"/>
        <v>0</v>
      </c>
      <c r="X232">
        <f t="shared" si="237"/>
        <v>34.07</v>
      </c>
      <c r="Y232">
        <f t="shared" si="238"/>
        <v>21.45</v>
      </c>
      <c r="AA232">
        <v>31028412</v>
      </c>
      <c r="AB232">
        <f t="shared" si="239"/>
        <v>1047.7236</v>
      </c>
      <c r="AC232">
        <f>ROUND(((ES232*ROUND(0,7))),6)</f>
        <v>0</v>
      </c>
      <c r="AD232">
        <f>ROUND(((((ET232*ROUND((0.7*1.15),7)))-((EU232*ROUND((0.7*1.15),7))))+AE232),6)</f>
        <v>577.42650000000003</v>
      </c>
      <c r="AE232">
        <f>ROUND(((EU232*ROUND((0.7*1.15),7))),6)</f>
        <v>46.215049999999998</v>
      </c>
      <c r="AF232">
        <f>ROUND(((EV232*ROUND((0.7*1.15),7))),6)</f>
        <v>470.2971</v>
      </c>
      <c r="AG232">
        <f t="shared" si="242"/>
        <v>0</v>
      </c>
      <c r="AH232">
        <f>((EW232*ROUND((0.7*1.15),7)))</f>
        <v>55.722100000000005</v>
      </c>
      <c r="AI232">
        <f>((EX232*ROUND((0.7*1.15),7)))</f>
        <v>3.3246500000000001</v>
      </c>
      <c r="AJ232">
        <f t="shared" si="244"/>
        <v>0</v>
      </c>
      <c r="AK232">
        <v>1533.26</v>
      </c>
      <c r="AL232">
        <v>231.74</v>
      </c>
      <c r="AM232">
        <v>717.3</v>
      </c>
      <c r="AN232">
        <v>57.41</v>
      </c>
      <c r="AO232">
        <v>584.22</v>
      </c>
      <c r="AP232">
        <v>0</v>
      </c>
      <c r="AQ232">
        <v>69.22</v>
      </c>
      <c r="AR232">
        <v>4.13</v>
      </c>
      <c r="AS232">
        <v>0</v>
      </c>
      <c r="AT232">
        <v>83.7</v>
      </c>
      <c r="AU232">
        <v>52.7</v>
      </c>
      <c r="AV232">
        <v>1</v>
      </c>
      <c r="AW232">
        <v>1</v>
      </c>
      <c r="AZ232">
        <v>1</v>
      </c>
      <c r="BA232">
        <v>24.22</v>
      </c>
      <c r="BB232">
        <v>1</v>
      </c>
      <c r="BC232">
        <v>1</v>
      </c>
      <c r="BD232" t="s">
        <v>6</v>
      </c>
      <c r="BE232" t="s">
        <v>6</v>
      </c>
      <c r="BF232" t="s">
        <v>6</v>
      </c>
      <c r="BG232" t="s">
        <v>6</v>
      </c>
      <c r="BH232">
        <v>0</v>
      </c>
      <c r="BI232">
        <v>1</v>
      </c>
      <c r="BJ232" t="s">
        <v>476</v>
      </c>
      <c r="BM232">
        <v>9001</v>
      </c>
      <c r="BN232">
        <v>0</v>
      </c>
      <c r="BO232" t="s">
        <v>1327</v>
      </c>
      <c r="BP232">
        <v>1</v>
      </c>
      <c r="BQ232">
        <v>2</v>
      </c>
      <c r="BR232">
        <v>0</v>
      </c>
      <c r="BS232">
        <v>24.22</v>
      </c>
      <c r="BT232">
        <v>1</v>
      </c>
      <c r="BU232">
        <v>1</v>
      </c>
      <c r="BV232">
        <v>1</v>
      </c>
      <c r="BW232">
        <v>1</v>
      </c>
      <c r="BX232">
        <v>1</v>
      </c>
      <c r="BY232" t="s">
        <v>6</v>
      </c>
      <c r="BZ232">
        <v>93</v>
      </c>
      <c r="CA232">
        <v>62</v>
      </c>
      <c r="CB232" t="s">
        <v>6</v>
      </c>
      <c r="CE232">
        <v>0</v>
      </c>
      <c r="CF232">
        <v>0</v>
      </c>
      <c r="CG232">
        <v>0</v>
      </c>
      <c r="CM232">
        <v>0</v>
      </c>
      <c r="CN232" t="s">
        <v>6</v>
      </c>
      <c r="CO232">
        <v>0</v>
      </c>
      <c r="CP232">
        <f t="shared" si="245"/>
        <v>82.56</v>
      </c>
      <c r="CQ232">
        <f t="shared" si="246"/>
        <v>0</v>
      </c>
      <c r="CR232">
        <f t="shared" si="247"/>
        <v>577.42650000000003</v>
      </c>
      <c r="CS232">
        <f t="shared" si="248"/>
        <v>46.215049999999998</v>
      </c>
      <c r="CT232">
        <f t="shared" si="249"/>
        <v>470.2971</v>
      </c>
      <c r="CU232">
        <f t="shared" si="250"/>
        <v>0</v>
      </c>
      <c r="CV232">
        <f t="shared" si="251"/>
        <v>55.722100000000005</v>
      </c>
      <c r="CW232">
        <f t="shared" si="252"/>
        <v>3.3246500000000001</v>
      </c>
      <c r="CX232">
        <f t="shared" si="253"/>
        <v>0</v>
      </c>
      <c r="CY232">
        <f t="shared" si="254"/>
        <v>34.065899999999999</v>
      </c>
      <c r="CZ232">
        <f t="shared" si="255"/>
        <v>21.448900000000002</v>
      </c>
      <c r="DC232" t="s">
        <v>6</v>
      </c>
      <c r="DD232" t="s">
        <v>24</v>
      </c>
      <c r="DE232" t="s">
        <v>477</v>
      </c>
      <c r="DF232" t="s">
        <v>477</v>
      </c>
      <c r="DG232" t="s">
        <v>477</v>
      </c>
      <c r="DH232" t="s">
        <v>6</v>
      </c>
      <c r="DI232" t="s">
        <v>477</v>
      </c>
      <c r="DJ232" t="s">
        <v>477</v>
      </c>
      <c r="DK232" t="s">
        <v>6</v>
      </c>
      <c r="DL232" t="s">
        <v>6</v>
      </c>
      <c r="DM232" t="s">
        <v>6</v>
      </c>
      <c r="DN232">
        <v>0</v>
      </c>
      <c r="DO232">
        <v>0</v>
      </c>
      <c r="DP232">
        <v>1</v>
      </c>
      <c r="DQ232">
        <v>1</v>
      </c>
      <c r="DU232">
        <v>1013</v>
      </c>
      <c r="DV232" t="s">
        <v>475</v>
      </c>
      <c r="DW232" t="s">
        <v>475</v>
      </c>
      <c r="DX232">
        <v>1</v>
      </c>
      <c r="DZ232" t="s">
        <v>6</v>
      </c>
      <c r="EA232" t="s">
        <v>6</v>
      </c>
      <c r="EB232" t="s">
        <v>6</v>
      </c>
      <c r="EC232" t="s">
        <v>6</v>
      </c>
      <c r="EE232">
        <v>30852903</v>
      </c>
      <c r="EF232">
        <v>2</v>
      </c>
      <c r="EG232" t="s">
        <v>26</v>
      </c>
      <c r="EH232">
        <v>0</v>
      </c>
      <c r="EI232" t="s">
        <v>6</v>
      </c>
      <c r="EJ232">
        <v>1</v>
      </c>
      <c r="EK232">
        <v>9001</v>
      </c>
      <c r="EL232" t="s">
        <v>478</v>
      </c>
      <c r="EM232" t="s">
        <v>479</v>
      </c>
      <c r="EO232" t="s">
        <v>6</v>
      </c>
      <c r="EQ232">
        <v>131072</v>
      </c>
      <c r="ER232">
        <v>1533.26</v>
      </c>
      <c r="ES232">
        <v>231.74</v>
      </c>
      <c r="ET232">
        <v>717.3</v>
      </c>
      <c r="EU232">
        <v>57.41</v>
      </c>
      <c r="EV232">
        <v>584.22</v>
      </c>
      <c r="EW232">
        <v>69.22</v>
      </c>
      <c r="EX232">
        <v>4.13</v>
      </c>
      <c r="EY232">
        <v>0</v>
      </c>
      <c r="FQ232">
        <v>0</v>
      </c>
      <c r="FR232">
        <f t="shared" si="256"/>
        <v>0</v>
      </c>
      <c r="FS232">
        <v>0</v>
      </c>
      <c r="FT232" t="s">
        <v>29</v>
      </c>
      <c r="FU232" t="s">
        <v>30</v>
      </c>
      <c r="FX232">
        <v>83.7</v>
      </c>
      <c r="FY232">
        <v>52.7</v>
      </c>
      <c r="GA232" t="s">
        <v>6</v>
      </c>
      <c r="GD232">
        <v>1</v>
      </c>
      <c r="GF232">
        <v>786559543</v>
      </c>
      <c r="GG232">
        <v>2</v>
      </c>
      <c r="GH232">
        <v>1</v>
      </c>
      <c r="GI232">
        <v>4</v>
      </c>
      <c r="GJ232">
        <v>0</v>
      </c>
      <c r="GK232">
        <v>0</v>
      </c>
      <c r="GL232">
        <f t="shared" si="257"/>
        <v>0</v>
      </c>
      <c r="GM232">
        <f t="shared" si="258"/>
        <v>138.08000000000001</v>
      </c>
      <c r="GN232">
        <f t="shared" si="259"/>
        <v>138.08000000000001</v>
      </c>
      <c r="GO232">
        <f t="shared" si="260"/>
        <v>0</v>
      </c>
      <c r="GP232">
        <f t="shared" si="261"/>
        <v>0</v>
      </c>
      <c r="GR232">
        <v>0</v>
      </c>
      <c r="GS232">
        <v>0</v>
      </c>
      <c r="GT232">
        <v>0</v>
      </c>
      <c r="GU232" t="s">
        <v>6</v>
      </c>
      <c r="GV232">
        <f t="shared" si="262"/>
        <v>0</v>
      </c>
      <c r="GW232">
        <v>1</v>
      </c>
      <c r="GX232">
        <f t="shared" si="263"/>
        <v>0</v>
      </c>
      <c r="HA232">
        <v>0</v>
      </c>
      <c r="HB232">
        <v>0</v>
      </c>
      <c r="HC232">
        <f t="shared" si="264"/>
        <v>0</v>
      </c>
      <c r="HE232" t="s">
        <v>6</v>
      </c>
      <c r="HF232" t="s">
        <v>6</v>
      </c>
      <c r="HI232">
        <f t="shared" si="265"/>
        <v>88</v>
      </c>
      <c r="HJ232">
        <f t="shared" si="266"/>
        <v>898</v>
      </c>
      <c r="HK232">
        <f t="shared" si="267"/>
        <v>825</v>
      </c>
      <c r="HL232">
        <f t="shared" si="268"/>
        <v>520</v>
      </c>
      <c r="HM232" t="s">
        <v>6</v>
      </c>
      <c r="HN232" t="s">
        <v>6</v>
      </c>
      <c r="HO232" t="s">
        <v>6</v>
      </c>
      <c r="HP232" t="s">
        <v>6</v>
      </c>
      <c r="HQ232" t="s">
        <v>6</v>
      </c>
      <c r="IK232">
        <v>0</v>
      </c>
    </row>
    <row r="233" spans="1:245">
      <c r="A233">
        <v>17</v>
      </c>
      <c r="B233">
        <v>1</v>
      </c>
      <c r="C233">
        <f>ROW(SmtRes!A471)</f>
        <v>471</v>
      </c>
      <c r="D233">
        <f>ROW(EtalonRes!A496)</f>
        <v>496</v>
      </c>
      <c r="E233" t="s">
        <v>480</v>
      </c>
      <c r="F233" t="s">
        <v>481</v>
      </c>
      <c r="G233" t="s">
        <v>482</v>
      </c>
      <c r="H233" t="s">
        <v>483</v>
      </c>
      <c r="I233">
        <f>ROUND(300*4/100,7)</f>
        <v>12</v>
      </c>
      <c r="J233">
        <v>0</v>
      </c>
      <c r="K233">
        <f>ROUND(300*4/100,7)</f>
        <v>12</v>
      </c>
      <c r="O233">
        <f t="shared" si="228"/>
        <v>1006.02</v>
      </c>
      <c r="P233">
        <f t="shared" si="229"/>
        <v>0</v>
      </c>
      <c r="Q233">
        <f t="shared" si="230"/>
        <v>4.28</v>
      </c>
      <c r="R233">
        <f t="shared" si="231"/>
        <v>1.79</v>
      </c>
      <c r="S233">
        <f t="shared" si="232"/>
        <v>1001.74</v>
      </c>
      <c r="T233">
        <f t="shared" si="233"/>
        <v>0</v>
      </c>
      <c r="U233">
        <f t="shared" si="234"/>
        <v>133.03200000000001</v>
      </c>
      <c r="V233">
        <f t="shared" si="235"/>
        <v>0.13800000000000001</v>
      </c>
      <c r="W233">
        <f t="shared" si="236"/>
        <v>0</v>
      </c>
      <c r="X233">
        <f t="shared" si="237"/>
        <v>913.21</v>
      </c>
      <c r="Y233">
        <f t="shared" si="238"/>
        <v>481.69</v>
      </c>
      <c r="AA233">
        <v>31028412</v>
      </c>
      <c r="AB233">
        <f t="shared" si="239"/>
        <v>83.834999999999994</v>
      </c>
      <c r="AC233">
        <f>ROUND((ES233),6)</f>
        <v>0</v>
      </c>
      <c r="AD233">
        <f>ROUND(((((ET233*ROUND(1.15,7)))-((EU233*ROUND(1.15,7))))+AE233),6)</f>
        <v>0.35649999999999998</v>
      </c>
      <c r="AE233">
        <f>ROUND(((EU233*ROUND(1.15,7))),6)</f>
        <v>0.14949999999999999</v>
      </c>
      <c r="AF233">
        <f>ROUND(((EV233*ROUND(1.15,7))),6)</f>
        <v>83.478499999999997</v>
      </c>
      <c r="AG233">
        <f t="shared" si="242"/>
        <v>0</v>
      </c>
      <c r="AH233">
        <f>((EW233*ROUND(1.15,7)))</f>
        <v>11.086</v>
      </c>
      <c r="AI233">
        <f>((EX233*ROUND(1.15,7)))</f>
        <v>1.15E-2</v>
      </c>
      <c r="AJ233">
        <f t="shared" si="244"/>
        <v>0</v>
      </c>
      <c r="AK233">
        <v>72.900000000000006</v>
      </c>
      <c r="AL233">
        <v>0</v>
      </c>
      <c r="AM233">
        <v>0.31</v>
      </c>
      <c r="AN233">
        <v>0.13</v>
      </c>
      <c r="AO233">
        <v>72.59</v>
      </c>
      <c r="AP233">
        <v>0</v>
      </c>
      <c r="AQ233">
        <v>9.64</v>
      </c>
      <c r="AR233">
        <v>0.01</v>
      </c>
      <c r="AS233">
        <v>0</v>
      </c>
      <c r="AT233">
        <v>91</v>
      </c>
      <c r="AU233">
        <v>48</v>
      </c>
      <c r="AV233">
        <v>1</v>
      </c>
      <c r="AW233">
        <v>1</v>
      </c>
      <c r="AZ233">
        <v>1</v>
      </c>
      <c r="BA233">
        <v>24.22</v>
      </c>
      <c r="BB233">
        <v>1</v>
      </c>
      <c r="BC233">
        <v>1</v>
      </c>
      <c r="BD233" t="s">
        <v>6</v>
      </c>
      <c r="BE233" t="s">
        <v>6</v>
      </c>
      <c r="BF233" t="s">
        <v>6</v>
      </c>
      <c r="BG233" t="s">
        <v>6</v>
      </c>
      <c r="BH233">
        <v>0</v>
      </c>
      <c r="BI233">
        <v>1</v>
      </c>
      <c r="BJ233" t="s">
        <v>484</v>
      </c>
      <c r="BM233">
        <v>67001</v>
      </c>
      <c r="BN233">
        <v>0</v>
      </c>
      <c r="BO233" t="s">
        <v>1327</v>
      </c>
      <c r="BP233">
        <v>1</v>
      </c>
      <c r="BQ233">
        <v>6</v>
      </c>
      <c r="BR233">
        <v>0</v>
      </c>
      <c r="BS233">
        <v>24.22</v>
      </c>
      <c r="BT233">
        <v>1</v>
      </c>
      <c r="BU233">
        <v>1</v>
      </c>
      <c r="BV233">
        <v>1</v>
      </c>
      <c r="BW233">
        <v>1</v>
      </c>
      <c r="BX233">
        <v>1</v>
      </c>
      <c r="BY233" t="s">
        <v>6</v>
      </c>
      <c r="BZ233">
        <v>91</v>
      </c>
      <c r="CA233">
        <v>48</v>
      </c>
      <c r="CB233" t="s">
        <v>6</v>
      </c>
      <c r="CE233">
        <v>0</v>
      </c>
      <c r="CF233">
        <v>0</v>
      </c>
      <c r="CG233">
        <v>0</v>
      </c>
      <c r="CM233">
        <v>0</v>
      </c>
      <c r="CN233" t="s">
        <v>6</v>
      </c>
      <c r="CO233">
        <v>0</v>
      </c>
      <c r="CP233">
        <f t="shared" si="245"/>
        <v>1006.02</v>
      </c>
      <c r="CQ233">
        <f t="shared" si="246"/>
        <v>0</v>
      </c>
      <c r="CR233">
        <f t="shared" si="247"/>
        <v>0.35649999999999998</v>
      </c>
      <c r="CS233">
        <f t="shared" si="248"/>
        <v>0.14949999999999999</v>
      </c>
      <c r="CT233">
        <f t="shared" si="249"/>
        <v>83.478499999999997</v>
      </c>
      <c r="CU233">
        <f t="shared" si="250"/>
        <v>0</v>
      </c>
      <c r="CV233">
        <f t="shared" si="251"/>
        <v>11.086</v>
      </c>
      <c r="CW233">
        <f t="shared" si="252"/>
        <v>1.15E-2</v>
      </c>
      <c r="CX233">
        <f t="shared" si="253"/>
        <v>0</v>
      </c>
      <c r="CY233">
        <f t="shared" si="254"/>
        <v>913.21229999999991</v>
      </c>
      <c r="CZ233">
        <f t="shared" si="255"/>
        <v>481.69440000000003</v>
      </c>
      <c r="DC233" t="s">
        <v>6</v>
      </c>
      <c r="DD233" t="s">
        <v>6</v>
      </c>
      <c r="DE233" t="s">
        <v>36</v>
      </c>
      <c r="DF233" t="s">
        <v>36</v>
      </c>
      <c r="DG233" t="s">
        <v>36</v>
      </c>
      <c r="DH233" t="s">
        <v>6</v>
      </c>
      <c r="DI233" t="s">
        <v>36</v>
      </c>
      <c r="DJ233" t="s">
        <v>36</v>
      </c>
      <c r="DK233" t="s">
        <v>6</v>
      </c>
      <c r="DL233" t="s">
        <v>6</v>
      </c>
      <c r="DM233" t="s">
        <v>6</v>
      </c>
      <c r="DN233">
        <v>0</v>
      </c>
      <c r="DO233">
        <v>0</v>
      </c>
      <c r="DP233">
        <v>1</v>
      </c>
      <c r="DQ233">
        <v>1</v>
      </c>
      <c r="DU233">
        <v>1003</v>
      </c>
      <c r="DV233" t="s">
        <v>483</v>
      </c>
      <c r="DW233" t="s">
        <v>483</v>
      </c>
      <c r="DX233">
        <v>100</v>
      </c>
      <c r="DZ233" t="s">
        <v>6</v>
      </c>
      <c r="EA233" t="s">
        <v>6</v>
      </c>
      <c r="EB233" t="s">
        <v>6</v>
      </c>
      <c r="EC233" t="s">
        <v>6</v>
      </c>
      <c r="EE233">
        <v>30853057</v>
      </c>
      <c r="EF233">
        <v>6</v>
      </c>
      <c r="EG233" t="s">
        <v>37</v>
      </c>
      <c r="EH233">
        <v>0</v>
      </c>
      <c r="EI233" t="s">
        <v>6</v>
      </c>
      <c r="EJ233">
        <v>1</v>
      </c>
      <c r="EK233">
        <v>67001</v>
      </c>
      <c r="EL233" t="s">
        <v>485</v>
      </c>
      <c r="EM233" t="s">
        <v>486</v>
      </c>
      <c r="EO233" t="s">
        <v>6</v>
      </c>
      <c r="EQ233">
        <v>131072</v>
      </c>
      <c r="ER233">
        <v>72.900000000000006</v>
      </c>
      <c r="ES233">
        <v>0</v>
      </c>
      <c r="ET233">
        <v>0.31</v>
      </c>
      <c r="EU233">
        <v>0.13</v>
      </c>
      <c r="EV233">
        <v>72.59</v>
      </c>
      <c r="EW233">
        <v>9.64</v>
      </c>
      <c r="EX233">
        <v>0.01</v>
      </c>
      <c r="EY233">
        <v>0</v>
      </c>
      <c r="FQ233">
        <v>0</v>
      </c>
      <c r="FR233">
        <f t="shared" si="256"/>
        <v>0</v>
      </c>
      <c r="FS233">
        <v>0</v>
      </c>
      <c r="FX233">
        <v>91</v>
      </c>
      <c r="FY233">
        <v>48</v>
      </c>
      <c r="GA233" t="s">
        <v>6</v>
      </c>
      <c r="GD233">
        <v>1</v>
      </c>
      <c r="GF233">
        <v>473519153</v>
      </c>
      <c r="GG233">
        <v>2</v>
      </c>
      <c r="GH233">
        <v>1</v>
      </c>
      <c r="GI233">
        <v>4</v>
      </c>
      <c r="GJ233">
        <v>0</v>
      </c>
      <c r="GK233">
        <v>0</v>
      </c>
      <c r="GL233">
        <f t="shared" si="257"/>
        <v>0</v>
      </c>
      <c r="GM233">
        <f t="shared" si="258"/>
        <v>2400.92</v>
      </c>
      <c r="GN233">
        <f t="shared" si="259"/>
        <v>2400.92</v>
      </c>
      <c r="GO233">
        <f t="shared" si="260"/>
        <v>0</v>
      </c>
      <c r="GP233">
        <f t="shared" si="261"/>
        <v>0</v>
      </c>
      <c r="GR233">
        <v>0</v>
      </c>
      <c r="GS233">
        <v>0</v>
      </c>
      <c r="GT233">
        <v>0</v>
      </c>
      <c r="GU233" t="s">
        <v>6</v>
      </c>
      <c r="GV233">
        <f t="shared" si="262"/>
        <v>0</v>
      </c>
      <c r="GW233">
        <v>1</v>
      </c>
      <c r="GX233">
        <f t="shared" si="263"/>
        <v>0</v>
      </c>
      <c r="HA233">
        <v>0</v>
      </c>
      <c r="HB233">
        <v>0</v>
      </c>
      <c r="HC233">
        <f t="shared" si="264"/>
        <v>0</v>
      </c>
      <c r="HE233" t="s">
        <v>6</v>
      </c>
      <c r="HF233" t="s">
        <v>6</v>
      </c>
      <c r="HI233">
        <f t="shared" si="265"/>
        <v>43</v>
      </c>
      <c r="HJ233">
        <f t="shared" si="266"/>
        <v>24262</v>
      </c>
      <c r="HK233">
        <f t="shared" si="267"/>
        <v>22118</v>
      </c>
      <c r="HL233">
        <f t="shared" si="268"/>
        <v>11666</v>
      </c>
      <c r="HM233" t="s">
        <v>6</v>
      </c>
      <c r="HN233" t="s">
        <v>6</v>
      </c>
      <c r="HO233" t="s">
        <v>6</v>
      </c>
      <c r="HP233" t="s">
        <v>6</v>
      </c>
      <c r="HQ233" t="s">
        <v>6</v>
      </c>
      <c r="IK233">
        <v>0</v>
      </c>
    </row>
    <row r="234" spans="1:245">
      <c r="A234">
        <v>17</v>
      </c>
      <c r="B234">
        <v>1</v>
      </c>
      <c r="C234">
        <f>ROW(SmtRes!A488)</f>
        <v>488</v>
      </c>
      <c r="D234">
        <f>ROW(EtalonRes!A513)</f>
        <v>513</v>
      </c>
      <c r="E234" t="s">
        <v>487</v>
      </c>
      <c r="F234" t="s">
        <v>488</v>
      </c>
      <c r="G234" t="s">
        <v>489</v>
      </c>
      <c r="H234" t="s">
        <v>490</v>
      </c>
      <c r="I234">
        <f>ROUND(90*4/100,7)</f>
        <v>3.6</v>
      </c>
      <c r="J234">
        <v>0</v>
      </c>
      <c r="K234">
        <f>ROUND(90*4/100,7)</f>
        <v>3.6</v>
      </c>
      <c r="O234">
        <f t="shared" si="228"/>
        <v>3709.58</v>
      </c>
      <c r="P234">
        <f t="shared" si="229"/>
        <v>0</v>
      </c>
      <c r="Q234">
        <f t="shared" si="230"/>
        <v>1338.11</v>
      </c>
      <c r="R234">
        <f t="shared" si="231"/>
        <v>176.94</v>
      </c>
      <c r="S234">
        <f t="shared" si="232"/>
        <v>2371.4699999999998</v>
      </c>
      <c r="T234">
        <f t="shared" si="233"/>
        <v>0</v>
      </c>
      <c r="U234">
        <f t="shared" si="234"/>
        <v>247.80384000000001</v>
      </c>
      <c r="V234">
        <f t="shared" si="235"/>
        <v>13.5792</v>
      </c>
      <c r="W234">
        <f t="shared" si="236"/>
        <v>0</v>
      </c>
      <c r="X234">
        <f t="shared" si="237"/>
        <v>2775.22</v>
      </c>
      <c r="Y234">
        <f t="shared" si="238"/>
        <v>1559.63</v>
      </c>
      <c r="AA234">
        <v>31028412</v>
      </c>
      <c r="AB234">
        <f t="shared" si="239"/>
        <v>1030.4413999999999</v>
      </c>
      <c r="AC234">
        <f>ROUND(((ES234*ROUND(0,7))),6)</f>
        <v>0</v>
      </c>
      <c r="AD234">
        <f>ROUND(((((ET234*ROUND((0.4*1.15),7)))-((EU234*ROUND((0.4*1.15),7))))+AE234),6)</f>
        <v>371.69839999999999</v>
      </c>
      <c r="AE234">
        <f t="shared" ref="AE234:AF236" si="269">ROUND(((EU234*ROUND((0.4*1.15),7))),6)</f>
        <v>49.151000000000003</v>
      </c>
      <c r="AF234">
        <f t="shared" si="269"/>
        <v>658.74300000000005</v>
      </c>
      <c r="AG234">
        <f t="shared" si="242"/>
        <v>0</v>
      </c>
      <c r="AH234">
        <f t="shared" ref="AH234:AI236" si="270">((EW234*ROUND((0.4*1.15),7)))</f>
        <v>68.834400000000002</v>
      </c>
      <c r="AI234">
        <f t="shared" si="270"/>
        <v>3.7719999999999998</v>
      </c>
      <c r="AJ234">
        <f t="shared" si="244"/>
        <v>0</v>
      </c>
      <c r="AK234">
        <v>2732.95</v>
      </c>
      <c r="AL234">
        <v>492.86</v>
      </c>
      <c r="AM234">
        <v>808.04</v>
      </c>
      <c r="AN234">
        <v>106.85</v>
      </c>
      <c r="AO234">
        <v>1432.05</v>
      </c>
      <c r="AP234">
        <v>0</v>
      </c>
      <c r="AQ234">
        <v>149.63999999999999</v>
      </c>
      <c r="AR234">
        <v>8.1999999999999993</v>
      </c>
      <c r="AS234">
        <v>0</v>
      </c>
      <c r="AT234">
        <v>108.9</v>
      </c>
      <c r="AU234">
        <v>61.2</v>
      </c>
      <c r="AV234">
        <v>1</v>
      </c>
      <c r="AW234">
        <v>1</v>
      </c>
      <c r="AZ234">
        <v>1</v>
      </c>
      <c r="BA234">
        <v>24.22</v>
      </c>
      <c r="BB234">
        <v>1</v>
      </c>
      <c r="BC234">
        <v>1</v>
      </c>
      <c r="BD234" t="s">
        <v>6</v>
      </c>
      <c r="BE234" t="s">
        <v>6</v>
      </c>
      <c r="BF234" t="s">
        <v>6</v>
      </c>
      <c r="BG234" t="s">
        <v>6</v>
      </c>
      <c r="BH234">
        <v>0</v>
      </c>
      <c r="BI234">
        <v>1</v>
      </c>
      <c r="BJ234" t="s">
        <v>491</v>
      </c>
      <c r="BM234">
        <v>16001</v>
      </c>
      <c r="BN234">
        <v>0</v>
      </c>
      <c r="BO234" t="s">
        <v>1327</v>
      </c>
      <c r="BP234">
        <v>1</v>
      </c>
      <c r="BQ234">
        <v>2</v>
      </c>
      <c r="BR234">
        <v>0</v>
      </c>
      <c r="BS234">
        <v>24.22</v>
      </c>
      <c r="BT234">
        <v>1</v>
      </c>
      <c r="BU234">
        <v>1</v>
      </c>
      <c r="BV234">
        <v>1</v>
      </c>
      <c r="BW234">
        <v>1</v>
      </c>
      <c r="BX234">
        <v>1</v>
      </c>
      <c r="BY234" t="s">
        <v>6</v>
      </c>
      <c r="BZ234">
        <v>121</v>
      </c>
      <c r="CA234">
        <v>72</v>
      </c>
      <c r="CB234" t="s">
        <v>6</v>
      </c>
      <c r="CE234">
        <v>0</v>
      </c>
      <c r="CF234">
        <v>0</v>
      </c>
      <c r="CG234">
        <v>0</v>
      </c>
      <c r="CM234">
        <v>0</v>
      </c>
      <c r="CN234" t="s">
        <v>6</v>
      </c>
      <c r="CO234">
        <v>0</v>
      </c>
      <c r="CP234">
        <f t="shared" si="245"/>
        <v>3709.58</v>
      </c>
      <c r="CQ234">
        <f t="shared" si="246"/>
        <v>0</v>
      </c>
      <c r="CR234">
        <f t="shared" si="247"/>
        <v>371.69839999999999</v>
      </c>
      <c r="CS234">
        <f t="shared" si="248"/>
        <v>49.151000000000003</v>
      </c>
      <c r="CT234">
        <f t="shared" si="249"/>
        <v>658.74300000000005</v>
      </c>
      <c r="CU234">
        <f t="shared" si="250"/>
        <v>0</v>
      </c>
      <c r="CV234">
        <f t="shared" si="251"/>
        <v>68.834400000000002</v>
      </c>
      <c r="CW234">
        <f t="shared" si="252"/>
        <v>3.7719999999999998</v>
      </c>
      <c r="CX234">
        <f t="shared" si="253"/>
        <v>0</v>
      </c>
      <c r="CY234">
        <f t="shared" si="254"/>
        <v>2775.2184899999997</v>
      </c>
      <c r="CZ234">
        <f t="shared" si="255"/>
        <v>1559.6269200000002</v>
      </c>
      <c r="DC234" t="s">
        <v>6</v>
      </c>
      <c r="DD234" t="s">
        <v>24</v>
      </c>
      <c r="DE234" t="s">
        <v>492</v>
      </c>
      <c r="DF234" t="s">
        <v>492</v>
      </c>
      <c r="DG234" t="s">
        <v>492</v>
      </c>
      <c r="DH234" t="s">
        <v>6</v>
      </c>
      <c r="DI234" t="s">
        <v>492</v>
      </c>
      <c r="DJ234" t="s">
        <v>492</v>
      </c>
      <c r="DK234" t="s">
        <v>6</v>
      </c>
      <c r="DL234" t="s">
        <v>6</v>
      </c>
      <c r="DM234" t="s">
        <v>6</v>
      </c>
      <c r="DN234">
        <v>0</v>
      </c>
      <c r="DO234">
        <v>0</v>
      </c>
      <c r="DP234">
        <v>1</v>
      </c>
      <c r="DQ234">
        <v>1</v>
      </c>
      <c r="DU234">
        <v>1013</v>
      </c>
      <c r="DV234" t="s">
        <v>490</v>
      </c>
      <c r="DW234" t="s">
        <v>490</v>
      </c>
      <c r="DX234">
        <v>1</v>
      </c>
      <c r="DZ234" t="s">
        <v>6</v>
      </c>
      <c r="EA234" t="s">
        <v>6</v>
      </c>
      <c r="EB234" t="s">
        <v>6</v>
      </c>
      <c r="EC234" t="s">
        <v>6</v>
      </c>
      <c r="EE234">
        <v>30852938</v>
      </c>
      <c r="EF234">
        <v>2</v>
      </c>
      <c r="EG234" t="s">
        <v>26</v>
      </c>
      <c r="EH234">
        <v>0</v>
      </c>
      <c r="EI234" t="s">
        <v>6</v>
      </c>
      <c r="EJ234">
        <v>1</v>
      </c>
      <c r="EK234">
        <v>16001</v>
      </c>
      <c r="EL234" t="s">
        <v>493</v>
      </c>
      <c r="EM234" t="s">
        <v>494</v>
      </c>
      <c r="EO234" t="s">
        <v>6</v>
      </c>
      <c r="EQ234">
        <v>131072</v>
      </c>
      <c r="ER234">
        <v>2732.95</v>
      </c>
      <c r="ES234">
        <v>492.86</v>
      </c>
      <c r="ET234">
        <v>808.04</v>
      </c>
      <c r="EU234">
        <v>106.85</v>
      </c>
      <c r="EV234">
        <v>1432.05</v>
      </c>
      <c r="EW234">
        <v>149.63999999999999</v>
      </c>
      <c r="EX234">
        <v>8.1999999999999993</v>
      </c>
      <c r="EY234">
        <v>0</v>
      </c>
      <c r="FQ234">
        <v>0</v>
      </c>
      <c r="FR234">
        <f t="shared" si="256"/>
        <v>0</v>
      </c>
      <c r="FS234">
        <v>0</v>
      </c>
      <c r="FT234" t="s">
        <v>29</v>
      </c>
      <c r="FU234" t="s">
        <v>30</v>
      </c>
      <c r="FX234">
        <v>108.9</v>
      </c>
      <c r="FY234">
        <v>61.2</v>
      </c>
      <c r="GA234" t="s">
        <v>6</v>
      </c>
      <c r="GD234">
        <v>1</v>
      </c>
      <c r="GF234">
        <v>-737502207</v>
      </c>
      <c r="GG234">
        <v>2</v>
      </c>
      <c r="GH234">
        <v>1</v>
      </c>
      <c r="GI234">
        <v>4</v>
      </c>
      <c r="GJ234">
        <v>0</v>
      </c>
      <c r="GK234">
        <v>0</v>
      </c>
      <c r="GL234">
        <f t="shared" si="257"/>
        <v>0</v>
      </c>
      <c r="GM234">
        <f t="shared" si="258"/>
        <v>8044.43</v>
      </c>
      <c r="GN234">
        <f t="shared" si="259"/>
        <v>8044.43</v>
      </c>
      <c r="GO234">
        <f t="shared" si="260"/>
        <v>0</v>
      </c>
      <c r="GP234">
        <f t="shared" si="261"/>
        <v>0</v>
      </c>
      <c r="GR234">
        <v>0</v>
      </c>
      <c r="GS234">
        <v>0</v>
      </c>
      <c r="GT234">
        <v>0</v>
      </c>
      <c r="GU234" t="s">
        <v>6</v>
      </c>
      <c r="GV234">
        <f t="shared" si="262"/>
        <v>0</v>
      </c>
      <c r="GW234">
        <v>1</v>
      </c>
      <c r="GX234">
        <f t="shared" si="263"/>
        <v>0</v>
      </c>
      <c r="HA234">
        <v>0</v>
      </c>
      <c r="HB234">
        <v>0</v>
      </c>
      <c r="HC234">
        <f t="shared" si="264"/>
        <v>0</v>
      </c>
      <c r="HE234" t="s">
        <v>6</v>
      </c>
      <c r="HF234" t="s">
        <v>6</v>
      </c>
      <c r="HI234">
        <f t="shared" si="265"/>
        <v>4285</v>
      </c>
      <c r="HJ234">
        <f t="shared" si="266"/>
        <v>57437</v>
      </c>
      <c r="HK234">
        <f t="shared" si="267"/>
        <v>67215</v>
      </c>
      <c r="HL234">
        <f t="shared" si="268"/>
        <v>37774</v>
      </c>
      <c r="HM234" t="s">
        <v>6</v>
      </c>
      <c r="HN234" t="s">
        <v>6</v>
      </c>
      <c r="HO234" t="s">
        <v>6</v>
      </c>
      <c r="HP234" t="s">
        <v>6</v>
      </c>
      <c r="HQ234" t="s">
        <v>6</v>
      </c>
      <c r="IK234">
        <v>0</v>
      </c>
    </row>
    <row r="235" spans="1:245">
      <c r="A235">
        <v>17</v>
      </c>
      <c r="B235">
        <v>1</v>
      </c>
      <c r="C235">
        <f>ROW(SmtRes!A499)</f>
        <v>499</v>
      </c>
      <c r="D235">
        <f>ROW(EtalonRes!A524)</f>
        <v>524</v>
      </c>
      <c r="E235" t="s">
        <v>495</v>
      </c>
      <c r="F235" t="s">
        <v>496</v>
      </c>
      <c r="G235" t="s">
        <v>497</v>
      </c>
      <c r="H235" t="s">
        <v>490</v>
      </c>
      <c r="I235">
        <f>ROUND(45*4/100,7)</f>
        <v>1.8</v>
      </c>
      <c r="J235">
        <v>0</v>
      </c>
      <c r="K235">
        <f>ROUND(45*4/100,7)</f>
        <v>1.8</v>
      </c>
      <c r="O235">
        <f t="shared" si="228"/>
        <v>511.41</v>
      </c>
      <c r="P235">
        <f t="shared" si="229"/>
        <v>0</v>
      </c>
      <c r="Q235">
        <f t="shared" si="230"/>
        <v>2.37</v>
      </c>
      <c r="R235">
        <f t="shared" si="231"/>
        <v>0.22</v>
      </c>
      <c r="S235">
        <f t="shared" si="232"/>
        <v>509.04</v>
      </c>
      <c r="T235">
        <f t="shared" si="233"/>
        <v>0</v>
      </c>
      <c r="U235">
        <f t="shared" si="234"/>
        <v>53.190719999999999</v>
      </c>
      <c r="V235">
        <f t="shared" si="235"/>
        <v>1.6560000000000002E-2</v>
      </c>
      <c r="W235">
        <f t="shared" si="236"/>
        <v>0</v>
      </c>
      <c r="X235">
        <f t="shared" si="237"/>
        <v>554.58000000000004</v>
      </c>
      <c r="Y235">
        <f t="shared" si="238"/>
        <v>311.67</v>
      </c>
      <c r="AA235">
        <v>31028412</v>
      </c>
      <c r="AB235">
        <f t="shared" si="239"/>
        <v>284.11439999999999</v>
      </c>
      <c r="AC235">
        <f>ROUND(((ES235*ROUND(0,7))),6)</f>
        <v>0</v>
      </c>
      <c r="AD235">
        <f>ROUND(((((ET235*ROUND((0.4*1.15),7)))-((EU235*ROUND((0.4*1.15),7))))+AE235),6)</f>
        <v>1.3156000000000001</v>
      </c>
      <c r="AE235">
        <f t="shared" si="269"/>
        <v>0.1196</v>
      </c>
      <c r="AF235">
        <f t="shared" si="269"/>
        <v>282.79880000000003</v>
      </c>
      <c r="AG235">
        <f t="shared" si="242"/>
        <v>0</v>
      </c>
      <c r="AH235">
        <f t="shared" si="270"/>
        <v>29.5504</v>
      </c>
      <c r="AI235">
        <f t="shared" si="270"/>
        <v>9.1999999999999998E-3</v>
      </c>
      <c r="AJ235">
        <f t="shared" si="244"/>
        <v>0</v>
      </c>
      <c r="AK235">
        <v>4591.6499999999996</v>
      </c>
      <c r="AL235">
        <v>3974.01</v>
      </c>
      <c r="AM235">
        <v>2.86</v>
      </c>
      <c r="AN235">
        <v>0.26</v>
      </c>
      <c r="AO235">
        <v>614.78</v>
      </c>
      <c r="AP235">
        <v>0</v>
      </c>
      <c r="AQ235">
        <v>64.239999999999995</v>
      </c>
      <c r="AR235">
        <v>0.02</v>
      </c>
      <c r="AS235">
        <v>0</v>
      </c>
      <c r="AT235">
        <v>108.9</v>
      </c>
      <c r="AU235">
        <v>61.2</v>
      </c>
      <c r="AV235">
        <v>1</v>
      </c>
      <c r="AW235">
        <v>1</v>
      </c>
      <c r="AZ235">
        <v>1</v>
      </c>
      <c r="BA235">
        <v>24.22</v>
      </c>
      <c r="BB235">
        <v>1</v>
      </c>
      <c r="BC235">
        <v>1</v>
      </c>
      <c r="BD235" t="s">
        <v>6</v>
      </c>
      <c r="BE235" t="s">
        <v>6</v>
      </c>
      <c r="BF235" t="s">
        <v>6</v>
      </c>
      <c r="BG235" t="s">
        <v>6</v>
      </c>
      <c r="BH235">
        <v>0</v>
      </c>
      <c r="BI235">
        <v>1</v>
      </c>
      <c r="BJ235" t="s">
        <v>498</v>
      </c>
      <c r="BM235">
        <v>16001</v>
      </c>
      <c r="BN235">
        <v>0</v>
      </c>
      <c r="BO235" t="s">
        <v>1327</v>
      </c>
      <c r="BP235">
        <v>1</v>
      </c>
      <c r="BQ235">
        <v>2</v>
      </c>
      <c r="BR235">
        <v>0</v>
      </c>
      <c r="BS235">
        <v>24.22</v>
      </c>
      <c r="BT235">
        <v>1</v>
      </c>
      <c r="BU235">
        <v>1</v>
      </c>
      <c r="BV235">
        <v>1</v>
      </c>
      <c r="BW235">
        <v>1</v>
      </c>
      <c r="BX235">
        <v>1</v>
      </c>
      <c r="BY235" t="s">
        <v>6</v>
      </c>
      <c r="BZ235">
        <v>121</v>
      </c>
      <c r="CA235">
        <v>72</v>
      </c>
      <c r="CB235" t="s">
        <v>6</v>
      </c>
      <c r="CE235">
        <v>0</v>
      </c>
      <c r="CF235">
        <v>0</v>
      </c>
      <c r="CG235">
        <v>0</v>
      </c>
      <c r="CM235">
        <v>0</v>
      </c>
      <c r="CN235" t="s">
        <v>6</v>
      </c>
      <c r="CO235">
        <v>0</v>
      </c>
      <c r="CP235">
        <f t="shared" si="245"/>
        <v>511.41</v>
      </c>
      <c r="CQ235">
        <f t="shared" si="246"/>
        <v>0</v>
      </c>
      <c r="CR235">
        <f t="shared" si="247"/>
        <v>1.3156000000000001</v>
      </c>
      <c r="CS235">
        <f t="shared" si="248"/>
        <v>0.1196</v>
      </c>
      <c r="CT235">
        <f t="shared" si="249"/>
        <v>282.79880000000003</v>
      </c>
      <c r="CU235">
        <f t="shared" si="250"/>
        <v>0</v>
      </c>
      <c r="CV235">
        <f t="shared" si="251"/>
        <v>29.5504</v>
      </c>
      <c r="CW235">
        <f t="shared" si="252"/>
        <v>9.1999999999999998E-3</v>
      </c>
      <c r="CX235">
        <f t="shared" si="253"/>
        <v>0</v>
      </c>
      <c r="CY235">
        <f t="shared" si="254"/>
        <v>554.58414000000016</v>
      </c>
      <c r="CZ235">
        <f t="shared" si="255"/>
        <v>311.66712000000001</v>
      </c>
      <c r="DC235" t="s">
        <v>6</v>
      </c>
      <c r="DD235" t="s">
        <v>24</v>
      </c>
      <c r="DE235" t="s">
        <v>492</v>
      </c>
      <c r="DF235" t="s">
        <v>492</v>
      </c>
      <c r="DG235" t="s">
        <v>492</v>
      </c>
      <c r="DH235" t="s">
        <v>6</v>
      </c>
      <c r="DI235" t="s">
        <v>492</v>
      </c>
      <c r="DJ235" t="s">
        <v>492</v>
      </c>
      <c r="DK235" t="s">
        <v>6</v>
      </c>
      <c r="DL235" t="s">
        <v>6</v>
      </c>
      <c r="DM235" t="s">
        <v>6</v>
      </c>
      <c r="DN235">
        <v>0</v>
      </c>
      <c r="DO235">
        <v>0</v>
      </c>
      <c r="DP235">
        <v>1</v>
      </c>
      <c r="DQ235">
        <v>1</v>
      </c>
      <c r="DU235">
        <v>1013</v>
      </c>
      <c r="DV235" t="s">
        <v>490</v>
      </c>
      <c r="DW235" t="s">
        <v>490</v>
      </c>
      <c r="DX235">
        <v>1</v>
      </c>
      <c r="DZ235" t="s">
        <v>6</v>
      </c>
      <c r="EA235" t="s">
        <v>6</v>
      </c>
      <c r="EB235" t="s">
        <v>6</v>
      </c>
      <c r="EC235" t="s">
        <v>6</v>
      </c>
      <c r="EE235">
        <v>30852938</v>
      </c>
      <c r="EF235">
        <v>2</v>
      </c>
      <c r="EG235" t="s">
        <v>26</v>
      </c>
      <c r="EH235">
        <v>0</v>
      </c>
      <c r="EI235" t="s">
        <v>6</v>
      </c>
      <c r="EJ235">
        <v>1</v>
      </c>
      <c r="EK235">
        <v>16001</v>
      </c>
      <c r="EL235" t="s">
        <v>493</v>
      </c>
      <c r="EM235" t="s">
        <v>494</v>
      </c>
      <c r="EO235" t="s">
        <v>6</v>
      </c>
      <c r="EQ235">
        <v>131072</v>
      </c>
      <c r="ER235">
        <v>4591.6499999999996</v>
      </c>
      <c r="ES235">
        <v>3974.01</v>
      </c>
      <c r="ET235">
        <v>2.86</v>
      </c>
      <c r="EU235">
        <v>0.26</v>
      </c>
      <c r="EV235">
        <v>614.78</v>
      </c>
      <c r="EW235">
        <v>64.239999999999995</v>
      </c>
      <c r="EX235">
        <v>0.02</v>
      </c>
      <c r="EY235">
        <v>0</v>
      </c>
      <c r="FQ235">
        <v>0</v>
      </c>
      <c r="FR235">
        <f t="shared" si="256"/>
        <v>0</v>
      </c>
      <c r="FS235">
        <v>0</v>
      </c>
      <c r="FT235" t="s">
        <v>29</v>
      </c>
      <c r="FU235" t="s">
        <v>30</v>
      </c>
      <c r="FX235">
        <v>108.9</v>
      </c>
      <c r="FY235">
        <v>61.2</v>
      </c>
      <c r="GA235" t="s">
        <v>6</v>
      </c>
      <c r="GD235">
        <v>1</v>
      </c>
      <c r="GF235">
        <v>-1916190668</v>
      </c>
      <c r="GG235">
        <v>2</v>
      </c>
      <c r="GH235">
        <v>1</v>
      </c>
      <c r="GI235">
        <v>4</v>
      </c>
      <c r="GJ235">
        <v>0</v>
      </c>
      <c r="GK235">
        <v>0</v>
      </c>
      <c r="GL235">
        <f t="shared" si="257"/>
        <v>0</v>
      </c>
      <c r="GM235">
        <f t="shared" si="258"/>
        <v>1377.66</v>
      </c>
      <c r="GN235">
        <f t="shared" si="259"/>
        <v>1377.66</v>
      </c>
      <c r="GO235">
        <f t="shared" si="260"/>
        <v>0</v>
      </c>
      <c r="GP235">
        <f t="shared" si="261"/>
        <v>0</v>
      </c>
      <c r="GR235">
        <v>0</v>
      </c>
      <c r="GS235">
        <v>0</v>
      </c>
      <c r="GT235">
        <v>0</v>
      </c>
      <c r="GU235" t="s">
        <v>6</v>
      </c>
      <c r="GV235">
        <f t="shared" si="262"/>
        <v>0</v>
      </c>
      <c r="GW235">
        <v>1</v>
      </c>
      <c r="GX235">
        <f t="shared" si="263"/>
        <v>0</v>
      </c>
      <c r="HA235">
        <v>0</v>
      </c>
      <c r="HB235">
        <v>0</v>
      </c>
      <c r="HC235">
        <f t="shared" si="264"/>
        <v>0</v>
      </c>
      <c r="HE235" t="s">
        <v>6</v>
      </c>
      <c r="HF235" t="s">
        <v>6</v>
      </c>
      <c r="HI235">
        <f t="shared" si="265"/>
        <v>5</v>
      </c>
      <c r="HJ235">
        <f t="shared" si="266"/>
        <v>12329</v>
      </c>
      <c r="HK235">
        <f t="shared" si="267"/>
        <v>13432</v>
      </c>
      <c r="HL235">
        <f t="shared" si="268"/>
        <v>7548</v>
      </c>
      <c r="HM235" t="s">
        <v>6</v>
      </c>
      <c r="HN235" t="s">
        <v>6</v>
      </c>
      <c r="HO235" t="s">
        <v>6</v>
      </c>
      <c r="HP235" t="s">
        <v>6</v>
      </c>
      <c r="HQ235" t="s">
        <v>6</v>
      </c>
      <c r="IK235">
        <v>0</v>
      </c>
    </row>
    <row r="236" spans="1:245">
      <c r="A236">
        <v>17</v>
      </c>
      <c r="B236">
        <v>1</v>
      </c>
      <c r="C236">
        <f>ROW(SmtRes!A510)</f>
        <v>510</v>
      </c>
      <c r="D236">
        <f>ROW(EtalonRes!A535)</f>
        <v>535</v>
      </c>
      <c r="E236" t="s">
        <v>499</v>
      </c>
      <c r="F236" t="s">
        <v>500</v>
      </c>
      <c r="G236" t="s">
        <v>501</v>
      </c>
      <c r="H236" t="s">
        <v>490</v>
      </c>
      <c r="I236">
        <f>ROUND(50*4/100,7)</f>
        <v>2</v>
      </c>
      <c r="J236">
        <v>0</v>
      </c>
      <c r="K236">
        <f>ROUND(50*4/100,7)</f>
        <v>2</v>
      </c>
      <c r="O236">
        <f t="shared" si="228"/>
        <v>548.4</v>
      </c>
      <c r="P236">
        <f t="shared" si="229"/>
        <v>0</v>
      </c>
      <c r="Q236">
        <f t="shared" si="230"/>
        <v>6.05</v>
      </c>
      <c r="R236">
        <f t="shared" si="231"/>
        <v>0.6</v>
      </c>
      <c r="S236">
        <f t="shared" si="232"/>
        <v>542.35</v>
      </c>
      <c r="T236">
        <f t="shared" si="233"/>
        <v>0</v>
      </c>
      <c r="U236">
        <f t="shared" si="234"/>
        <v>56.672000000000004</v>
      </c>
      <c r="V236">
        <f t="shared" si="235"/>
        <v>4.6000000000000006E-2</v>
      </c>
      <c r="W236">
        <f t="shared" si="236"/>
        <v>0</v>
      </c>
      <c r="X236">
        <f t="shared" si="237"/>
        <v>591.27</v>
      </c>
      <c r="Y236">
        <f t="shared" si="238"/>
        <v>332.29</v>
      </c>
      <c r="AA236">
        <v>31028412</v>
      </c>
      <c r="AB236">
        <f t="shared" si="239"/>
        <v>274.20139999999998</v>
      </c>
      <c r="AC236">
        <f>ROUND(((ES236*ROUND(0,7))),6)</f>
        <v>0</v>
      </c>
      <c r="AD236">
        <f>ROUND(((((ET236*ROUND((0.4*1.15),7)))-((EU236*ROUND((0.4*1.15),7))))+AE236),6)</f>
        <v>3.0268000000000002</v>
      </c>
      <c r="AE236">
        <f t="shared" si="269"/>
        <v>0.29899999999999999</v>
      </c>
      <c r="AF236">
        <f t="shared" si="269"/>
        <v>271.1746</v>
      </c>
      <c r="AG236">
        <f t="shared" si="242"/>
        <v>0</v>
      </c>
      <c r="AH236">
        <f t="shared" si="270"/>
        <v>28.336000000000002</v>
      </c>
      <c r="AI236">
        <f t="shared" si="270"/>
        <v>2.3000000000000003E-2</v>
      </c>
      <c r="AJ236">
        <f t="shared" si="244"/>
        <v>0</v>
      </c>
      <c r="AK236">
        <v>7156.46</v>
      </c>
      <c r="AL236">
        <v>6560.37</v>
      </c>
      <c r="AM236">
        <v>6.58</v>
      </c>
      <c r="AN236">
        <v>0.65</v>
      </c>
      <c r="AO236">
        <v>589.51</v>
      </c>
      <c r="AP236">
        <v>0</v>
      </c>
      <c r="AQ236">
        <v>61.6</v>
      </c>
      <c r="AR236">
        <v>0.05</v>
      </c>
      <c r="AS236">
        <v>0</v>
      </c>
      <c r="AT236">
        <v>108.9</v>
      </c>
      <c r="AU236">
        <v>61.2</v>
      </c>
      <c r="AV236">
        <v>1</v>
      </c>
      <c r="AW236">
        <v>1</v>
      </c>
      <c r="AZ236">
        <v>1</v>
      </c>
      <c r="BA236">
        <v>24.22</v>
      </c>
      <c r="BB236">
        <v>1</v>
      </c>
      <c r="BC236">
        <v>1</v>
      </c>
      <c r="BD236" t="s">
        <v>6</v>
      </c>
      <c r="BE236" t="s">
        <v>6</v>
      </c>
      <c r="BF236" t="s">
        <v>6</v>
      </c>
      <c r="BG236" t="s">
        <v>6</v>
      </c>
      <c r="BH236">
        <v>0</v>
      </c>
      <c r="BI236">
        <v>1</v>
      </c>
      <c r="BJ236" t="s">
        <v>502</v>
      </c>
      <c r="BM236">
        <v>16001</v>
      </c>
      <c r="BN236">
        <v>0</v>
      </c>
      <c r="BO236" t="s">
        <v>1327</v>
      </c>
      <c r="BP236">
        <v>1</v>
      </c>
      <c r="BQ236">
        <v>2</v>
      </c>
      <c r="BR236">
        <v>0</v>
      </c>
      <c r="BS236">
        <v>24.22</v>
      </c>
      <c r="BT236">
        <v>1</v>
      </c>
      <c r="BU236">
        <v>1</v>
      </c>
      <c r="BV236">
        <v>1</v>
      </c>
      <c r="BW236">
        <v>1</v>
      </c>
      <c r="BX236">
        <v>1</v>
      </c>
      <c r="BY236" t="s">
        <v>6</v>
      </c>
      <c r="BZ236">
        <v>121</v>
      </c>
      <c r="CA236">
        <v>72</v>
      </c>
      <c r="CB236" t="s">
        <v>6</v>
      </c>
      <c r="CE236">
        <v>0</v>
      </c>
      <c r="CF236">
        <v>0</v>
      </c>
      <c r="CG236">
        <v>0</v>
      </c>
      <c r="CM236">
        <v>0</v>
      </c>
      <c r="CN236" t="s">
        <v>6</v>
      </c>
      <c r="CO236">
        <v>0</v>
      </c>
      <c r="CP236">
        <f t="shared" si="245"/>
        <v>548.4</v>
      </c>
      <c r="CQ236">
        <f t="shared" si="246"/>
        <v>0</v>
      </c>
      <c r="CR236">
        <f t="shared" si="247"/>
        <v>3.0268000000000002</v>
      </c>
      <c r="CS236">
        <f t="shared" si="248"/>
        <v>0.29899999999999999</v>
      </c>
      <c r="CT236">
        <f t="shared" si="249"/>
        <v>271.1746</v>
      </c>
      <c r="CU236">
        <f t="shared" si="250"/>
        <v>0</v>
      </c>
      <c r="CV236">
        <f t="shared" si="251"/>
        <v>28.336000000000002</v>
      </c>
      <c r="CW236">
        <f t="shared" si="252"/>
        <v>2.3000000000000003E-2</v>
      </c>
      <c r="CX236">
        <f t="shared" si="253"/>
        <v>0</v>
      </c>
      <c r="CY236">
        <f t="shared" si="254"/>
        <v>591.27255000000002</v>
      </c>
      <c r="CZ236">
        <f t="shared" si="255"/>
        <v>332.28539999999998</v>
      </c>
      <c r="DC236" t="s">
        <v>6</v>
      </c>
      <c r="DD236" t="s">
        <v>24</v>
      </c>
      <c r="DE236" t="s">
        <v>492</v>
      </c>
      <c r="DF236" t="s">
        <v>492</v>
      </c>
      <c r="DG236" t="s">
        <v>492</v>
      </c>
      <c r="DH236" t="s">
        <v>6</v>
      </c>
      <c r="DI236" t="s">
        <v>492</v>
      </c>
      <c r="DJ236" t="s">
        <v>492</v>
      </c>
      <c r="DK236" t="s">
        <v>6</v>
      </c>
      <c r="DL236" t="s">
        <v>6</v>
      </c>
      <c r="DM236" t="s">
        <v>6</v>
      </c>
      <c r="DN236">
        <v>0</v>
      </c>
      <c r="DO236">
        <v>0</v>
      </c>
      <c r="DP236">
        <v>1</v>
      </c>
      <c r="DQ236">
        <v>1</v>
      </c>
      <c r="DU236">
        <v>1013</v>
      </c>
      <c r="DV236" t="s">
        <v>490</v>
      </c>
      <c r="DW236" t="s">
        <v>490</v>
      </c>
      <c r="DX236">
        <v>1</v>
      </c>
      <c r="DZ236" t="s">
        <v>6</v>
      </c>
      <c r="EA236" t="s">
        <v>6</v>
      </c>
      <c r="EB236" t="s">
        <v>6</v>
      </c>
      <c r="EC236" t="s">
        <v>6</v>
      </c>
      <c r="EE236">
        <v>30852938</v>
      </c>
      <c r="EF236">
        <v>2</v>
      </c>
      <c r="EG236" t="s">
        <v>26</v>
      </c>
      <c r="EH236">
        <v>0</v>
      </c>
      <c r="EI236" t="s">
        <v>6</v>
      </c>
      <c r="EJ236">
        <v>1</v>
      </c>
      <c r="EK236">
        <v>16001</v>
      </c>
      <c r="EL236" t="s">
        <v>493</v>
      </c>
      <c r="EM236" t="s">
        <v>494</v>
      </c>
      <c r="EO236" t="s">
        <v>6</v>
      </c>
      <c r="EQ236">
        <v>131072</v>
      </c>
      <c r="ER236">
        <v>7156.46</v>
      </c>
      <c r="ES236">
        <v>6560.37</v>
      </c>
      <c r="ET236">
        <v>6.58</v>
      </c>
      <c r="EU236">
        <v>0.65</v>
      </c>
      <c r="EV236">
        <v>589.51</v>
      </c>
      <c r="EW236">
        <v>61.6</v>
      </c>
      <c r="EX236">
        <v>0.05</v>
      </c>
      <c r="EY236">
        <v>0</v>
      </c>
      <c r="FQ236">
        <v>0</v>
      </c>
      <c r="FR236">
        <f t="shared" si="256"/>
        <v>0</v>
      </c>
      <c r="FS236">
        <v>0</v>
      </c>
      <c r="FT236" t="s">
        <v>29</v>
      </c>
      <c r="FU236" t="s">
        <v>30</v>
      </c>
      <c r="FX236">
        <v>108.9</v>
      </c>
      <c r="FY236">
        <v>61.2</v>
      </c>
      <c r="GA236" t="s">
        <v>6</v>
      </c>
      <c r="GD236">
        <v>1</v>
      </c>
      <c r="GF236">
        <v>-1217660811</v>
      </c>
      <c r="GG236">
        <v>2</v>
      </c>
      <c r="GH236">
        <v>1</v>
      </c>
      <c r="GI236">
        <v>4</v>
      </c>
      <c r="GJ236">
        <v>0</v>
      </c>
      <c r="GK236">
        <v>0</v>
      </c>
      <c r="GL236">
        <f t="shared" si="257"/>
        <v>0</v>
      </c>
      <c r="GM236">
        <f t="shared" si="258"/>
        <v>1471.96</v>
      </c>
      <c r="GN236">
        <f t="shared" si="259"/>
        <v>1471.96</v>
      </c>
      <c r="GO236">
        <f t="shared" si="260"/>
        <v>0</v>
      </c>
      <c r="GP236">
        <f t="shared" si="261"/>
        <v>0</v>
      </c>
      <c r="GR236">
        <v>0</v>
      </c>
      <c r="GS236">
        <v>0</v>
      </c>
      <c r="GT236">
        <v>0</v>
      </c>
      <c r="GU236" t="s">
        <v>6</v>
      </c>
      <c r="GV236">
        <f t="shared" si="262"/>
        <v>0</v>
      </c>
      <c r="GW236">
        <v>1</v>
      </c>
      <c r="GX236">
        <f t="shared" si="263"/>
        <v>0</v>
      </c>
      <c r="HA236">
        <v>0</v>
      </c>
      <c r="HB236">
        <v>0</v>
      </c>
      <c r="HC236">
        <f t="shared" si="264"/>
        <v>0</v>
      </c>
      <c r="HE236" t="s">
        <v>6</v>
      </c>
      <c r="HF236" t="s">
        <v>6</v>
      </c>
      <c r="HI236">
        <f t="shared" si="265"/>
        <v>15</v>
      </c>
      <c r="HJ236">
        <f t="shared" si="266"/>
        <v>13136</v>
      </c>
      <c r="HK236">
        <f t="shared" si="267"/>
        <v>14321</v>
      </c>
      <c r="HL236">
        <f t="shared" si="268"/>
        <v>8048</v>
      </c>
      <c r="HM236" t="s">
        <v>6</v>
      </c>
      <c r="HN236" t="s">
        <v>6</v>
      </c>
      <c r="HO236" t="s">
        <v>6</v>
      </c>
      <c r="HP236" t="s">
        <v>6</v>
      </c>
      <c r="HQ236" t="s">
        <v>6</v>
      </c>
      <c r="IK236">
        <v>0</v>
      </c>
    </row>
    <row r="237" spans="1:245">
      <c r="A237">
        <v>17</v>
      </c>
      <c r="B237">
        <v>1</v>
      </c>
      <c r="C237">
        <f>ROW(SmtRes!A513)</f>
        <v>513</v>
      </c>
      <c r="D237">
        <f>ROW(EtalonRes!A538)</f>
        <v>538</v>
      </c>
      <c r="E237" t="s">
        <v>503</v>
      </c>
      <c r="F237" t="s">
        <v>504</v>
      </c>
      <c r="G237" t="s">
        <v>505</v>
      </c>
      <c r="H237" t="s">
        <v>328</v>
      </c>
      <c r="I237">
        <f>ROUND(32.5/100,7)</f>
        <v>0.32500000000000001</v>
      </c>
      <c r="J237">
        <v>0</v>
      </c>
      <c r="K237">
        <f>ROUND(32.5/100,7)</f>
        <v>0.32500000000000001</v>
      </c>
      <c r="O237">
        <f t="shared" si="228"/>
        <v>158.69</v>
      </c>
      <c r="P237">
        <f t="shared" si="229"/>
        <v>0</v>
      </c>
      <c r="Q237">
        <f t="shared" si="230"/>
        <v>78.86</v>
      </c>
      <c r="R237">
        <f t="shared" si="231"/>
        <v>33.31</v>
      </c>
      <c r="S237">
        <f t="shared" si="232"/>
        <v>79.83</v>
      </c>
      <c r="T237">
        <f t="shared" si="233"/>
        <v>0</v>
      </c>
      <c r="U237">
        <f t="shared" si="234"/>
        <v>10.950875</v>
      </c>
      <c r="V237">
        <f t="shared" si="235"/>
        <v>2.5564499999999999</v>
      </c>
      <c r="W237">
        <f t="shared" si="236"/>
        <v>0</v>
      </c>
      <c r="X237">
        <f t="shared" si="237"/>
        <v>102.96</v>
      </c>
      <c r="Y237">
        <f t="shared" si="238"/>
        <v>102.96</v>
      </c>
      <c r="AA237">
        <v>31028412</v>
      </c>
      <c r="AB237">
        <f t="shared" si="239"/>
        <v>488.30149999999998</v>
      </c>
      <c r="AC237">
        <f t="shared" ref="AC237:AC277" si="271">ROUND((ES237),6)</f>
        <v>0</v>
      </c>
      <c r="AD237">
        <f>ROUND(((((ET237*ROUND(1.15,7)))-((EU237*ROUND(1.15,7))))+AE237),6)</f>
        <v>242.66149999999999</v>
      </c>
      <c r="AE237">
        <f t="shared" ref="AE237:AF239" si="272">ROUND(((EU237*ROUND(1.15,7))),6)</f>
        <v>102.4995</v>
      </c>
      <c r="AF237">
        <f t="shared" si="272"/>
        <v>245.64</v>
      </c>
      <c r="AG237">
        <f t="shared" si="242"/>
        <v>0</v>
      </c>
      <c r="AH237">
        <f t="shared" ref="AH237:AI239" si="273">((EW237*ROUND(1.15,7)))</f>
        <v>33.695</v>
      </c>
      <c r="AI237">
        <f t="shared" si="273"/>
        <v>7.8659999999999997</v>
      </c>
      <c r="AJ237">
        <f t="shared" si="244"/>
        <v>0</v>
      </c>
      <c r="AK237">
        <v>424.61</v>
      </c>
      <c r="AL237">
        <v>0</v>
      </c>
      <c r="AM237">
        <v>211.01</v>
      </c>
      <c r="AN237">
        <v>89.13</v>
      </c>
      <c r="AO237">
        <v>213.6</v>
      </c>
      <c r="AP237">
        <v>0</v>
      </c>
      <c r="AQ237">
        <v>29.3</v>
      </c>
      <c r="AR237">
        <v>6.84</v>
      </c>
      <c r="AS237">
        <v>0</v>
      </c>
      <c r="AT237">
        <v>91</v>
      </c>
      <c r="AU237">
        <v>91</v>
      </c>
      <c r="AV237">
        <v>1</v>
      </c>
      <c r="AW237">
        <v>1</v>
      </c>
      <c r="AZ237">
        <v>1</v>
      </c>
      <c r="BA237">
        <v>24.22</v>
      </c>
      <c r="BB237">
        <v>1</v>
      </c>
      <c r="BC237">
        <v>1</v>
      </c>
      <c r="BD237" t="s">
        <v>6</v>
      </c>
      <c r="BE237" t="s">
        <v>6</v>
      </c>
      <c r="BF237" t="s">
        <v>6</v>
      </c>
      <c r="BG237" t="s">
        <v>6</v>
      </c>
      <c r="BH237">
        <v>0</v>
      </c>
      <c r="BI237">
        <v>1</v>
      </c>
      <c r="BJ237" t="s">
        <v>506</v>
      </c>
      <c r="BM237">
        <v>46003</v>
      </c>
      <c r="BN237">
        <v>0</v>
      </c>
      <c r="BO237" t="s">
        <v>1327</v>
      </c>
      <c r="BP237">
        <v>1</v>
      </c>
      <c r="BQ237">
        <v>2</v>
      </c>
      <c r="BR237">
        <v>0</v>
      </c>
      <c r="BS237">
        <v>24.22</v>
      </c>
      <c r="BT237">
        <v>1</v>
      </c>
      <c r="BU237">
        <v>1</v>
      </c>
      <c r="BV237">
        <v>1</v>
      </c>
      <c r="BW237">
        <v>1</v>
      </c>
      <c r="BX237">
        <v>1</v>
      </c>
      <c r="BY237" t="s">
        <v>6</v>
      </c>
      <c r="BZ237">
        <v>91</v>
      </c>
      <c r="CA237">
        <v>52</v>
      </c>
      <c r="CB237" t="s">
        <v>6</v>
      </c>
      <c r="CE237">
        <v>0</v>
      </c>
      <c r="CF237">
        <v>0</v>
      </c>
      <c r="CG237">
        <v>0</v>
      </c>
      <c r="CM237">
        <v>0</v>
      </c>
      <c r="CN237" t="s">
        <v>6</v>
      </c>
      <c r="CO237">
        <v>0</v>
      </c>
      <c r="CP237">
        <f t="shared" si="245"/>
        <v>158.69</v>
      </c>
      <c r="CQ237">
        <f t="shared" si="246"/>
        <v>0</v>
      </c>
      <c r="CR237">
        <f t="shared" si="247"/>
        <v>242.66149999999999</v>
      </c>
      <c r="CS237">
        <f t="shared" si="248"/>
        <v>102.4995</v>
      </c>
      <c r="CT237">
        <f t="shared" si="249"/>
        <v>245.64</v>
      </c>
      <c r="CU237">
        <f t="shared" si="250"/>
        <v>0</v>
      </c>
      <c r="CV237">
        <f t="shared" si="251"/>
        <v>33.695</v>
      </c>
      <c r="CW237">
        <f t="shared" si="252"/>
        <v>7.8659999999999997</v>
      </c>
      <c r="CX237">
        <f t="shared" si="253"/>
        <v>0</v>
      </c>
      <c r="CY237">
        <f t="shared" si="254"/>
        <v>102.95739999999999</v>
      </c>
      <c r="CZ237">
        <f t="shared" si="255"/>
        <v>102.95739999999999</v>
      </c>
      <c r="DC237" t="s">
        <v>6</v>
      </c>
      <c r="DD237" t="s">
        <v>6</v>
      </c>
      <c r="DE237" t="s">
        <v>36</v>
      </c>
      <c r="DF237" t="s">
        <v>36</v>
      </c>
      <c r="DG237" t="s">
        <v>36</v>
      </c>
      <c r="DH237" t="s">
        <v>6</v>
      </c>
      <c r="DI237" t="s">
        <v>36</v>
      </c>
      <c r="DJ237" t="s">
        <v>36</v>
      </c>
      <c r="DK237" t="s">
        <v>6</v>
      </c>
      <c r="DL237" t="s">
        <v>6</v>
      </c>
      <c r="DM237" t="s">
        <v>6</v>
      </c>
      <c r="DN237">
        <v>0</v>
      </c>
      <c r="DO237">
        <v>0</v>
      </c>
      <c r="DP237">
        <v>1</v>
      </c>
      <c r="DQ237">
        <v>1</v>
      </c>
      <c r="DU237">
        <v>1005</v>
      </c>
      <c r="DV237" t="s">
        <v>328</v>
      </c>
      <c r="DW237" t="s">
        <v>328</v>
      </c>
      <c r="DX237">
        <v>100</v>
      </c>
      <c r="DZ237" t="s">
        <v>6</v>
      </c>
      <c r="EA237" t="s">
        <v>6</v>
      </c>
      <c r="EB237" t="s">
        <v>6</v>
      </c>
      <c r="EC237" t="s">
        <v>6</v>
      </c>
      <c r="EE237">
        <v>30853204</v>
      </c>
      <c r="EF237">
        <v>2</v>
      </c>
      <c r="EG237" t="s">
        <v>26</v>
      </c>
      <c r="EH237">
        <v>0</v>
      </c>
      <c r="EI237" t="s">
        <v>6</v>
      </c>
      <c r="EJ237">
        <v>1</v>
      </c>
      <c r="EK237">
        <v>46003</v>
      </c>
      <c r="EL237" t="s">
        <v>205</v>
      </c>
      <c r="EM237" t="s">
        <v>206</v>
      </c>
      <c r="EO237" t="s">
        <v>6</v>
      </c>
      <c r="EQ237">
        <v>131072</v>
      </c>
      <c r="ER237">
        <v>424.61</v>
      </c>
      <c r="ES237">
        <v>0</v>
      </c>
      <c r="ET237">
        <v>211.01</v>
      </c>
      <c r="EU237">
        <v>89.13</v>
      </c>
      <c r="EV237">
        <v>213.6</v>
      </c>
      <c r="EW237">
        <v>29.3</v>
      </c>
      <c r="EX237">
        <v>6.84</v>
      </c>
      <c r="EY237">
        <v>0</v>
      </c>
      <c r="FQ237">
        <v>0</v>
      </c>
      <c r="FR237">
        <f t="shared" si="256"/>
        <v>0</v>
      </c>
      <c r="FS237">
        <v>0</v>
      </c>
      <c r="FX237">
        <v>91</v>
      </c>
      <c r="FY237">
        <v>91</v>
      </c>
      <c r="GA237" t="s">
        <v>6</v>
      </c>
      <c r="GD237">
        <v>1</v>
      </c>
      <c r="GF237">
        <v>6404248</v>
      </c>
      <c r="GG237">
        <v>2</v>
      </c>
      <c r="GH237">
        <v>1</v>
      </c>
      <c r="GI237">
        <v>4</v>
      </c>
      <c r="GJ237">
        <v>0</v>
      </c>
      <c r="GK237">
        <v>0</v>
      </c>
      <c r="GL237">
        <f t="shared" si="257"/>
        <v>0</v>
      </c>
      <c r="GM237">
        <f t="shared" si="258"/>
        <v>364.61</v>
      </c>
      <c r="GN237">
        <f t="shared" si="259"/>
        <v>364.61</v>
      </c>
      <c r="GO237">
        <f t="shared" si="260"/>
        <v>0</v>
      </c>
      <c r="GP237">
        <f t="shared" si="261"/>
        <v>0</v>
      </c>
      <c r="GR237">
        <v>0</v>
      </c>
      <c r="GS237">
        <v>0</v>
      </c>
      <c r="GT237">
        <v>0</v>
      </c>
      <c r="GU237" t="s">
        <v>6</v>
      </c>
      <c r="GV237">
        <f t="shared" si="262"/>
        <v>0</v>
      </c>
      <c r="GW237">
        <v>1</v>
      </c>
      <c r="GX237">
        <f t="shared" si="263"/>
        <v>0</v>
      </c>
      <c r="HA237">
        <v>0</v>
      </c>
      <c r="HB237">
        <v>0</v>
      </c>
      <c r="HC237">
        <f t="shared" si="264"/>
        <v>0</v>
      </c>
      <c r="HE237" t="s">
        <v>6</v>
      </c>
      <c r="HF237" t="s">
        <v>6</v>
      </c>
      <c r="HI237">
        <f t="shared" si="265"/>
        <v>807</v>
      </c>
      <c r="HJ237">
        <f t="shared" si="266"/>
        <v>1933</v>
      </c>
      <c r="HK237">
        <f t="shared" si="267"/>
        <v>2493</v>
      </c>
      <c r="HL237">
        <f t="shared" si="268"/>
        <v>2493</v>
      </c>
      <c r="HM237" t="s">
        <v>6</v>
      </c>
      <c r="HN237" t="s">
        <v>6</v>
      </c>
      <c r="HO237" t="s">
        <v>6</v>
      </c>
      <c r="HP237" t="s">
        <v>6</v>
      </c>
      <c r="HQ237" t="s">
        <v>6</v>
      </c>
      <c r="IK237">
        <v>0</v>
      </c>
    </row>
    <row r="238" spans="1:245">
      <c r="A238">
        <v>17</v>
      </c>
      <c r="B238">
        <v>1</v>
      </c>
      <c r="C238">
        <f>ROW(SmtRes!A517)</f>
        <v>517</v>
      </c>
      <c r="D238">
        <f>ROW(EtalonRes!A542)</f>
        <v>542</v>
      </c>
      <c r="E238" t="s">
        <v>507</v>
      </c>
      <c r="F238" t="s">
        <v>508</v>
      </c>
      <c r="G238" t="s">
        <v>509</v>
      </c>
      <c r="H238" t="s">
        <v>188</v>
      </c>
      <c r="I238">
        <f>ROUND(33.4*4/100,7)</f>
        <v>1.3360000000000001</v>
      </c>
      <c r="J238">
        <v>0</v>
      </c>
      <c r="K238">
        <f>ROUND(33.4*4/100,7)</f>
        <v>1.3360000000000001</v>
      </c>
      <c r="O238">
        <f t="shared" si="228"/>
        <v>951.73</v>
      </c>
      <c r="P238">
        <f t="shared" si="229"/>
        <v>0</v>
      </c>
      <c r="Q238">
        <f t="shared" si="230"/>
        <v>68.25</v>
      </c>
      <c r="R238">
        <f t="shared" si="231"/>
        <v>28.82</v>
      </c>
      <c r="S238">
        <f t="shared" si="232"/>
        <v>883.48</v>
      </c>
      <c r="T238">
        <f t="shared" si="233"/>
        <v>0</v>
      </c>
      <c r="U238">
        <f t="shared" si="234"/>
        <v>107.348268</v>
      </c>
      <c r="V238">
        <f t="shared" si="235"/>
        <v>2.2124160000000002</v>
      </c>
      <c r="W238">
        <f t="shared" si="236"/>
        <v>0</v>
      </c>
      <c r="X238">
        <f t="shared" si="237"/>
        <v>811.95</v>
      </c>
      <c r="Y238">
        <f t="shared" si="238"/>
        <v>447.03</v>
      </c>
      <c r="AA238">
        <v>31028412</v>
      </c>
      <c r="AB238">
        <f t="shared" si="239"/>
        <v>712.36749999999995</v>
      </c>
      <c r="AC238">
        <f t="shared" si="271"/>
        <v>0</v>
      </c>
      <c r="AD238">
        <f>ROUND(((((ET238*ROUND(1.15,7)))-((EU238*ROUND(1.15,7))))+AE238),6)</f>
        <v>51.082999999999998</v>
      </c>
      <c r="AE238">
        <f t="shared" si="272"/>
        <v>21.574000000000002</v>
      </c>
      <c r="AF238">
        <f t="shared" si="272"/>
        <v>661.28449999999998</v>
      </c>
      <c r="AG238">
        <f t="shared" si="242"/>
        <v>0</v>
      </c>
      <c r="AH238">
        <f t="shared" si="273"/>
        <v>80.350499999999997</v>
      </c>
      <c r="AI238">
        <f t="shared" si="273"/>
        <v>1.6559999999999999</v>
      </c>
      <c r="AJ238">
        <f t="shared" si="244"/>
        <v>0</v>
      </c>
      <c r="AK238">
        <v>619.45000000000005</v>
      </c>
      <c r="AL238">
        <v>0</v>
      </c>
      <c r="AM238">
        <v>44.42</v>
      </c>
      <c r="AN238">
        <v>18.760000000000002</v>
      </c>
      <c r="AO238">
        <v>575.03</v>
      </c>
      <c r="AP238">
        <v>0</v>
      </c>
      <c r="AQ238">
        <v>69.87</v>
      </c>
      <c r="AR238">
        <v>1.44</v>
      </c>
      <c r="AS238">
        <v>0</v>
      </c>
      <c r="AT238">
        <v>89</v>
      </c>
      <c r="AU238">
        <v>49</v>
      </c>
      <c r="AV238">
        <v>1</v>
      </c>
      <c r="AW238">
        <v>1</v>
      </c>
      <c r="AZ238">
        <v>1</v>
      </c>
      <c r="BA238">
        <v>24.22</v>
      </c>
      <c r="BB238">
        <v>1</v>
      </c>
      <c r="BC238">
        <v>1</v>
      </c>
      <c r="BD238" t="s">
        <v>6</v>
      </c>
      <c r="BE238" t="s">
        <v>6</v>
      </c>
      <c r="BF238" t="s">
        <v>6</v>
      </c>
      <c r="BG238" t="s">
        <v>6</v>
      </c>
      <c r="BH238">
        <v>0</v>
      </c>
      <c r="BI238">
        <v>1</v>
      </c>
      <c r="BJ238" t="s">
        <v>510</v>
      </c>
      <c r="BM238">
        <v>57001</v>
      </c>
      <c r="BN238">
        <v>0</v>
      </c>
      <c r="BO238" t="s">
        <v>1327</v>
      </c>
      <c r="BP238">
        <v>1</v>
      </c>
      <c r="BQ238">
        <v>6</v>
      </c>
      <c r="BR238">
        <v>0</v>
      </c>
      <c r="BS238">
        <v>24.22</v>
      </c>
      <c r="BT238">
        <v>1</v>
      </c>
      <c r="BU238">
        <v>1</v>
      </c>
      <c r="BV238">
        <v>1</v>
      </c>
      <c r="BW238">
        <v>1</v>
      </c>
      <c r="BX238">
        <v>1</v>
      </c>
      <c r="BY238" t="s">
        <v>6</v>
      </c>
      <c r="BZ238">
        <v>89</v>
      </c>
      <c r="CA238">
        <v>49</v>
      </c>
      <c r="CB238" t="s">
        <v>6</v>
      </c>
      <c r="CE238">
        <v>0</v>
      </c>
      <c r="CF238">
        <v>0</v>
      </c>
      <c r="CG238">
        <v>0</v>
      </c>
      <c r="CM238">
        <v>0</v>
      </c>
      <c r="CN238" t="s">
        <v>6</v>
      </c>
      <c r="CO238">
        <v>0</v>
      </c>
      <c r="CP238">
        <f t="shared" si="245"/>
        <v>951.73</v>
      </c>
      <c r="CQ238">
        <f t="shared" si="246"/>
        <v>0</v>
      </c>
      <c r="CR238">
        <f t="shared" si="247"/>
        <v>51.082999999999998</v>
      </c>
      <c r="CS238">
        <f t="shared" si="248"/>
        <v>21.574000000000002</v>
      </c>
      <c r="CT238">
        <f t="shared" si="249"/>
        <v>661.28449999999998</v>
      </c>
      <c r="CU238">
        <f t="shared" si="250"/>
        <v>0</v>
      </c>
      <c r="CV238">
        <f t="shared" si="251"/>
        <v>80.350499999999997</v>
      </c>
      <c r="CW238">
        <f t="shared" si="252"/>
        <v>1.6559999999999999</v>
      </c>
      <c r="CX238">
        <f t="shared" si="253"/>
        <v>0</v>
      </c>
      <c r="CY238">
        <f t="shared" si="254"/>
        <v>811.94700000000012</v>
      </c>
      <c r="CZ238">
        <f t="shared" si="255"/>
        <v>447.02700000000004</v>
      </c>
      <c r="DC238" t="s">
        <v>6</v>
      </c>
      <c r="DD238" t="s">
        <v>6</v>
      </c>
      <c r="DE238" t="s">
        <v>36</v>
      </c>
      <c r="DF238" t="s">
        <v>36</v>
      </c>
      <c r="DG238" t="s">
        <v>36</v>
      </c>
      <c r="DH238" t="s">
        <v>6</v>
      </c>
      <c r="DI238" t="s">
        <v>36</v>
      </c>
      <c r="DJ238" t="s">
        <v>36</v>
      </c>
      <c r="DK238" t="s">
        <v>6</v>
      </c>
      <c r="DL238" t="s">
        <v>6</v>
      </c>
      <c r="DM238" t="s">
        <v>6</v>
      </c>
      <c r="DN238">
        <v>0</v>
      </c>
      <c r="DO238">
        <v>0</v>
      </c>
      <c r="DP238">
        <v>1</v>
      </c>
      <c r="DQ238">
        <v>1</v>
      </c>
      <c r="DU238">
        <v>1013</v>
      </c>
      <c r="DV238" t="s">
        <v>188</v>
      </c>
      <c r="DW238" t="s">
        <v>188</v>
      </c>
      <c r="DX238">
        <v>1</v>
      </c>
      <c r="DZ238" t="s">
        <v>6</v>
      </c>
      <c r="EA238" t="s">
        <v>6</v>
      </c>
      <c r="EB238" t="s">
        <v>6</v>
      </c>
      <c r="EC238" t="s">
        <v>6</v>
      </c>
      <c r="EE238">
        <v>30853009</v>
      </c>
      <c r="EF238">
        <v>6</v>
      </c>
      <c r="EG238" t="s">
        <v>37</v>
      </c>
      <c r="EH238">
        <v>0</v>
      </c>
      <c r="EI238" t="s">
        <v>6</v>
      </c>
      <c r="EJ238">
        <v>1</v>
      </c>
      <c r="EK238">
        <v>57001</v>
      </c>
      <c r="EL238" t="s">
        <v>511</v>
      </c>
      <c r="EM238" t="s">
        <v>512</v>
      </c>
      <c r="EO238" t="s">
        <v>6</v>
      </c>
      <c r="EQ238">
        <v>131072</v>
      </c>
      <c r="ER238">
        <v>619.45000000000005</v>
      </c>
      <c r="ES238">
        <v>0</v>
      </c>
      <c r="ET238">
        <v>44.42</v>
      </c>
      <c r="EU238">
        <v>18.760000000000002</v>
      </c>
      <c r="EV238">
        <v>575.03</v>
      </c>
      <c r="EW238">
        <v>69.87</v>
      </c>
      <c r="EX238">
        <v>1.44</v>
      </c>
      <c r="EY238">
        <v>0</v>
      </c>
      <c r="FQ238">
        <v>0</v>
      </c>
      <c r="FR238">
        <f t="shared" si="256"/>
        <v>0</v>
      </c>
      <c r="FS238">
        <v>0</v>
      </c>
      <c r="FX238">
        <v>89</v>
      </c>
      <c r="FY238">
        <v>49</v>
      </c>
      <c r="GA238" t="s">
        <v>6</v>
      </c>
      <c r="GD238">
        <v>1</v>
      </c>
      <c r="GF238">
        <v>-1586808444</v>
      </c>
      <c r="GG238">
        <v>2</v>
      </c>
      <c r="GH238">
        <v>1</v>
      </c>
      <c r="GI238">
        <v>4</v>
      </c>
      <c r="GJ238">
        <v>0</v>
      </c>
      <c r="GK238">
        <v>0</v>
      </c>
      <c r="GL238">
        <f t="shared" si="257"/>
        <v>0</v>
      </c>
      <c r="GM238">
        <f t="shared" si="258"/>
        <v>2210.71</v>
      </c>
      <c r="GN238">
        <f t="shared" si="259"/>
        <v>2210.71</v>
      </c>
      <c r="GO238">
        <f t="shared" si="260"/>
        <v>0</v>
      </c>
      <c r="GP238">
        <f t="shared" si="261"/>
        <v>0</v>
      </c>
      <c r="GR238">
        <v>0</v>
      </c>
      <c r="GS238">
        <v>0</v>
      </c>
      <c r="GT238">
        <v>0</v>
      </c>
      <c r="GU238" t="s">
        <v>6</v>
      </c>
      <c r="GV238">
        <f t="shared" si="262"/>
        <v>0</v>
      </c>
      <c r="GW238">
        <v>1</v>
      </c>
      <c r="GX238">
        <f t="shared" si="263"/>
        <v>0</v>
      </c>
      <c r="HA238">
        <v>0</v>
      </c>
      <c r="HB238">
        <v>0</v>
      </c>
      <c r="HC238">
        <f t="shared" si="264"/>
        <v>0</v>
      </c>
      <c r="HE238" t="s">
        <v>6</v>
      </c>
      <c r="HF238" t="s">
        <v>6</v>
      </c>
      <c r="HI238">
        <f t="shared" si="265"/>
        <v>698</v>
      </c>
      <c r="HJ238">
        <f t="shared" si="266"/>
        <v>21398</v>
      </c>
      <c r="HK238">
        <f t="shared" si="267"/>
        <v>19665</v>
      </c>
      <c r="HL238">
        <f t="shared" si="268"/>
        <v>10827</v>
      </c>
      <c r="HM238" t="s">
        <v>6</v>
      </c>
      <c r="HN238" t="s">
        <v>6</v>
      </c>
      <c r="HO238" t="s">
        <v>6</v>
      </c>
      <c r="HP238" t="s">
        <v>6</v>
      </c>
      <c r="HQ238" t="s">
        <v>6</v>
      </c>
      <c r="IK238">
        <v>0</v>
      </c>
    </row>
    <row r="239" spans="1:245">
      <c r="A239">
        <v>17</v>
      </c>
      <c r="B239">
        <v>1</v>
      </c>
      <c r="C239">
        <f>ROW(SmtRes!A531)</f>
        <v>531</v>
      </c>
      <c r="D239">
        <f>ROW(EtalonRes!A556)</f>
        <v>556</v>
      </c>
      <c r="E239" t="s">
        <v>513</v>
      </c>
      <c r="F239" t="s">
        <v>514</v>
      </c>
      <c r="G239" t="s">
        <v>515</v>
      </c>
      <c r="H239" t="s">
        <v>407</v>
      </c>
      <c r="I239">
        <f>ROUND(150/1000,7)</f>
        <v>0.15</v>
      </c>
      <c r="J239">
        <v>0</v>
      </c>
      <c r="K239">
        <f>ROUND(150/1000,7)</f>
        <v>0.15</v>
      </c>
      <c r="O239">
        <f t="shared" si="228"/>
        <v>1343.1</v>
      </c>
      <c r="P239">
        <f t="shared" si="229"/>
        <v>1031.8599999999999</v>
      </c>
      <c r="Q239">
        <f t="shared" si="230"/>
        <v>19.64</v>
      </c>
      <c r="R239">
        <f t="shared" si="231"/>
        <v>1.71</v>
      </c>
      <c r="S239">
        <f t="shared" si="232"/>
        <v>291.60000000000002</v>
      </c>
      <c r="T239">
        <f t="shared" si="233"/>
        <v>0</v>
      </c>
      <c r="U239">
        <f t="shared" si="234"/>
        <v>35.005424999999995</v>
      </c>
      <c r="V239">
        <f t="shared" si="235"/>
        <v>0.13109999999999997</v>
      </c>
      <c r="W239">
        <f t="shared" si="236"/>
        <v>0</v>
      </c>
      <c r="X239">
        <f t="shared" si="237"/>
        <v>302.11</v>
      </c>
      <c r="Y239">
        <f t="shared" si="238"/>
        <v>302.11</v>
      </c>
      <c r="AA239">
        <v>31028412</v>
      </c>
      <c r="AB239">
        <f t="shared" si="239"/>
        <v>8953.9704999999994</v>
      </c>
      <c r="AC239">
        <f t="shared" si="271"/>
        <v>6879.06</v>
      </c>
      <c r="AD239">
        <f>ROUND(((((ET239*ROUND(1.15,7)))-((EU239*ROUND(1.15,7))))+AE239),6)</f>
        <v>130.93899999999999</v>
      </c>
      <c r="AE239">
        <f t="shared" si="272"/>
        <v>11.385</v>
      </c>
      <c r="AF239">
        <f t="shared" si="272"/>
        <v>1943.9715000000001</v>
      </c>
      <c r="AG239">
        <f t="shared" si="242"/>
        <v>0</v>
      </c>
      <c r="AH239">
        <f t="shared" si="273"/>
        <v>233.36949999999999</v>
      </c>
      <c r="AI239">
        <f t="shared" si="273"/>
        <v>0.87399999999999989</v>
      </c>
      <c r="AJ239">
        <f t="shared" si="244"/>
        <v>0</v>
      </c>
      <c r="AK239">
        <v>8683.33</v>
      </c>
      <c r="AL239">
        <v>6879.06</v>
      </c>
      <c r="AM239">
        <v>113.86</v>
      </c>
      <c r="AN239">
        <v>9.9</v>
      </c>
      <c r="AO239">
        <v>1690.41</v>
      </c>
      <c r="AP239">
        <v>0</v>
      </c>
      <c r="AQ239">
        <v>202.93</v>
      </c>
      <c r="AR239">
        <v>0.76</v>
      </c>
      <c r="AS239">
        <v>0</v>
      </c>
      <c r="AT239">
        <v>103</v>
      </c>
      <c r="AU239">
        <v>103</v>
      </c>
      <c r="AV239">
        <v>1</v>
      </c>
      <c r="AW239">
        <v>1</v>
      </c>
      <c r="AZ239">
        <v>1</v>
      </c>
      <c r="BA239">
        <v>24.22</v>
      </c>
      <c r="BB239">
        <v>1</v>
      </c>
      <c r="BC239">
        <v>1</v>
      </c>
      <c r="BD239" t="s">
        <v>6</v>
      </c>
      <c r="BE239" t="s">
        <v>6</v>
      </c>
      <c r="BF239" t="s">
        <v>6</v>
      </c>
      <c r="BG239" t="s">
        <v>6</v>
      </c>
      <c r="BH239">
        <v>0</v>
      </c>
      <c r="BI239">
        <v>1</v>
      </c>
      <c r="BJ239" t="s">
        <v>516</v>
      </c>
      <c r="BM239">
        <v>46001</v>
      </c>
      <c r="BN239">
        <v>0</v>
      </c>
      <c r="BO239" t="s">
        <v>1327</v>
      </c>
      <c r="BP239">
        <v>1</v>
      </c>
      <c r="BQ239">
        <v>2</v>
      </c>
      <c r="BR239">
        <v>0</v>
      </c>
      <c r="BS239">
        <v>24.22</v>
      </c>
      <c r="BT239">
        <v>1</v>
      </c>
      <c r="BU239">
        <v>1</v>
      </c>
      <c r="BV239">
        <v>1</v>
      </c>
      <c r="BW239">
        <v>1</v>
      </c>
      <c r="BX239">
        <v>1</v>
      </c>
      <c r="BY239" t="s">
        <v>6</v>
      </c>
      <c r="BZ239">
        <v>103</v>
      </c>
      <c r="CA239">
        <v>59</v>
      </c>
      <c r="CB239" t="s">
        <v>6</v>
      </c>
      <c r="CE239">
        <v>0</v>
      </c>
      <c r="CF239">
        <v>0</v>
      </c>
      <c r="CG239">
        <v>0</v>
      </c>
      <c r="CM239">
        <v>0</v>
      </c>
      <c r="CN239" t="s">
        <v>6</v>
      </c>
      <c r="CO239">
        <v>0</v>
      </c>
      <c r="CP239">
        <f t="shared" si="245"/>
        <v>1343.1</v>
      </c>
      <c r="CQ239">
        <f t="shared" si="246"/>
        <v>6879.06</v>
      </c>
      <c r="CR239">
        <f t="shared" si="247"/>
        <v>130.93899999999999</v>
      </c>
      <c r="CS239">
        <f t="shared" si="248"/>
        <v>11.385</v>
      </c>
      <c r="CT239">
        <f t="shared" si="249"/>
        <v>1943.9715000000001</v>
      </c>
      <c r="CU239">
        <f t="shared" si="250"/>
        <v>0</v>
      </c>
      <c r="CV239">
        <f t="shared" si="251"/>
        <v>233.36949999999999</v>
      </c>
      <c r="CW239">
        <f t="shared" si="252"/>
        <v>0.87399999999999989</v>
      </c>
      <c r="CX239">
        <f t="shared" si="253"/>
        <v>0</v>
      </c>
      <c r="CY239">
        <f t="shared" si="254"/>
        <v>302.10930000000002</v>
      </c>
      <c r="CZ239">
        <f t="shared" si="255"/>
        <v>302.10930000000002</v>
      </c>
      <c r="DC239" t="s">
        <v>6</v>
      </c>
      <c r="DD239" t="s">
        <v>6</v>
      </c>
      <c r="DE239" t="s">
        <v>36</v>
      </c>
      <c r="DF239" t="s">
        <v>36</v>
      </c>
      <c r="DG239" t="s">
        <v>36</v>
      </c>
      <c r="DH239" t="s">
        <v>6</v>
      </c>
      <c r="DI239" t="s">
        <v>36</v>
      </c>
      <c r="DJ239" t="s">
        <v>36</v>
      </c>
      <c r="DK239" t="s">
        <v>6</v>
      </c>
      <c r="DL239" t="s">
        <v>6</v>
      </c>
      <c r="DM239" t="s">
        <v>6</v>
      </c>
      <c r="DN239">
        <v>0</v>
      </c>
      <c r="DO239">
        <v>0</v>
      </c>
      <c r="DP239">
        <v>1</v>
      </c>
      <c r="DQ239">
        <v>1</v>
      </c>
      <c r="DU239">
        <v>1013</v>
      </c>
      <c r="DV239" t="s">
        <v>407</v>
      </c>
      <c r="DW239" t="s">
        <v>407</v>
      </c>
      <c r="DX239">
        <v>1</v>
      </c>
      <c r="DZ239" t="s">
        <v>6</v>
      </c>
      <c r="EA239" t="s">
        <v>6</v>
      </c>
      <c r="EB239" t="s">
        <v>6</v>
      </c>
      <c r="EC239" t="s">
        <v>6</v>
      </c>
      <c r="EE239">
        <v>30852996</v>
      </c>
      <c r="EF239">
        <v>2</v>
      </c>
      <c r="EG239" t="s">
        <v>26</v>
      </c>
      <c r="EH239">
        <v>0</v>
      </c>
      <c r="EI239" t="s">
        <v>6</v>
      </c>
      <c r="EJ239">
        <v>1</v>
      </c>
      <c r="EK239">
        <v>46001</v>
      </c>
      <c r="EL239" t="s">
        <v>330</v>
      </c>
      <c r="EM239" t="s">
        <v>206</v>
      </c>
      <c r="EO239" t="s">
        <v>6</v>
      </c>
      <c r="EQ239">
        <v>0</v>
      </c>
      <c r="ER239">
        <v>8683.33</v>
      </c>
      <c r="ES239">
        <v>6879.06</v>
      </c>
      <c r="ET239">
        <v>113.86</v>
      </c>
      <c r="EU239">
        <v>9.9</v>
      </c>
      <c r="EV239">
        <v>1690.41</v>
      </c>
      <c r="EW239">
        <v>202.93</v>
      </c>
      <c r="EX239">
        <v>0.76</v>
      </c>
      <c r="EY239">
        <v>0</v>
      </c>
      <c r="FQ239">
        <v>0</v>
      </c>
      <c r="FR239">
        <f t="shared" si="256"/>
        <v>0</v>
      </c>
      <c r="FS239">
        <v>0</v>
      </c>
      <c r="FX239">
        <v>103</v>
      </c>
      <c r="FY239">
        <v>103</v>
      </c>
      <c r="GA239" t="s">
        <v>6</v>
      </c>
      <c r="GD239">
        <v>1</v>
      </c>
      <c r="GF239">
        <v>-1526826258</v>
      </c>
      <c r="GG239">
        <v>2</v>
      </c>
      <c r="GH239">
        <v>1</v>
      </c>
      <c r="GI239">
        <v>4</v>
      </c>
      <c r="GJ239">
        <v>0</v>
      </c>
      <c r="GK239">
        <v>0</v>
      </c>
      <c r="GL239">
        <f t="shared" si="257"/>
        <v>0</v>
      </c>
      <c r="GM239">
        <f t="shared" si="258"/>
        <v>1947.32</v>
      </c>
      <c r="GN239">
        <f t="shared" si="259"/>
        <v>1947.32</v>
      </c>
      <c r="GO239">
        <f t="shared" si="260"/>
        <v>0</v>
      </c>
      <c r="GP239">
        <f t="shared" si="261"/>
        <v>0</v>
      </c>
      <c r="GR239">
        <v>0</v>
      </c>
      <c r="GS239">
        <v>3</v>
      </c>
      <c r="GT239">
        <v>0</v>
      </c>
      <c r="GU239" t="s">
        <v>6</v>
      </c>
      <c r="GV239">
        <f t="shared" si="262"/>
        <v>0</v>
      </c>
      <c r="GW239">
        <v>1</v>
      </c>
      <c r="GX239">
        <f t="shared" si="263"/>
        <v>0</v>
      </c>
      <c r="HA239">
        <v>0</v>
      </c>
      <c r="HB239">
        <v>0</v>
      </c>
      <c r="HC239">
        <f t="shared" si="264"/>
        <v>0</v>
      </c>
      <c r="HE239" t="s">
        <v>6</v>
      </c>
      <c r="HF239" t="s">
        <v>6</v>
      </c>
      <c r="HI239">
        <f t="shared" si="265"/>
        <v>41</v>
      </c>
      <c r="HJ239">
        <f t="shared" si="266"/>
        <v>7063</v>
      </c>
      <c r="HK239">
        <f t="shared" si="267"/>
        <v>7317</v>
      </c>
      <c r="HL239">
        <f t="shared" si="268"/>
        <v>7317</v>
      </c>
      <c r="HM239" t="s">
        <v>6</v>
      </c>
      <c r="HN239" t="s">
        <v>6</v>
      </c>
      <c r="HO239" t="s">
        <v>6</v>
      </c>
      <c r="HP239" t="s">
        <v>6</v>
      </c>
      <c r="HQ239" t="s">
        <v>6</v>
      </c>
      <c r="IK239">
        <v>0</v>
      </c>
    </row>
    <row r="240" spans="1:245">
      <c r="A240">
        <v>17</v>
      </c>
      <c r="B240">
        <v>1</v>
      </c>
      <c r="C240">
        <f>ROW(SmtRes!A539)</f>
        <v>539</v>
      </c>
      <c r="D240">
        <f>ROW(EtalonRes!A564)</f>
        <v>564</v>
      </c>
      <c r="E240" t="s">
        <v>517</v>
      </c>
      <c r="F240" t="s">
        <v>518</v>
      </c>
      <c r="G240" t="s">
        <v>519</v>
      </c>
      <c r="H240" t="s">
        <v>124</v>
      </c>
      <c r="I240">
        <f>ROUND(13/100,7)</f>
        <v>0.13</v>
      </c>
      <c r="J240">
        <v>0</v>
      </c>
      <c r="K240">
        <f>ROUND(13/100,7)</f>
        <v>0.13</v>
      </c>
      <c r="O240">
        <f t="shared" si="228"/>
        <v>30.6</v>
      </c>
      <c r="P240">
        <f t="shared" si="229"/>
        <v>19.43</v>
      </c>
      <c r="Q240">
        <f t="shared" si="230"/>
        <v>1.78</v>
      </c>
      <c r="R240">
        <f t="shared" si="231"/>
        <v>0.02</v>
      </c>
      <c r="S240">
        <f t="shared" si="232"/>
        <v>9.39</v>
      </c>
      <c r="T240">
        <f t="shared" si="233"/>
        <v>0</v>
      </c>
      <c r="U240">
        <f t="shared" si="234"/>
        <v>0.91292174999999987</v>
      </c>
      <c r="V240">
        <f t="shared" si="235"/>
        <v>1.8687500000000002E-3</v>
      </c>
      <c r="W240">
        <f t="shared" si="236"/>
        <v>0</v>
      </c>
      <c r="X240">
        <f t="shared" si="237"/>
        <v>7.96</v>
      </c>
      <c r="Y240">
        <f t="shared" si="238"/>
        <v>4.08</v>
      </c>
      <c r="AA240">
        <v>31028412</v>
      </c>
      <c r="AB240">
        <f t="shared" si="239"/>
        <v>235.3734</v>
      </c>
      <c r="AC240">
        <f t="shared" si="271"/>
        <v>149.44999999999999</v>
      </c>
      <c r="AD240">
        <f>ROUND(((((ET240*ROUND((1.15*1.25),7)))-((EU240*ROUND((1.15*1.25),7))))+AE240),6)</f>
        <v>13.728125</v>
      </c>
      <c r="AE240">
        <f>ROUND(((EU240*ROUND((1.15*1.25),7))),6)</f>
        <v>0.14374999999999999</v>
      </c>
      <c r="AF240">
        <f>ROUND(((EV240*ROUND((1.15*1.15),7))),6)</f>
        <v>72.195274999999995</v>
      </c>
      <c r="AG240">
        <f t="shared" si="242"/>
        <v>0</v>
      </c>
      <c r="AH240">
        <f>((EW240*ROUND((1.15*1.15),7)))</f>
        <v>7.0224749999999991</v>
      </c>
      <c r="AI240">
        <f>((EX240*ROUND((1.15*1.25),7)))</f>
        <v>1.4375000000000001E-2</v>
      </c>
      <c r="AJ240">
        <f t="shared" si="244"/>
        <v>0</v>
      </c>
      <c r="AK240">
        <v>213.59</v>
      </c>
      <c r="AL240">
        <v>149.44999999999999</v>
      </c>
      <c r="AM240">
        <v>9.5500000000000007</v>
      </c>
      <c r="AN240">
        <v>0.1</v>
      </c>
      <c r="AO240">
        <v>54.59</v>
      </c>
      <c r="AP240">
        <v>0</v>
      </c>
      <c r="AQ240">
        <v>5.31</v>
      </c>
      <c r="AR240">
        <v>0.01</v>
      </c>
      <c r="AS240">
        <v>0</v>
      </c>
      <c r="AT240">
        <v>84.6</v>
      </c>
      <c r="AU240">
        <v>43.35</v>
      </c>
      <c r="AV240">
        <v>1</v>
      </c>
      <c r="AW240">
        <v>1</v>
      </c>
      <c r="AZ240">
        <v>1</v>
      </c>
      <c r="BA240">
        <v>24.22</v>
      </c>
      <c r="BB240">
        <v>1</v>
      </c>
      <c r="BC240">
        <v>1</v>
      </c>
      <c r="BD240" t="s">
        <v>6</v>
      </c>
      <c r="BE240" t="s">
        <v>6</v>
      </c>
      <c r="BF240" t="s">
        <v>6</v>
      </c>
      <c r="BG240" t="s">
        <v>6</v>
      </c>
      <c r="BH240">
        <v>0</v>
      </c>
      <c r="BI240">
        <v>1</v>
      </c>
      <c r="BJ240" t="s">
        <v>520</v>
      </c>
      <c r="BM240">
        <v>13001</v>
      </c>
      <c r="BN240">
        <v>0</v>
      </c>
      <c r="BO240" t="s">
        <v>1327</v>
      </c>
      <c r="BP240">
        <v>1</v>
      </c>
      <c r="BQ240">
        <v>2</v>
      </c>
      <c r="BR240">
        <v>0</v>
      </c>
      <c r="BS240">
        <v>24.22</v>
      </c>
      <c r="BT240">
        <v>1</v>
      </c>
      <c r="BU240">
        <v>1</v>
      </c>
      <c r="BV240">
        <v>1</v>
      </c>
      <c r="BW240">
        <v>1</v>
      </c>
      <c r="BX240">
        <v>1</v>
      </c>
      <c r="BY240" t="s">
        <v>6</v>
      </c>
      <c r="BZ240">
        <v>94</v>
      </c>
      <c r="CA240">
        <v>51</v>
      </c>
      <c r="CB240" t="s">
        <v>6</v>
      </c>
      <c r="CE240">
        <v>0</v>
      </c>
      <c r="CF240">
        <v>0</v>
      </c>
      <c r="CG240">
        <v>0</v>
      </c>
      <c r="CM240">
        <v>0</v>
      </c>
      <c r="CN240" t="s">
        <v>6</v>
      </c>
      <c r="CO240">
        <v>0</v>
      </c>
      <c r="CP240">
        <f t="shared" si="245"/>
        <v>30.6</v>
      </c>
      <c r="CQ240">
        <f t="shared" si="246"/>
        <v>149.44999999999999</v>
      </c>
      <c r="CR240">
        <f t="shared" si="247"/>
        <v>13.728125</v>
      </c>
      <c r="CS240">
        <f t="shared" si="248"/>
        <v>0.14374999999999999</v>
      </c>
      <c r="CT240">
        <f t="shared" si="249"/>
        <v>72.195274999999995</v>
      </c>
      <c r="CU240">
        <f t="shared" si="250"/>
        <v>0</v>
      </c>
      <c r="CV240">
        <f t="shared" si="251"/>
        <v>7.0224749999999991</v>
      </c>
      <c r="CW240">
        <f t="shared" si="252"/>
        <v>1.4375000000000001E-2</v>
      </c>
      <c r="CX240">
        <f t="shared" si="253"/>
        <v>0</v>
      </c>
      <c r="CY240">
        <f t="shared" si="254"/>
        <v>7.9608600000000003</v>
      </c>
      <c r="CZ240">
        <f t="shared" si="255"/>
        <v>4.0792350000000006</v>
      </c>
      <c r="DC240" t="s">
        <v>6</v>
      </c>
      <c r="DD240" t="s">
        <v>6</v>
      </c>
      <c r="DE240" t="s">
        <v>521</v>
      </c>
      <c r="DF240" t="s">
        <v>521</v>
      </c>
      <c r="DG240" t="s">
        <v>127</v>
      </c>
      <c r="DH240" t="s">
        <v>6</v>
      </c>
      <c r="DI240" t="s">
        <v>127</v>
      </c>
      <c r="DJ240" t="s">
        <v>521</v>
      </c>
      <c r="DK240" t="s">
        <v>6</v>
      </c>
      <c r="DL240" t="s">
        <v>6</v>
      </c>
      <c r="DM240" t="s">
        <v>6</v>
      </c>
      <c r="DN240">
        <v>0</v>
      </c>
      <c r="DO240">
        <v>0</v>
      </c>
      <c r="DP240">
        <v>1</v>
      </c>
      <c r="DQ240">
        <v>1</v>
      </c>
      <c r="DU240">
        <v>1005</v>
      </c>
      <c r="DV240" t="s">
        <v>124</v>
      </c>
      <c r="DW240" t="s">
        <v>124</v>
      </c>
      <c r="DX240">
        <v>100</v>
      </c>
      <c r="DZ240" t="s">
        <v>6</v>
      </c>
      <c r="EA240" t="s">
        <v>6</v>
      </c>
      <c r="EB240" t="s">
        <v>6</v>
      </c>
      <c r="EC240" t="s">
        <v>6</v>
      </c>
      <c r="EE240">
        <v>30852911</v>
      </c>
      <c r="EF240">
        <v>2</v>
      </c>
      <c r="EG240" t="s">
        <v>26</v>
      </c>
      <c r="EH240">
        <v>0</v>
      </c>
      <c r="EI240" t="s">
        <v>6</v>
      </c>
      <c r="EJ240">
        <v>1</v>
      </c>
      <c r="EK240">
        <v>13001</v>
      </c>
      <c r="EL240" t="s">
        <v>522</v>
      </c>
      <c r="EM240" t="s">
        <v>523</v>
      </c>
      <c r="EO240" t="s">
        <v>6</v>
      </c>
      <c r="EQ240">
        <v>131072</v>
      </c>
      <c r="ER240">
        <v>213.59</v>
      </c>
      <c r="ES240">
        <v>149.44999999999999</v>
      </c>
      <c r="ET240">
        <v>9.5500000000000007</v>
      </c>
      <c r="EU240">
        <v>0.1</v>
      </c>
      <c r="EV240">
        <v>54.59</v>
      </c>
      <c r="EW240">
        <v>5.31</v>
      </c>
      <c r="EX240">
        <v>0.01</v>
      </c>
      <c r="EY240">
        <v>0</v>
      </c>
      <c r="FQ240">
        <v>0</v>
      </c>
      <c r="FR240">
        <f t="shared" si="256"/>
        <v>0</v>
      </c>
      <c r="FS240">
        <v>0</v>
      </c>
      <c r="FT240" t="s">
        <v>29</v>
      </c>
      <c r="FU240" t="s">
        <v>30</v>
      </c>
      <c r="FX240">
        <v>84.6</v>
      </c>
      <c r="FY240">
        <v>43.35</v>
      </c>
      <c r="GA240" t="s">
        <v>6</v>
      </c>
      <c r="GD240">
        <v>1</v>
      </c>
      <c r="GF240">
        <v>-1905968480</v>
      </c>
      <c r="GG240">
        <v>2</v>
      </c>
      <c r="GH240">
        <v>1</v>
      </c>
      <c r="GI240">
        <v>4</v>
      </c>
      <c r="GJ240">
        <v>0</v>
      </c>
      <c r="GK240">
        <v>0</v>
      </c>
      <c r="GL240">
        <f t="shared" si="257"/>
        <v>0</v>
      </c>
      <c r="GM240">
        <f t="shared" si="258"/>
        <v>42.64</v>
      </c>
      <c r="GN240">
        <f t="shared" si="259"/>
        <v>42.64</v>
      </c>
      <c r="GO240">
        <f t="shared" si="260"/>
        <v>0</v>
      </c>
      <c r="GP240">
        <f t="shared" si="261"/>
        <v>0</v>
      </c>
      <c r="GR240">
        <v>0</v>
      </c>
      <c r="GS240">
        <v>0</v>
      </c>
      <c r="GT240">
        <v>0</v>
      </c>
      <c r="GU240" t="s">
        <v>6</v>
      </c>
      <c r="GV240">
        <f t="shared" si="262"/>
        <v>0</v>
      </c>
      <c r="GW240">
        <v>1</v>
      </c>
      <c r="GX240">
        <f t="shared" si="263"/>
        <v>0</v>
      </c>
      <c r="HA240">
        <v>0</v>
      </c>
      <c r="HB240">
        <v>0</v>
      </c>
      <c r="HC240">
        <f t="shared" si="264"/>
        <v>0</v>
      </c>
      <c r="HE240" t="s">
        <v>6</v>
      </c>
      <c r="HF240" t="s">
        <v>6</v>
      </c>
      <c r="HI240">
        <f t="shared" si="265"/>
        <v>0</v>
      </c>
      <c r="HJ240">
        <f t="shared" si="266"/>
        <v>227</v>
      </c>
      <c r="HK240">
        <f t="shared" si="267"/>
        <v>192</v>
      </c>
      <c r="HL240">
        <f t="shared" si="268"/>
        <v>98</v>
      </c>
      <c r="HM240" t="s">
        <v>6</v>
      </c>
      <c r="HN240" t="s">
        <v>6</v>
      </c>
      <c r="HO240" t="s">
        <v>6</v>
      </c>
      <c r="HP240" t="s">
        <v>6</v>
      </c>
      <c r="HQ240" t="s">
        <v>6</v>
      </c>
      <c r="IK240">
        <v>0</v>
      </c>
    </row>
    <row r="241" spans="1:245">
      <c r="A241">
        <v>17</v>
      </c>
      <c r="B241">
        <v>1</v>
      </c>
      <c r="C241">
        <f>ROW(SmtRes!A544)</f>
        <v>544</v>
      </c>
      <c r="D241">
        <f>ROW(EtalonRes!A569)</f>
        <v>569</v>
      </c>
      <c r="E241" t="s">
        <v>524</v>
      </c>
      <c r="F241" t="s">
        <v>525</v>
      </c>
      <c r="G241" t="s">
        <v>526</v>
      </c>
      <c r="H241" t="s">
        <v>407</v>
      </c>
      <c r="I241">
        <f>ROUND(3.2/1000,7)</f>
        <v>3.2000000000000002E-3</v>
      </c>
      <c r="J241">
        <v>0</v>
      </c>
      <c r="K241">
        <f>ROUND(3.2/1000,7)</f>
        <v>3.2000000000000002E-3</v>
      </c>
      <c r="O241">
        <f t="shared" si="228"/>
        <v>31.81</v>
      </c>
      <c r="P241">
        <f t="shared" si="229"/>
        <v>23.65</v>
      </c>
      <c r="Q241">
        <f t="shared" si="230"/>
        <v>0.16</v>
      </c>
      <c r="R241">
        <f t="shared" si="231"/>
        <v>0.01</v>
      </c>
      <c r="S241">
        <f t="shared" si="232"/>
        <v>8</v>
      </c>
      <c r="T241">
        <f t="shared" si="233"/>
        <v>0</v>
      </c>
      <c r="U241">
        <f t="shared" si="234"/>
        <v>0.91335023999999998</v>
      </c>
      <c r="V241">
        <f t="shared" si="235"/>
        <v>6.8999999999999997E-4</v>
      </c>
      <c r="W241">
        <f t="shared" si="236"/>
        <v>0</v>
      </c>
      <c r="X241">
        <f t="shared" si="237"/>
        <v>7.35</v>
      </c>
      <c r="Y241">
        <f t="shared" si="238"/>
        <v>3.95</v>
      </c>
      <c r="AA241">
        <v>31028412</v>
      </c>
      <c r="AB241">
        <f t="shared" si="239"/>
        <v>9943.0476749999998</v>
      </c>
      <c r="AC241">
        <f t="shared" si="271"/>
        <v>7391.71</v>
      </c>
      <c r="AD241">
        <f>ROUND(((((ET241*ROUND((1.25*1.15),7)))-((EU241*ROUND((1.25*1.15),7))))+AE241),6)</f>
        <v>51.045625000000001</v>
      </c>
      <c r="AE241">
        <f>ROUND(((EU241*ROUND((1.25*1.15),7))),6)</f>
        <v>2.8031250000000001</v>
      </c>
      <c r="AF241">
        <f>ROUND(((EV241*ROUND((1.15*1.15),7))),6)</f>
        <v>2500.29205</v>
      </c>
      <c r="AG241">
        <f t="shared" si="242"/>
        <v>0</v>
      </c>
      <c r="AH241">
        <f>((EW241*ROUND((1.15*1.15),7)))</f>
        <v>285.42194999999998</v>
      </c>
      <c r="AI241">
        <f>((EX241*ROUND((1.25*1.15),7)))</f>
        <v>0.21562499999999998</v>
      </c>
      <c r="AJ241">
        <f t="shared" si="244"/>
        <v>0</v>
      </c>
      <c r="AK241">
        <v>9317.7999999999993</v>
      </c>
      <c r="AL241">
        <v>7391.71</v>
      </c>
      <c r="AM241">
        <v>35.51</v>
      </c>
      <c r="AN241">
        <v>1.95</v>
      </c>
      <c r="AO241">
        <v>1890.58</v>
      </c>
      <c r="AP241">
        <v>0</v>
      </c>
      <c r="AQ241">
        <v>215.82</v>
      </c>
      <c r="AR241">
        <v>0.15</v>
      </c>
      <c r="AS241">
        <v>0</v>
      </c>
      <c r="AT241">
        <v>91.8</v>
      </c>
      <c r="AU241">
        <v>49.3</v>
      </c>
      <c r="AV241">
        <v>1</v>
      </c>
      <c r="AW241">
        <v>1</v>
      </c>
      <c r="AZ241">
        <v>1</v>
      </c>
      <c r="BA241">
        <v>24.22</v>
      </c>
      <c r="BB241">
        <v>1</v>
      </c>
      <c r="BC241">
        <v>1</v>
      </c>
      <c r="BD241" t="s">
        <v>6</v>
      </c>
      <c r="BE241" t="s">
        <v>6</v>
      </c>
      <c r="BF241" t="s">
        <v>6</v>
      </c>
      <c r="BG241" t="s">
        <v>6</v>
      </c>
      <c r="BH241">
        <v>0</v>
      </c>
      <c r="BI241">
        <v>1</v>
      </c>
      <c r="BJ241" t="s">
        <v>527</v>
      </c>
      <c r="BM241">
        <v>6001</v>
      </c>
      <c r="BN241">
        <v>0</v>
      </c>
      <c r="BO241" t="s">
        <v>1327</v>
      </c>
      <c r="BP241">
        <v>1</v>
      </c>
      <c r="BQ241">
        <v>2</v>
      </c>
      <c r="BR241">
        <v>0</v>
      </c>
      <c r="BS241">
        <v>24.22</v>
      </c>
      <c r="BT241">
        <v>1</v>
      </c>
      <c r="BU241">
        <v>1</v>
      </c>
      <c r="BV241">
        <v>1</v>
      </c>
      <c r="BW241">
        <v>1</v>
      </c>
      <c r="BX241">
        <v>1</v>
      </c>
      <c r="BY241" t="s">
        <v>6</v>
      </c>
      <c r="BZ241">
        <v>102</v>
      </c>
      <c r="CA241">
        <v>58</v>
      </c>
      <c r="CB241" t="s">
        <v>6</v>
      </c>
      <c r="CE241">
        <v>0</v>
      </c>
      <c r="CF241">
        <v>0</v>
      </c>
      <c r="CG241">
        <v>0</v>
      </c>
      <c r="CM241">
        <v>0</v>
      </c>
      <c r="CN241" t="s">
        <v>6</v>
      </c>
      <c r="CO241">
        <v>0</v>
      </c>
      <c r="CP241">
        <f t="shared" si="245"/>
        <v>31.81</v>
      </c>
      <c r="CQ241">
        <f t="shared" si="246"/>
        <v>7391.71</v>
      </c>
      <c r="CR241">
        <f t="shared" si="247"/>
        <v>51.045625000000001</v>
      </c>
      <c r="CS241">
        <f t="shared" si="248"/>
        <v>2.8031250000000001</v>
      </c>
      <c r="CT241">
        <f t="shared" si="249"/>
        <v>2500.29205</v>
      </c>
      <c r="CU241">
        <f t="shared" si="250"/>
        <v>0</v>
      </c>
      <c r="CV241">
        <f t="shared" si="251"/>
        <v>285.42194999999998</v>
      </c>
      <c r="CW241">
        <f t="shared" si="252"/>
        <v>0.21562499999999998</v>
      </c>
      <c r="CX241">
        <f t="shared" si="253"/>
        <v>0</v>
      </c>
      <c r="CY241">
        <f t="shared" si="254"/>
        <v>7.35318</v>
      </c>
      <c r="CZ241">
        <f t="shared" si="255"/>
        <v>3.9489299999999998</v>
      </c>
      <c r="DC241" t="s">
        <v>6</v>
      </c>
      <c r="DD241" t="s">
        <v>6</v>
      </c>
      <c r="DE241" t="s">
        <v>126</v>
      </c>
      <c r="DF241" t="s">
        <v>126</v>
      </c>
      <c r="DG241" t="s">
        <v>127</v>
      </c>
      <c r="DH241" t="s">
        <v>6</v>
      </c>
      <c r="DI241" t="s">
        <v>127</v>
      </c>
      <c r="DJ241" t="s">
        <v>126</v>
      </c>
      <c r="DK241" t="s">
        <v>6</v>
      </c>
      <c r="DL241" t="s">
        <v>6</v>
      </c>
      <c r="DM241" t="s">
        <v>6</v>
      </c>
      <c r="DN241">
        <v>0</v>
      </c>
      <c r="DO241">
        <v>0</v>
      </c>
      <c r="DP241">
        <v>1</v>
      </c>
      <c r="DQ241">
        <v>1</v>
      </c>
      <c r="DU241">
        <v>1013</v>
      </c>
      <c r="DV241" t="s">
        <v>407</v>
      </c>
      <c r="DW241" t="s">
        <v>407</v>
      </c>
      <c r="DX241">
        <v>1</v>
      </c>
      <c r="DZ241" t="s">
        <v>6</v>
      </c>
      <c r="EA241" t="s">
        <v>6</v>
      </c>
      <c r="EB241" t="s">
        <v>6</v>
      </c>
      <c r="EC241" t="s">
        <v>6</v>
      </c>
      <c r="EE241">
        <v>30852889</v>
      </c>
      <c r="EF241">
        <v>2</v>
      </c>
      <c r="EG241" t="s">
        <v>26</v>
      </c>
      <c r="EH241">
        <v>0</v>
      </c>
      <c r="EI241" t="s">
        <v>6</v>
      </c>
      <c r="EJ241">
        <v>1</v>
      </c>
      <c r="EK241">
        <v>6001</v>
      </c>
      <c r="EL241" t="s">
        <v>528</v>
      </c>
      <c r="EM241" t="s">
        <v>529</v>
      </c>
      <c r="EO241" t="s">
        <v>6</v>
      </c>
      <c r="EQ241">
        <v>131072</v>
      </c>
      <c r="ER241">
        <v>9317.7999999999993</v>
      </c>
      <c r="ES241">
        <v>7391.71</v>
      </c>
      <c r="ET241">
        <v>35.51</v>
      </c>
      <c r="EU241">
        <v>1.95</v>
      </c>
      <c r="EV241">
        <v>1890.58</v>
      </c>
      <c r="EW241">
        <v>215.82</v>
      </c>
      <c r="EX241">
        <v>0.15</v>
      </c>
      <c r="EY241">
        <v>0</v>
      </c>
      <c r="FQ241">
        <v>0</v>
      </c>
      <c r="FR241">
        <f t="shared" si="256"/>
        <v>0</v>
      </c>
      <c r="FS241">
        <v>0</v>
      </c>
      <c r="FT241" t="s">
        <v>29</v>
      </c>
      <c r="FU241" t="s">
        <v>30</v>
      </c>
      <c r="FX241">
        <v>91.8</v>
      </c>
      <c r="FY241">
        <v>49.3</v>
      </c>
      <c r="GA241" t="s">
        <v>6</v>
      </c>
      <c r="GD241">
        <v>1</v>
      </c>
      <c r="GF241">
        <v>-1286531835</v>
      </c>
      <c r="GG241">
        <v>2</v>
      </c>
      <c r="GH241">
        <v>1</v>
      </c>
      <c r="GI241">
        <v>4</v>
      </c>
      <c r="GJ241">
        <v>0</v>
      </c>
      <c r="GK241">
        <v>0</v>
      </c>
      <c r="GL241">
        <f t="shared" si="257"/>
        <v>0</v>
      </c>
      <c r="GM241">
        <f t="shared" si="258"/>
        <v>43.11</v>
      </c>
      <c r="GN241">
        <f t="shared" si="259"/>
        <v>43.11</v>
      </c>
      <c r="GO241">
        <f t="shared" si="260"/>
        <v>0</v>
      </c>
      <c r="GP241">
        <f t="shared" si="261"/>
        <v>0</v>
      </c>
      <c r="GR241">
        <v>0</v>
      </c>
      <c r="GS241">
        <v>0</v>
      </c>
      <c r="GT241">
        <v>0</v>
      </c>
      <c r="GU241" t="s">
        <v>6</v>
      </c>
      <c r="GV241">
        <f t="shared" si="262"/>
        <v>0</v>
      </c>
      <c r="GW241">
        <v>1</v>
      </c>
      <c r="GX241">
        <f t="shared" si="263"/>
        <v>0</v>
      </c>
      <c r="HA241">
        <v>0</v>
      </c>
      <c r="HB241">
        <v>0</v>
      </c>
      <c r="HC241">
        <f t="shared" si="264"/>
        <v>0</v>
      </c>
      <c r="HE241" t="s">
        <v>6</v>
      </c>
      <c r="HF241" t="s">
        <v>6</v>
      </c>
      <c r="HI241">
        <f t="shared" si="265"/>
        <v>0</v>
      </c>
      <c r="HJ241">
        <f t="shared" si="266"/>
        <v>194</v>
      </c>
      <c r="HK241">
        <f t="shared" si="267"/>
        <v>178</v>
      </c>
      <c r="HL241">
        <f t="shared" si="268"/>
        <v>96</v>
      </c>
      <c r="HM241" t="s">
        <v>6</v>
      </c>
      <c r="HN241" t="s">
        <v>6</v>
      </c>
      <c r="HO241" t="s">
        <v>6</v>
      </c>
      <c r="HP241" t="s">
        <v>6</v>
      </c>
      <c r="HQ241" t="s">
        <v>6</v>
      </c>
      <c r="IK241">
        <v>0</v>
      </c>
    </row>
    <row r="242" spans="1:245">
      <c r="A242">
        <v>17</v>
      </c>
      <c r="B242">
        <v>1</v>
      </c>
      <c r="C242">
        <f>ROW(SmtRes!A554)</f>
        <v>554</v>
      </c>
      <c r="D242">
        <f>ROW(EtalonRes!A580)</f>
        <v>580</v>
      </c>
      <c r="E242" t="s">
        <v>530</v>
      </c>
      <c r="F242" t="s">
        <v>531</v>
      </c>
      <c r="G242" t="s">
        <v>532</v>
      </c>
      <c r="H242" t="s">
        <v>533</v>
      </c>
      <c r="I242">
        <f>ROUND(0.01+0.9,7)</f>
        <v>0.91</v>
      </c>
      <c r="J242">
        <v>0</v>
      </c>
      <c r="K242">
        <f>ROUND(0.01+0.9,7)</f>
        <v>0.91</v>
      </c>
      <c r="O242">
        <f t="shared" si="228"/>
        <v>1671.78</v>
      </c>
      <c r="P242">
        <f t="shared" si="229"/>
        <v>1197.1500000000001</v>
      </c>
      <c r="Q242">
        <f t="shared" si="230"/>
        <v>23.8</v>
      </c>
      <c r="R242">
        <f t="shared" si="231"/>
        <v>0</v>
      </c>
      <c r="S242">
        <f t="shared" si="232"/>
        <v>450.83</v>
      </c>
      <c r="T242">
        <f t="shared" si="233"/>
        <v>0</v>
      </c>
      <c r="U242">
        <f t="shared" si="234"/>
        <v>57.724939999999997</v>
      </c>
      <c r="V242">
        <f t="shared" si="235"/>
        <v>0</v>
      </c>
      <c r="W242">
        <f t="shared" si="236"/>
        <v>0</v>
      </c>
      <c r="X242">
        <f t="shared" si="237"/>
        <v>464.35</v>
      </c>
      <c r="Y242">
        <f t="shared" si="238"/>
        <v>464.35</v>
      </c>
      <c r="AA242">
        <v>31028412</v>
      </c>
      <c r="AB242">
        <f t="shared" si="239"/>
        <v>1837.1210000000001</v>
      </c>
      <c r="AC242">
        <f t="shared" si="271"/>
        <v>1315.55</v>
      </c>
      <c r="AD242">
        <f>ROUND(((((ET242*ROUND(1.15,7)))-((EU242*ROUND(1.15,7))))+AE242),6)</f>
        <v>26.151</v>
      </c>
      <c r="AE242">
        <f>ROUND(((EU242*ROUND(1.15,7))),6)</f>
        <v>0</v>
      </c>
      <c r="AF242">
        <f>ROUND(((EV242*ROUND(1.15,7))),6)</f>
        <v>495.42</v>
      </c>
      <c r="AG242">
        <f t="shared" si="242"/>
        <v>0</v>
      </c>
      <c r="AH242">
        <f>((EW242*ROUND(1.15,7)))</f>
        <v>63.43399999999999</v>
      </c>
      <c r="AI242">
        <f>((EX242*ROUND(1.15,7)))</f>
        <v>0</v>
      </c>
      <c r="AJ242">
        <f t="shared" si="244"/>
        <v>0</v>
      </c>
      <c r="AK242">
        <v>1769.09</v>
      </c>
      <c r="AL242">
        <v>1315.55</v>
      </c>
      <c r="AM242">
        <v>22.74</v>
      </c>
      <c r="AN242">
        <v>0</v>
      </c>
      <c r="AO242">
        <v>430.8</v>
      </c>
      <c r="AP242">
        <v>0</v>
      </c>
      <c r="AQ242">
        <v>55.16</v>
      </c>
      <c r="AR242">
        <v>0</v>
      </c>
      <c r="AS242">
        <v>0</v>
      </c>
      <c r="AT242">
        <v>103</v>
      </c>
      <c r="AU242">
        <v>103</v>
      </c>
      <c r="AV242">
        <v>1</v>
      </c>
      <c r="AW242">
        <v>1</v>
      </c>
      <c r="AZ242">
        <v>1</v>
      </c>
      <c r="BA242">
        <v>24.22</v>
      </c>
      <c r="BB242">
        <v>1</v>
      </c>
      <c r="BC242">
        <v>1</v>
      </c>
      <c r="BD242" t="s">
        <v>6</v>
      </c>
      <c r="BE242" t="s">
        <v>6</v>
      </c>
      <c r="BF242" t="s">
        <v>6</v>
      </c>
      <c r="BG242" t="s">
        <v>6</v>
      </c>
      <c r="BH242">
        <v>0</v>
      </c>
      <c r="BI242">
        <v>1</v>
      </c>
      <c r="BJ242" t="s">
        <v>534</v>
      </c>
      <c r="BM242">
        <v>46001</v>
      </c>
      <c r="BN242">
        <v>0</v>
      </c>
      <c r="BO242" t="s">
        <v>1327</v>
      </c>
      <c r="BP242">
        <v>1</v>
      </c>
      <c r="BQ242">
        <v>2</v>
      </c>
      <c r="BR242">
        <v>0</v>
      </c>
      <c r="BS242">
        <v>24.22</v>
      </c>
      <c r="BT242">
        <v>1</v>
      </c>
      <c r="BU242">
        <v>1</v>
      </c>
      <c r="BV242">
        <v>1</v>
      </c>
      <c r="BW242">
        <v>1</v>
      </c>
      <c r="BX242">
        <v>1</v>
      </c>
      <c r="BY242" t="s">
        <v>6</v>
      </c>
      <c r="BZ242">
        <v>103</v>
      </c>
      <c r="CA242">
        <v>59</v>
      </c>
      <c r="CB242" t="s">
        <v>6</v>
      </c>
      <c r="CE242">
        <v>0</v>
      </c>
      <c r="CF242">
        <v>0</v>
      </c>
      <c r="CG242">
        <v>0</v>
      </c>
      <c r="CM242">
        <v>0</v>
      </c>
      <c r="CN242" t="s">
        <v>6</v>
      </c>
      <c r="CO242">
        <v>0</v>
      </c>
      <c r="CP242">
        <f t="shared" si="245"/>
        <v>1671.78</v>
      </c>
      <c r="CQ242">
        <f t="shared" si="246"/>
        <v>1315.55</v>
      </c>
      <c r="CR242">
        <f t="shared" si="247"/>
        <v>26.151</v>
      </c>
      <c r="CS242">
        <f t="shared" si="248"/>
        <v>0</v>
      </c>
      <c r="CT242">
        <f t="shared" si="249"/>
        <v>495.42</v>
      </c>
      <c r="CU242">
        <f t="shared" si="250"/>
        <v>0</v>
      </c>
      <c r="CV242">
        <f t="shared" si="251"/>
        <v>63.43399999999999</v>
      </c>
      <c r="CW242">
        <f t="shared" si="252"/>
        <v>0</v>
      </c>
      <c r="CX242">
        <f t="shared" si="253"/>
        <v>0</v>
      </c>
      <c r="CY242">
        <f t="shared" si="254"/>
        <v>464.35489999999999</v>
      </c>
      <c r="CZ242">
        <f t="shared" si="255"/>
        <v>464.35489999999999</v>
      </c>
      <c r="DC242" t="s">
        <v>6</v>
      </c>
      <c r="DD242" t="s">
        <v>6</v>
      </c>
      <c r="DE242" t="s">
        <v>36</v>
      </c>
      <c r="DF242" t="s">
        <v>36</v>
      </c>
      <c r="DG242" t="s">
        <v>36</v>
      </c>
      <c r="DH242" t="s">
        <v>6</v>
      </c>
      <c r="DI242" t="s">
        <v>36</v>
      </c>
      <c r="DJ242" t="s">
        <v>36</v>
      </c>
      <c r="DK242" t="s">
        <v>6</v>
      </c>
      <c r="DL242" t="s">
        <v>6</v>
      </c>
      <c r="DM242" t="s">
        <v>6</v>
      </c>
      <c r="DN242">
        <v>0</v>
      </c>
      <c r="DO242">
        <v>0</v>
      </c>
      <c r="DP242">
        <v>1</v>
      </c>
      <c r="DQ242">
        <v>1</v>
      </c>
      <c r="DU242">
        <v>1013</v>
      </c>
      <c r="DV242" t="s">
        <v>533</v>
      </c>
      <c r="DW242" t="s">
        <v>533</v>
      </c>
      <c r="DX242">
        <v>1</v>
      </c>
      <c r="DZ242" t="s">
        <v>6</v>
      </c>
      <c r="EA242" t="s">
        <v>6</v>
      </c>
      <c r="EB242" t="s">
        <v>6</v>
      </c>
      <c r="EC242" t="s">
        <v>6</v>
      </c>
      <c r="EE242">
        <v>30852996</v>
      </c>
      <c r="EF242">
        <v>2</v>
      </c>
      <c r="EG242" t="s">
        <v>26</v>
      </c>
      <c r="EH242">
        <v>0</v>
      </c>
      <c r="EI242" t="s">
        <v>6</v>
      </c>
      <c r="EJ242">
        <v>1</v>
      </c>
      <c r="EK242">
        <v>46001</v>
      </c>
      <c r="EL242" t="s">
        <v>330</v>
      </c>
      <c r="EM242" t="s">
        <v>206</v>
      </c>
      <c r="EO242" t="s">
        <v>6</v>
      </c>
      <c r="EQ242">
        <v>0</v>
      </c>
      <c r="ER242">
        <v>1769.09</v>
      </c>
      <c r="ES242">
        <v>1315.55</v>
      </c>
      <c r="ET242">
        <v>22.74</v>
      </c>
      <c r="EU242">
        <v>0</v>
      </c>
      <c r="EV242">
        <v>430.8</v>
      </c>
      <c r="EW242">
        <v>55.16</v>
      </c>
      <c r="EX242">
        <v>0</v>
      </c>
      <c r="EY242">
        <v>0</v>
      </c>
      <c r="FQ242">
        <v>0</v>
      </c>
      <c r="FR242">
        <f t="shared" si="256"/>
        <v>0</v>
      </c>
      <c r="FS242">
        <v>0</v>
      </c>
      <c r="FX242">
        <v>103</v>
      </c>
      <c r="FY242">
        <v>103</v>
      </c>
      <c r="GA242" t="s">
        <v>6</v>
      </c>
      <c r="GD242">
        <v>1</v>
      </c>
      <c r="GF242">
        <v>-1699415227</v>
      </c>
      <c r="GG242">
        <v>2</v>
      </c>
      <c r="GH242">
        <v>1</v>
      </c>
      <c r="GI242">
        <v>4</v>
      </c>
      <c r="GJ242">
        <v>0</v>
      </c>
      <c r="GK242">
        <v>0</v>
      </c>
      <c r="GL242">
        <f t="shared" si="257"/>
        <v>0</v>
      </c>
      <c r="GM242">
        <f t="shared" si="258"/>
        <v>2600.48</v>
      </c>
      <c r="GN242">
        <f t="shared" si="259"/>
        <v>2600.48</v>
      </c>
      <c r="GO242">
        <f t="shared" si="260"/>
        <v>0</v>
      </c>
      <c r="GP242">
        <f t="shared" si="261"/>
        <v>0</v>
      </c>
      <c r="GR242">
        <v>0</v>
      </c>
      <c r="GS242">
        <v>3</v>
      </c>
      <c r="GT242">
        <v>0</v>
      </c>
      <c r="GU242" t="s">
        <v>6</v>
      </c>
      <c r="GV242">
        <f t="shared" si="262"/>
        <v>0</v>
      </c>
      <c r="GW242">
        <v>1</v>
      </c>
      <c r="GX242">
        <f t="shared" si="263"/>
        <v>0</v>
      </c>
      <c r="HA242">
        <v>0</v>
      </c>
      <c r="HB242">
        <v>0</v>
      </c>
      <c r="HC242">
        <f t="shared" si="264"/>
        <v>0</v>
      </c>
      <c r="HE242" t="s">
        <v>6</v>
      </c>
      <c r="HF242" t="s">
        <v>6</v>
      </c>
      <c r="HI242">
        <f t="shared" si="265"/>
        <v>0</v>
      </c>
      <c r="HJ242">
        <f t="shared" si="266"/>
        <v>10919</v>
      </c>
      <c r="HK242">
        <f t="shared" si="267"/>
        <v>11247</v>
      </c>
      <c r="HL242">
        <f t="shared" si="268"/>
        <v>11247</v>
      </c>
      <c r="HM242" t="s">
        <v>6</v>
      </c>
      <c r="HN242" t="s">
        <v>6</v>
      </c>
      <c r="HO242" t="s">
        <v>6</v>
      </c>
      <c r="HP242" t="s">
        <v>6</v>
      </c>
      <c r="HQ242" t="s">
        <v>6</v>
      </c>
      <c r="IK242">
        <v>0</v>
      </c>
    </row>
    <row r="243" spans="1:245">
      <c r="A243">
        <v>17</v>
      </c>
      <c r="B243">
        <v>1</v>
      </c>
      <c r="E243" t="s">
        <v>535</v>
      </c>
      <c r="F243" t="s">
        <v>536</v>
      </c>
      <c r="G243" t="s">
        <v>537</v>
      </c>
      <c r="H243" t="s">
        <v>109</v>
      </c>
      <c r="I243">
        <f>ROUND(I242*-1.04,7)</f>
        <v>-0.94640000000000002</v>
      </c>
      <c r="J243">
        <v>0</v>
      </c>
      <c r="K243">
        <f>ROUND(I242*-1.04,7)</f>
        <v>-0.94640000000000002</v>
      </c>
      <c r="O243">
        <f t="shared" si="228"/>
        <v>-739.15</v>
      </c>
      <c r="P243">
        <f t="shared" si="229"/>
        <v>-739.15</v>
      </c>
      <c r="Q243">
        <f t="shared" si="230"/>
        <v>0</v>
      </c>
      <c r="R243">
        <f t="shared" si="231"/>
        <v>0</v>
      </c>
      <c r="S243">
        <f t="shared" si="232"/>
        <v>0</v>
      </c>
      <c r="T243">
        <f t="shared" si="233"/>
        <v>0</v>
      </c>
      <c r="U243">
        <f t="shared" si="234"/>
        <v>0</v>
      </c>
      <c r="V243">
        <f t="shared" si="235"/>
        <v>0</v>
      </c>
      <c r="W243">
        <f t="shared" si="236"/>
        <v>0</v>
      </c>
      <c r="X243">
        <f t="shared" si="237"/>
        <v>0</v>
      </c>
      <c r="Y243">
        <f t="shared" si="238"/>
        <v>0</v>
      </c>
      <c r="AA243">
        <v>31028412</v>
      </c>
      <c r="AB243">
        <f t="shared" si="239"/>
        <v>781.01</v>
      </c>
      <c r="AC243">
        <f t="shared" si="271"/>
        <v>781.01</v>
      </c>
      <c r="AD243">
        <f>ROUND((((ET243)-(EU243))+AE243),6)</f>
        <v>0</v>
      </c>
      <c r="AE243">
        <f>ROUND((EU243),6)</f>
        <v>0</v>
      </c>
      <c r="AF243">
        <f>ROUND((EV243),6)</f>
        <v>0</v>
      </c>
      <c r="AG243">
        <f t="shared" si="242"/>
        <v>0</v>
      </c>
      <c r="AH243">
        <f>(EW243)</f>
        <v>0</v>
      </c>
      <c r="AI243">
        <f>(EX243)</f>
        <v>0</v>
      </c>
      <c r="AJ243">
        <f t="shared" si="244"/>
        <v>0</v>
      </c>
      <c r="AK243">
        <v>781.01</v>
      </c>
      <c r="AL243">
        <v>781.01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1</v>
      </c>
      <c r="AW243">
        <v>1</v>
      </c>
      <c r="AZ243">
        <v>1</v>
      </c>
      <c r="BA243">
        <v>1</v>
      </c>
      <c r="BB243">
        <v>1</v>
      </c>
      <c r="BC243">
        <v>1</v>
      </c>
      <c r="BD243" t="s">
        <v>6</v>
      </c>
      <c r="BE243" t="s">
        <v>6</v>
      </c>
      <c r="BF243" t="s">
        <v>6</v>
      </c>
      <c r="BG243" t="s">
        <v>6</v>
      </c>
      <c r="BH243">
        <v>3</v>
      </c>
      <c r="BI243">
        <v>1</v>
      </c>
      <c r="BJ243" t="s">
        <v>538</v>
      </c>
      <c r="BM243">
        <v>500001</v>
      </c>
      <c r="BN243">
        <v>0</v>
      </c>
      <c r="BO243" t="s">
        <v>111</v>
      </c>
      <c r="BP243">
        <v>1</v>
      </c>
      <c r="BQ243">
        <v>8</v>
      </c>
      <c r="BR243">
        <v>1</v>
      </c>
      <c r="BS243">
        <v>1</v>
      </c>
      <c r="BT243">
        <v>1</v>
      </c>
      <c r="BU243">
        <v>1</v>
      </c>
      <c r="BV243">
        <v>1</v>
      </c>
      <c r="BW243">
        <v>1</v>
      </c>
      <c r="BX243">
        <v>1</v>
      </c>
      <c r="BY243" t="s">
        <v>6</v>
      </c>
      <c r="BZ243">
        <v>0</v>
      </c>
      <c r="CA243">
        <v>0</v>
      </c>
      <c r="CB243" t="s">
        <v>6</v>
      </c>
      <c r="CE243">
        <v>0</v>
      </c>
      <c r="CF243">
        <v>0</v>
      </c>
      <c r="CG243">
        <v>0</v>
      </c>
      <c r="CM243">
        <v>0</v>
      </c>
      <c r="CN243" t="s">
        <v>6</v>
      </c>
      <c r="CO243">
        <v>0</v>
      </c>
      <c r="CP243">
        <f t="shared" si="245"/>
        <v>-739.15</v>
      </c>
      <c r="CQ243">
        <f t="shared" si="246"/>
        <v>781.01</v>
      </c>
      <c r="CR243">
        <f t="shared" si="247"/>
        <v>0</v>
      </c>
      <c r="CS243">
        <f t="shared" si="248"/>
        <v>0</v>
      </c>
      <c r="CT243">
        <f t="shared" si="249"/>
        <v>0</v>
      </c>
      <c r="CU243">
        <f t="shared" si="250"/>
        <v>0</v>
      </c>
      <c r="CV243">
        <f t="shared" si="251"/>
        <v>0</v>
      </c>
      <c r="CW243">
        <f t="shared" si="252"/>
        <v>0</v>
      </c>
      <c r="CX243">
        <f t="shared" si="253"/>
        <v>0</v>
      </c>
      <c r="CY243">
        <f t="shared" si="254"/>
        <v>0</v>
      </c>
      <c r="CZ243">
        <f t="shared" si="255"/>
        <v>0</v>
      </c>
      <c r="DC243" t="s">
        <v>6</v>
      </c>
      <c r="DD243" t="s">
        <v>6</v>
      </c>
      <c r="DE243" t="s">
        <v>6</v>
      </c>
      <c r="DF243" t="s">
        <v>6</v>
      </c>
      <c r="DG243" t="s">
        <v>6</v>
      </c>
      <c r="DH243" t="s">
        <v>6</v>
      </c>
      <c r="DI243" t="s">
        <v>6</v>
      </c>
      <c r="DJ243" t="s">
        <v>6</v>
      </c>
      <c r="DK243" t="s">
        <v>6</v>
      </c>
      <c r="DL243" t="s">
        <v>6</v>
      </c>
      <c r="DM243" t="s">
        <v>6</v>
      </c>
      <c r="DN243">
        <v>0</v>
      </c>
      <c r="DO243">
        <v>0</v>
      </c>
      <c r="DP243">
        <v>1</v>
      </c>
      <c r="DQ243">
        <v>1</v>
      </c>
      <c r="DU243">
        <v>1007</v>
      </c>
      <c r="DV243" t="s">
        <v>109</v>
      </c>
      <c r="DW243" t="s">
        <v>109</v>
      </c>
      <c r="DX243">
        <v>1</v>
      </c>
      <c r="DZ243" t="s">
        <v>6</v>
      </c>
      <c r="EA243" t="s">
        <v>6</v>
      </c>
      <c r="EB243" t="s">
        <v>6</v>
      </c>
      <c r="EC243" t="s">
        <v>6</v>
      </c>
      <c r="EE243">
        <v>30852824</v>
      </c>
      <c r="EF243">
        <v>8</v>
      </c>
      <c r="EG243" t="s">
        <v>112</v>
      </c>
      <c r="EH243">
        <v>0</v>
      </c>
      <c r="EI243" t="s">
        <v>6</v>
      </c>
      <c r="EJ243">
        <v>1</v>
      </c>
      <c r="EK243">
        <v>500001</v>
      </c>
      <c r="EL243" t="s">
        <v>113</v>
      </c>
      <c r="EM243" t="s">
        <v>114</v>
      </c>
      <c r="EO243" t="s">
        <v>6</v>
      </c>
      <c r="EQ243">
        <v>32768</v>
      </c>
      <c r="ER243">
        <v>781.01</v>
      </c>
      <c r="ES243">
        <v>781.01</v>
      </c>
      <c r="ET243">
        <v>0</v>
      </c>
      <c r="EU243">
        <v>0</v>
      </c>
      <c r="EV243">
        <v>0</v>
      </c>
      <c r="EW243">
        <v>0</v>
      </c>
      <c r="EX243">
        <v>0</v>
      </c>
      <c r="EY243">
        <v>0</v>
      </c>
      <c r="FQ243">
        <v>0</v>
      </c>
      <c r="FR243">
        <f t="shared" si="256"/>
        <v>0</v>
      </c>
      <c r="FS243">
        <v>0</v>
      </c>
      <c r="FX243">
        <v>0</v>
      </c>
      <c r="FY243">
        <v>0</v>
      </c>
      <c r="GA243" t="s">
        <v>6</v>
      </c>
      <c r="GD243">
        <v>1</v>
      </c>
      <c r="GF243">
        <v>-1878584428</v>
      </c>
      <c r="GG243">
        <v>2</v>
      </c>
      <c r="GH243">
        <v>1</v>
      </c>
      <c r="GI243">
        <v>4</v>
      </c>
      <c r="GJ243">
        <v>0</v>
      </c>
      <c r="GK243">
        <v>0</v>
      </c>
      <c r="GL243">
        <f t="shared" si="257"/>
        <v>0</v>
      </c>
      <c r="GM243">
        <f t="shared" si="258"/>
        <v>-739.15</v>
      </c>
      <c r="GN243">
        <f t="shared" si="259"/>
        <v>-739.15</v>
      </c>
      <c r="GO243">
        <f t="shared" si="260"/>
        <v>0</v>
      </c>
      <c r="GP243">
        <f t="shared" si="261"/>
        <v>0</v>
      </c>
      <c r="GR243">
        <v>0</v>
      </c>
      <c r="GS243">
        <v>3</v>
      </c>
      <c r="GT243">
        <v>0</v>
      </c>
      <c r="GU243" t="s">
        <v>6</v>
      </c>
      <c r="GV243">
        <f t="shared" si="262"/>
        <v>0</v>
      </c>
      <c r="GW243">
        <v>1</v>
      </c>
      <c r="GX243">
        <f t="shared" si="263"/>
        <v>0</v>
      </c>
      <c r="HA243">
        <v>0</v>
      </c>
      <c r="HB243">
        <v>0</v>
      </c>
      <c r="HC243">
        <f t="shared" si="264"/>
        <v>0</v>
      </c>
      <c r="HE243" t="s">
        <v>6</v>
      </c>
      <c r="HF243" t="s">
        <v>6</v>
      </c>
      <c r="HI243">
        <f t="shared" si="265"/>
        <v>0</v>
      </c>
      <c r="HJ243">
        <f t="shared" si="266"/>
        <v>0</v>
      </c>
      <c r="HK243">
        <f t="shared" si="267"/>
        <v>0</v>
      </c>
      <c r="HL243">
        <f t="shared" si="268"/>
        <v>0</v>
      </c>
      <c r="HM243" t="s">
        <v>6</v>
      </c>
      <c r="HN243" t="s">
        <v>6</v>
      </c>
      <c r="HO243" t="s">
        <v>6</v>
      </c>
      <c r="HP243" t="s">
        <v>6</v>
      </c>
      <c r="HQ243" t="s">
        <v>6</v>
      </c>
      <c r="IK243">
        <v>0</v>
      </c>
    </row>
    <row r="244" spans="1:245">
      <c r="A244">
        <v>17</v>
      </c>
      <c r="B244">
        <v>1</v>
      </c>
      <c r="E244" t="s">
        <v>539</v>
      </c>
      <c r="F244" t="s">
        <v>540</v>
      </c>
      <c r="G244" t="s">
        <v>541</v>
      </c>
      <c r="H244" t="s">
        <v>109</v>
      </c>
      <c r="I244">
        <v>0.94640000000000002</v>
      </c>
      <c r="J244">
        <v>0</v>
      </c>
      <c r="K244">
        <v>0.94640000000000002</v>
      </c>
      <c r="O244">
        <f t="shared" si="228"/>
        <v>470.97</v>
      </c>
      <c r="P244">
        <f t="shared" si="229"/>
        <v>470.97</v>
      </c>
      <c r="Q244">
        <f t="shared" si="230"/>
        <v>0</v>
      </c>
      <c r="R244">
        <f t="shared" si="231"/>
        <v>0</v>
      </c>
      <c r="S244">
        <f t="shared" si="232"/>
        <v>0</v>
      </c>
      <c r="T244">
        <f t="shared" si="233"/>
        <v>0</v>
      </c>
      <c r="U244">
        <f t="shared" si="234"/>
        <v>0</v>
      </c>
      <c r="V244">
        <f t="shared" si="235"/>
        <v>0</v>
      </c>
      <c r="W244">
        <f t="shared" si="236"/>
        <v>0</v>
      </c>
      <c r="X244">
        <f t="shared" si="237"/>
        <v>0</v>
      </c>
      <c r="Y244">
        <f t="shared" si="238"/>
        <v>0</v>
      </c>
      <c r="AA244">
        <v>31028412</v>
      </c>
      <c r="AB244">
        <f t="shared" si="239"/>
        <v>497.64</v>
      </c>
      <c r="AC244">
        <f t="shared" si="271"/>
        <v>497.64</v>
      </c>
      <c r="AD244">
        <f>ROUND((((ET244)-(EU244))+AE244),6)</f>
        <v>0</v>
      </c>
      <c r="AE244">
        <f>ROUND((EU244),6)</f>
        <v>0</v>
      </c>
      <c r="AF244">
        <f>ROUND((EV244),6)</f>
        <v>0</v>
      </c>
      <c r="AG244">
        <f t="shared" si="242"/>
        <v>0</v>
      </c>
      <c r="AH244">
        <f>(EW244)</f>
        <v>0</v>
      </c>
      <c r="AI244">
        <f>(EX244)</f>
        <v>0</v>
      </c>
      <c r="AJ244">
        <f t="shared" si="244"/>
        <v>0</v>
      </c>
      <c r="AK244">
        <v>497.64</v>
      </c>
      <c r="AL244">
        <v>497.64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1</v>
      </c>
      <c r="AW244">
        <v>1</v>
      </c>
      <c r="AZ244">
        <v>1</v>
      </c>
      <c r="BA244">
        <v>1</v>
      </c>
      <c r="BB244">
        <v>1</v>
      </c>
      <c r="BC244">
        <v>1</v>
      </c>
      <c r="BD244" t="s">
        <v>6</v>
      </c>
      <c r="BE244" t="s">
        <v>6</v>
      </c>
      <c r="BF244" t="s">
        <v>6</v>
      </c>
      <c r="BG244" t="s">
        <v>6</v>
      </c>
      <c r="BH244">
        <v>3</v>
      </c>
      <c r="BI244">
        <v>1</v>
      </c>
      <c r="BJ244" t="s">
        <v>542</v>
      </c>
      <c r="BM244">
        <v>500001</v>
      </c>
      <c r="BN244">
        <v>0</v>
      </c>
      <c r="BO244" t="s">
        <v>111</v>
      </c>
      <c r="BP244">
        <v>1</v>
      </c>
      <c r="BQ244">
        <v>8</v>
      </c>
      <c r="BR244">
        <v>0</v>
      </c>
      <c r="BS244">
        <v>1</v>
      </c>
      <c r="BT244">
        <v>1</v>
      </c>
      <c r="BU244">
        <v>1</v>
      </c>
      <c r="BV244">
        <v>1</v>
      </c>
      <c r="BW244">
        <v>1</v>
      </c>
      <c r="BX244">
        <v>1</v>
      </c>
      <c r="BY244" t="s">
        <v>6</v>
      </c>
      <c r="BZ244">
        <v>0</v>
      </c>
      <c r="CA244">
        <v>0</v>
      </c>
      <c r="CB244" t="s">
        <v>6</v>
      </c>
      <c r="CE244">
        <v>0</v>
      </c>
      <c r="CF244">
        <v>0</v>
      </c>
      <c r="CG244">
        <v>0</v>
      </c>
      <c r="CM244">
        <v>0</v>
      </c>
      <c r="CN244" t="s">
        <v>6</v>
      </c>
      <c r="CO244">
        <v>0</v>
      </c>
      <c r="CP244">
        <f t="shared" si="245"/>
        <v>470.97</v>
      </c>
      <c r="CQ244">
        <f t="shared" si="246"/>
        <v>497.64</v>
      </c>
      <c r="CR244">
        <f t="shared" si="247"/>
        <v>0</v>
      </c>
      <c r="CS244">
        <f t="shared" si="248"/>
        <v>0</v>
      </c>
      <c r="CT244">
        <f t="shared" si="249"/>
        <v>0</v>
      </c>
      <c r="CU244">
        <f t="shared" si="250"/>
        <v>0</v>
      </c>
      <c r="CV244">
        <f t="shared" si="251"/>
        <v>0</v>
      </c>
      <c r="CW244">
        <f t="shared" si="252"/>
        <v>0</v>
      </c>
      <c r="CX244">
        <f t="shared" si="253"/>
        <v>0</v>
      </c>
      <c r="CY244">
        <f t="shared" si="254"/>
        <v>0</v>
      </c>
      <c r="CZ244">
        <f t="shared" si="255"/>
        <v>0</v>
      </c>
      <c r="DC244" t="s">
        <v>6</v>
      </c>
      <c r="DD244" t="s">
        <v>6</v>
      </c>
      <c r="DE244" t="s">
        <v>6</v>
      </c>
      <c r="DF244" t="s">
        <v>6</v>
      </c>
      <c r="DG244" t="s">
        <v>6</v>
      </c>
      <c r="DH244" t="s">
        <v>6</v>
      </c>
      <c r="DI244" t="s">
        <v>6</v>
      </c>
      <c r="DJ244" t="s">
        <v>6</v>
      </c>
      <c r="DK244" t="s">
        <v>6</v>
      </c>
      <c r="DL244" t="s">
        <v>6</v>
      </c>
      <c r="DM244" t="s">
        <v>6</v>
      </c>
      <c r="DN244">
        <v>0</v>
      </c>
      <c r="DO244">
        <v>0</v>
      </c>
      <c r="DP244">
        <v>1</v>
      </c>
      <c r="DQ244">
        <v>1</v>
      </c>
      <c r="DU244">
        <v>1007</v>
      </c>
      <c r="DV244" t="s">
        <v>109</v>
      </c>
      <c r="DW244" t="s">
        <v>109</v>
      </c>
      <c r="DX244">
        <v>1</v>
      </c>
      <c r="DZ244" t="s">
        <v>6</v>
      </c>
      <c r="EA244" t="s">
        <v>6</v>
      </c>
      <c r="EB244" t="s">
        <v>6</v>
      </c>
      <c r="EC244" t="s">
        <v>6</v>
      </c>
      <c r="EE244">
        <v>30852824</v>
      </c>
      <c r="EF244">
        <v>8</v>
      </c>
      <c r="EG244" t="s">
        <v>112</v>
      </c>
      <c r="EH244">
        <v>0</v>
      </c>
      <c r="EI244" t="s">
        <v>6</v>
      </c>
      <c r="EJ244">
        <v>1</v>
      </c>
      <c r="EK244">
        <v>500001</v>
      </c>
      <c r="EL244" t="s">
        <v>113</v>
      </c>
      <c r="EM244" t="s">
        <v>114</v>
      </c>
      <c r="EO244" t="s">
        <v>6</v>
      </c>
      <c r="EQ244">
        <v>0</v>
      </c>
      <c r="ER244">
        <v>497.64</v>
      </c>
      <c r="ES244">
        <v>497.64</v>
      </c>
      <c r="ET244">
        <v>0</v>
      </c>
      <c r="EU244">
        <v>0</v>
      </c>
      <c r="EV244">
        <v>0</v>
      </c>
      <c r="EW244">
        <v>0</v>
      </c>
      <c r="EX244">
        <v>0</v>
      </c>
      <c r="EY244">
        <v>0</v>
      </c>
      <c r="FQ244">
        <v>0</v>
      </c>
      <c r="FR244">
        <f t="shared" si="256"/>
        <v>0</v>
      </c>
      <c r="FS244">
        <v>0</v>
      </c>
      <c r="FX244">
        <v>0</v>
      </c>
      <c r="FY244">
        <v>0</v>
      </c>
      <c r="GA244" t="s">
        <v>6</v>
      </c>
      <c r="GD244">
        <v>1</v>
      </c>
      <c r="GF244">
        <v>-1397798325</v>
      </c>
      <c r="GG244">
        <v>2</v>
      </c>
      <c r="GH244">
        <v>1</v>
      </c>
      <c r="GI244">
        <v>4</v>
      </c>
      <c r="GJ244">
        <v>0</v>
      </c>
      <c r="GK244">
        <v>0</v>
      </c>
      <c r="GL244">
        <f t="shared" si="257"/>
        <v>0</v>
      </c>
      <c r="GM244">
        <f t="shared" si="258"/>
        <v>470.97</v>
      </c>
      <c r="GN244">
        <f t="shared" si="259"/>
        <v>470.97</v>
      </c>
      <c r="GO244">
        <f t="shared" si="260"/>
        <v>0</v>
      </c>
      <c r="GP244">
        <f t="shared" si="261"/>
        <v>0</v>
      </c>
      <c r="GR244">
        <v>0</v>
      </c>
      <c r="GS244">
        <v>3</v>
      </c>
      <c r="GT244">
        <v>0</v>
      </c>
      <c r="GU244" t="s">
        <v>6</v>
      </c>
      <c r="GV244">
        <f t="shared" si="262"/>
        <v>0</v>
      </c>
      <c r="GW244">
        <v>1</v>
      </c>
      <c r="GX244">
        <f t="shared" si="263"/>
        <v>0</v>
      </c>
      <c r="HA244">
        <v>0</v>
      </c>
      <c r="HB244">
        <v>0</v>
      </c>
      <c r="HC244">
        <f t="shared" si="264"/>
        <v>0</v>
      </c>
      <c r="HE244" t="s">
        <v>6</v>
      </c>
      <c r="HF244" t="s">
        <v>6</v>
      </c>
      <c r="HI244">
        <f t="shared" si="265"/>
        <v>0</v>
      </c>
      <c r="HJ244">
        <f t="shared" si="266"/>
        <v>0</v>
      </c>
      <c r="HK244">
        <f t="shared" si="267"/>
        <v>0</v>
      </c>
      <c r="HL244">
        <f t="shared" si="268"/>
        <v>0</v>
      </c>
      <c r="HM244" t="s">
        <v>6</v>
      </c>
      <c r="HN244" t="s">
        <v>6</v>
      </c>
      <c r="HO244" t="s">
        <v>6</v>
      </c>
      <c r="HP244" t="s">
        <v>6</v>
      </c>
      <c r="HQ244" t="s">
        <v>6</v>
      </c>
      <c r="IK244">
        <v>0</v>
      </c>
    </row>
    <row r="245" spans="1:245">
      <c r="A245">
        <v>17</v>
      </c>
      <c r="B245">
        <v>1</v>
      </c>
      <c r="C245">
        <f>ROW(SmtRes!A557)</f>
        <v>557</v>
      </c>
      <c r="D245">
        <f>ROW(EtalonRes!A583)</f>
        <v>583</v>
      </c>
      <c r="E245" t="s">
        <v>543</v>
      </c>
      <c r="F245" t="s">
        <v>544</v>
      </c>
      <c r="G245" t="s">
        <v>545</v>
      </c>
      <c r="H245" t="s">
        <v>546</v>
      </c>
      <c r="I245">
        <f>ROUND(400/100,7)</f>
        <v>4</v>
      </c>
      <c r="J245">
        <v>0</v>
      </c>
      <c r="K245">
        <f>ROUND(400/100,7)</f>
        <v>4</v>
      </c>
      <c r="O245">
        <f t="shared" si="228"/>
        <v>255.12</v>
      </c>
      <c r="P245">
        <f t="shared" si="229"/>
        <v>0</v>
      </c>
      <c r="Q245">
        <f t="shared" si="230"/>
        <v>47.29</v>
      </c>
      <c r="R245">
        <f t="shared" si="231"/>
        <v>0</v>
      </c>
      <c r="S245">
        <f t="shared" si="232"/>
        <v>207.83</v>
      </c>
      <c r="T245">
        <f t="shared" si="233"/>
        <v>0</v>
      </c>
      <c r="U245">
        <f t="shared" si="234"/>
        <v>25.253999999999998</v>
      </c>
      <c r="V245">
        <f t="shared" si="235"/>
        <v>0</v>
      </c>
      <c r="W245">
        <f t="shared" si="236"/>
        <v>0</v>
      </c>
      <c r="X245">
        <f t="shared" si="237"/>
        <v>191.2</v>
      </c>
      <c r="Y245">
        <f t="shared" si="238"/>
        <v>91.45</v>
      </c>
      <c r="AA245">
        <v>31028412</v>
      </c>
      <c r="AB245">
        <f t="shared" si="239"/>
        <v>63.779000000000003</v>
      </c>
      <c r="AC245">
        <f t="shared" si="271"/>
        <v>0</v>
      </c>
      <c r="AD245">
        <f>ROUND(((((ET245*ROUND(1.15,7)))-((EU245*ROUND(1.15,7))))+AE245),6)</f>
        <v>11.821999999999999</v>
      </c>
      <c r="AE245">
        <f>ROUND(((EU245*ROUND(1.15,7))),6)</f>
        <v>0</v>
      </c>
      <c r="AF245">
        <f>ROUND(((EV245*ROUND(1.15,7))),6)</f>
        <v>51.957000000000001</v>
      </c>
      <c r="AG245">
        <f t="shared" si="242"/>
        <v>0</v>
      </c>
      <c r="AH245">
        <f>((EW245*ROUND(1.15,7)))</f>
        <v>6.3134999999999994</v>
      </c>
      <c r="AI245">
        <f>((EX245*ROUND(1.15,7)))</f>
        <v>0</v>
      </c>
      <c r="AJ245">
        <f t="shared" si="244"/>
        <v>0</v>
      </c>
      <c r="AK245">
        <v>55.46</v>
      </c>
      <c r="AL245">
        <v>0</v>
      </c>
      <c r="AM245">
        <v>10.28</v>
      </c>
      <c r="AN245">
        <v>0</v>
      </c>
      <c r="AO245">
        <v>45.18</v>
      </c>
      <c r="AP245">
        <v>0</v>
      </c>
      <c r="AQ245">
        <v>5.49</v>
      </c>
      <c r="AR245">
        <v>0</v>
      </c>
      <c r="AS245">
        <v>0</v>
      </c>
      <c r="AT245">
        <v>92</v>
      </c>
      <c r="AU245">
        <v>44</v>
      </c>
      <c r="AV245">
        <v>1</v>
      </c>
      <c r="AW245">
        <v>1</v>
      </c>
      <c r="AZ245">
        <v>1</v>
      </c>
      <c r="BA245">
        <v>24.22</v>
      </c>
      <c r="BB245">
        <v>1</v>
      </c>
      <c r="BC245">
        <v>1</v>
      </c>
      <c r="BD245" t="s">
        <v>6</v>
      </c>
      <c r="BE245" t="s">
        <v>6</v>
      </c>
      <c r="BF245" t="s">
        <v>6</v>
      </c>
      <c r="BG245" t="s">
        <v>6</v>
      </c>
      <c r="BH245">
        <v>0</v>
      </c>
      <c r="BI245">
        <v>1</v>
      </c>
      <c r="BJ245" t="s">
        <v>547</v>
      </c>
      <c r="BM245">
        <v>69001</v>
      </c>
      <c r="BN245">
        <v>0</v>
      </c>
      <c r="BO245" t="s">
        <v>1327</v>
      </c>
      <c r="BP245">
        <v>1</v>
      </c>
      <c r="BQ245">
        <v>6</v>
      </c>
      <c r="BR245">
        <v>0</v>
      </c>
      <c r="BS245">
        <v>24.22</v>
      </c>
      <c r="BT245">
        <v>1</v>
      </c>
      <c r="BU245">
        <v>1</v>
      </c>
      <c r="BV245">
        <v>1</v>
      </c>
      <c r="BW245">
        <v>1</v>
      </c>
      <c r="BX245">
        <v>1</v>
      </c>
      <c r="BY245" t="s">
        <v>6</v>
      </c>
      <c r="BZ245">
        <v>92</v>
      </c>
      <c r="CA245">
        <v>44</v>
      </c>
      <c r="CB245" t="s">
        <v>6</v>
      </c>
      <c r="CE245">
        <v>0</v>
      </c>
      <c r="CF245">
        <v>0</v>
      </c>
      <c r="CG245">
        <v>0</v>
      </c>
      <c r="CM245">
        <v>0</v>
      </c>
      <c r="CN245" t="s">
        <v>6</v>
      </c>
      <c r="CO245">
        <v>0</v>
      </c>
      <c r="CP245">
        <f t="shared" si="245"/>
        <v>255.12</v>
      </c>
      <c r="CQ245">
        <f t="shared" si="246"/>
        <v>0</v>
      </c>
      <c r="CR245">
        <f t="shared" si="247"/>
        <v>11.821999999999999</v>
      </c>
      <c r="CS245">
        <f t="shared" si="248"/>
        <v>0</v>
      </c>
      <c r="CT245">
        <f t="shared" si="249"/>
        <v>51.957000000000001</v>
      </c>
      <c r="CU245">
        <f t="shared" si="250"/>
        <v>0</v>
      </c>
      <c r="CV245">
        <f t="shared" si="251"/>
        <v>6.3134999999999994</v>
      </c>
      <c r="CW245">
        <f t="shared" si="252"/>
        <v>0</v>
      </c>
      <c r="CX245">
        <f t="shared" si="253"/>
        <v>0</v>
      </c>
      <c r="CY245">
        <f t="shared" si="254"/>
        <v>191.20359999999999</v>
      </c>
      <c r="CZ245">
        <f t="shared" si="255"/>
        <v>91.4452</v>
      </c>
      <c r="DC245" t="s">
        <v>6</v>
      </c>
      <c r="DD245" t="s">
        <v>6</v>
      </c>
      <c r="DE245" t="s">
        <v>36</v>
      </c>
      <c r="DF245" t="s">
        <v>36</v>
      </c>
      <c r="DG245" t="s">
        <v>36</v>
      </c>
      <c r="DH245" t="s">
        <v>6</v>
      </c>
      <c r="DI245" t="s">
        <v>36</v>
      </c>
      <c r="DJ245" t="s">
        <v>36</v>
      </c>
      <c r="DK245" t="s">
        <v>6</v>
      </c>
      <c r="DL245" t="s">
        <v>6</v>
      </c>
      <c r="DM245" t="s">
        <v>6</v>
      </c>
      <c r="DN245">
        <v>0</v>
      </c>
      <c r="DO245">
        <v>0</v>
      </c>
      <c r="DP245">
        <v>1</v>
      </c>
      <c r="DQ245">
        <v>1</v>
      </c>
      <c r="DU245">
        <v>1013</v>
      </c>
      <c r="DV245" t="s">
        <v>546</v>
      </c>
      <c r="DW245" t="s">
        <v>546</v>
      </c>
      <c r="DX245">
        <v>1</v>
      </c>
      <c r="DZ245" t="s">
        <v>6</v>
      </c>
      <c r="EA245" t="s">
        <v>6</v>
      </c>
      <c r="EB245" t="s">
        <v>6</v>
      </c>
      <c r="EC245" t="s">
        <v>6</v>
      </c>
      <c r="EE245">
        <v>30853060</v>
      </c>
      <c r="EF245">
        <v>6</v>
      </c>
      <c r="EG245" t="s">
        <v>37</v>
      </c>
      <c r="EH245">
        <v>0</v>
      </c>
      <c r="EI245" t="s">
        <v>6</v>
      </c>
      <c r="EJ245">
        <v>1</v>
      </c>
      <c r="EK245">
        <v>69001</v>
      </c>
      <c r="EL245" t="s">
        <v>409</v>
      </c>
      <c r="EM245" t="s">
        <v>410</v>
      </c>
      <c r="EO245" t="s">
        <v>6</v>
      </c>
      <c r="EQ245">
        <v>131072</v>
      </c>
      <c r="ER245">
        <v>55.46</v>
      </c>
      <c r="ES245">
        <v>0</v>
      </c>
      <c r="ET245">
        <v>10.28</v>
      </c>
      <c r="EU245">
        <v>0</v>
      </c>
      <c r="EV245">
        <v>45.18</v>
      </c>
      <c r="EW245">
        <v>5.49</v>
      </c>
      <c r="EX245">
        <v>0</v>
      </c>
      <c r="EY245">
        <v>0</v>
      </c>
      <c r="FQ245">
        <v>0</v>
      </c>
      <c r="FR245">
        <f t="shared" si="256"/>
        <v>0</v>
      </c>
      <c r="FS245">
        <v>0</v>
      </c>
      <c r="FX245">
        <v>92</v>
      </c>
      <c r="FY245">
        <v>44</v>
      </c>
      <c r="GA245" t="s">
        <v>6</v>
      </c>
      <c r="GD245">
        <v>1</v>
      </c>
      <c r="GF245">
        <v>2029366429</v>
      </c>
      <c r="GG245">
        <v>2</v>
      </c>
      <c r="GH245">
        <v>1</v>
      </c>
      <c r="GI245">
        <v>4</v>
      </c>
      <c r="GJ245">
        <v>0</v>
      </c>
      <c r="GK245">
        <v>0</v>
      </c>
      <c r="GL245">
        <f t="shared" si="257"/>
        <v>0</v>
      </c>
      <c r="GM245">
        <f t="shared" si="258"/>
        <v>537.77</v>
      </c>
      <c r="GN245">
        <f t="shared" si="259"/>
        <v>537.77</v>
      </c>
      <c r="GO245">
        <f t="shared" si="260"/>
        <v>0</v>
      </c>
      <c r="GP245">
        <f t="shared" si="261"/>
        <v>0</v>
      </c>
      <c r="GR245">
        <v>0</v>
      </c>
      <c r="GS245">
        <v>0</v>
      </c>
      <c r="GT245">
        <v>0</v>
      </c>
      <c r="GU245" t="s">
        <v>6</v>
      </c>
      <c r="GV245">
        <f t="shared" si="262"/>
        <v>0</v>
      </c>
      <c r="GW245">
        <v>1</v>
      </c>
      <c r="GX245">
        <f t="shared" si="263"/>
        <v>0</v>
      </c>
      <c r="HA245">
        <v>0</v>
      </c>
      <c r="HB245">
        <v>0</v>
      </c>
      <c r="HC245">
        <f t="shared" si="264"/>
        <v>0</v>
      </c>
      <c r="HE245" t="s">
        <v>6</v>
      </c>
      <c r="HF245" t="s">
        <v>6</v>
      </c>
      <c r="HI245">
        <f t="shared" si="265"/>
        <v>0</v>
      </c>
      <c r="HJ245">
        <f t="shared" si="266"/>
        <v>5034</v>
      </c>
      <c r="HK245">
        <f t="shared" si="267"/>
        <v>4631</v>
      </c>
      <c r="HL245">
        <f t="shared" si="268"/>
        <v>2215</v>
      </c>
      <c r="HM245" t="s">
        <v>6</v>
      </c>
      <c r="HN245" t="s">
        <v>6</v>
      </c>
      <c r="HO245" t="s">
        <v>6</v>
      </c>
      <c r="HP245" t="s">
        <v>6</v>
      </c>
      <c r="HQ245" t="s">
        <v>6</v>
      </c>
      <c r="IK245">
        <v>0</v>
      </c>
    </row>
    <row r="246" spans="1:245">
      <c r="A246">
        <v>17</v>
      </c>
      <c r="B246">
        <v>1</v>
      </c>
      <c r="C246">
        <f>ROW(SmtRes!A560)</f>
        <v>560</v>
      </c>
      <c r="D246">
        <f>ROW(EtalonRes!A586)</f>
        <v>586</v>
      </c>
      <c r="E246" t="s">
        <v>548</v>
      </c>
      <c r="F246" t="s">
        <v>549</v>
      </c>
      <c r="G246" t="s">
        <v>550</v>
      </c>
      <c r="H246" t="s">
        <v>546</v>
      </c>
      <c r="I246">
        <f>ROUND(400/100,7)</f>
        <v>4</v>
      </c>
      <c r="J246">
        <v>0</v>
      </c>
      <c r="K246">
        <f>ROUND(400/100,7)</f>
        <v>4</v>
      </c>
      <c r="O246">
        <f t="shared" si="228"/>
        <v>245.32</v>
      </c>
      <c r="P246">
        <f t="shared" si="229"/>
        <v>0</v>
      </c>
      <c r="Q246">
        <f t="shared" si="230"/>
        <v>45.45</v>
      </c>
      <c r="R246">
        <f t="shared" si="231"/>
        <v>0</v>
      </c>
      <c r="S246">
        <f t="shared" si="232"/>
        <v>199.87</v>
      </c>
      <c r="T246">
        <f t="shared" si="233"/>
        <v>0</v>
      </c>
      <c r="U246">
        <f t="shared" si="234"/>
        <v>24.288</v>
      </c>
      <c r="V246">
        <f t="shared" si="235"/>
        <v>0</v>
      </c>
      <c r="W246">
        <f t="shared" si="236"/>
        <v>0</v>
      </c>
      <c r="X246">
        <f t="shared" si="237"/>
        <v>183.88</v>
      </c>
      <c r="Y246">
        <f t="shared" si="238"/>
        <v>87.94</v>
      </c>
      <c r="AA246">
        <v>31028412</v>
      </c>
      <c r="AB246">
        <f t="shared" si="239"/>
        <v>61.329500000000003</v>
      </c>
      <c r="AC246">
        <f t="shared" si="271"/>
        <v>0</v>
      </c>
      <c r="AD246">
        <f>ROUND(((((ET246*ROUND(1.15,7)))-((EU246*ROUND(1.15,7))))+AE246),6)</f>
        <v>11.362</v>
      </c>
      <c r="AE246">
        <f>ROUND(((EU246*ROUND(1.15,7))),6)</f>
        <v>0</v>
      </c>
      <c r="AF246">
        <f>ROUND(((EV246*ROUND(1.15,7))),6)</f>
        <v>49.967500000000001</v>
      </c>
      <c r="AG246">
        <f t="shared" si="242"/>
        <v>0</v>
      </c>
      <c r="AH246">
        <f>((EW246*ROUND(1.15,7)))</f>
        <v>6.0720000000000001</v>
      </c>
      <c r="AI246">
        <f>((EX246*ROUND(1.15,7)))</f>
        <v>0</v>
      </c>
      <c r="AJ246">
        <f t="shared" si="244"/>
        <v>0</v>
      </c>
      <c r="AK246">
        <v>53.33</v>
      </c>
      <c r="AL246">
        <v>0</v>
      </c>
      <c r="AM246">
        <v>9.8800000000000008</v>
      </c>
      <c r="AN246">
        <v>0</v>
      </c>
      <c r="AO246">
        <v>43.45</v>
      </c>
      <c r="AP246">
        <v>0</v>
      </c>
      <c r="AQ246">
        <v>5.28</v>
      </c>
      <c r="AR246">
        <v>0</v>
      </c>
      <c r="AS246">
        <v>0</v>
      </c>
      <c r="AT246">
        <v>92</v>
      </c>
      <c r="AU246">
        <v>44</v>
      </c>
      <c r="AV246">
        <v>1</v>
      </c>
      <c r="AW246">
        <v>1</v>
      </c>
      <c r="AZ246">
        <v>1</v>
      </c>
      <c r="BA246">
        <v>24.22</v>
      </c>
      <c r="BB246">
        <v>1</v>
      </c>
      <c r="BC246">
        <v>1</v>
      </c>
      <c r="BD246" t="s">
        <v>6</v>
      </c>
      <c r="BE246" t="s">
        <v>6</v>
      </c>
      <c r="BF246" t="s">
        <v>6</v>
      </c>
      <c r="BG246" t="s">
        <v>6</v>
      </c>
      <c r="BH246">
        <v>0</v>
      </c>
      <c r="BI246">
        <v>1</v>
      </c>
      <c r="BJ246" t="s">
        <v>551</v>
      </c>
      <c r="BM246">
        <v>69001</v>
      </c>
      <c r="BN246">
        <v>0</v>
      </c>
      <c r="BO246" t="s">
        <v>1327</v>
      </c>
      <c r="BP246">
        <v>1</v>
      </c>
      <c r="BQ246">
        <v>6</v>
      </c>
      <c r="BR246">
        <v>0</v>
      </c>
      <c r="BS246">
        <v>24.22</v>
      </c>
      <c r="BT246">
        <v>1</v>
      </c>
      <c r="BU246">
        <v>1</v>
      </c>
      <c r="BV246">
        <v>1</v>
      </c>
      <c r="BW246">
        <v>1</v>
      </c>
      <c r="BX246">
        <v>1</v>
      </c>
      <c r="BY246" t="s">
        <v>6</v>
      </c>
      <c r="BZ246">
        <v>92</v>
      </c>
      <c r="CA246">
        <v>44</v>
      </c>
      <c r="CB246" t="s">
        <v>6</v>
      </c>
      <c r="CE246">
        <v>0</v>
      </c>
      <c r="CF246">
        <v>0</v>
      </c>
      <c r="CG246">
        <v>0</v>
      </c>
      <c r="CM246">
        <v>0</v>
      </c>
      <c r="CN246" t="s">
        <v>6</v>
      </c>
      <c r="CO246">
        <v>0</v>
      </c>
      <c r="CP246">
        <f t="shared" si="245"/>
        <v>245.32</v>
      </c>
      <c r="CQ246">
        <f t="shared" si="246"/>
        <v>0</v>
      </c>
      <c r="CR246">
        <f t="shared" si="247"/>
        <v>11.362</v>
      </c>
      <c r="CS246">
        <f t="shared" si="248"/>
        <v>0</v>
      </c>
      <c r="CT246">
        <f t="shared" si="249"/>
        <v>49.967500000000001</v>
      </c>
      <c r="CU246">
        <f t="shared" si="250"/>
        <v>0</v>
      </c>
      <c r="CV246">
        <f t="shared" si="251"/>
        <v>6.0720000000000001</v>
      </c>
      <c r="CW246">
        <f t="shared" si="252"/>
        <v>0</v>
      </c>
      <c r="CX246">
        <f t="shared" si="253"/>
        <v>0</v>
      </c>
      <c r="CY246">
        <f t="shared" si="254"/>
        <v>183.88040000000001</v>
      </c>
      <c r="CZ246">
        <f t="shared" si="255"/>
        <v>87.942800000000005</v>
      </c>
      <c r="DC246" t="s">
        <v>6</v>
      </c>
      <c r="DD246" t="s">
        <v>6</v>
      </c>
      <c r="DE246" t="s">
        <v>36</v>
      </c>
      <c r="DF246" t="s">
        <v>36</v>
      </c>
      <c r="DG246" t="s">
        <v>36</v>
      </c>
      <c r="DH246" t="s">
        <v>6</v>
      </c>
      <c r="DI246" t="s">
        <v>36</v>
      </c>
      <c r="DJ246" t="s">
        <v>36</v>
      </c>
      <c r="DK246" t="s">
        <v>6</v>
      </c>
      <c r="DL246" t="s">
        <v>6</v>
      </c>
      <c r="DM246" t="s">
        <v>6</v>
      </c>
      <c r="DN246">
        <v>0</v>
      </c>
      <c r="DO246">
        <v>0</v>
      </c>
      <c r="DP246">
        <v>1</v>
      </c>
      <c r="DQ246">
        <v>1</v>
      </c>
      <c r="DU246">
        <v>1013</v>
      </c>
      <c r="DV246" t="s">
        <v>546</v>
      </c>
      <c r="DW246" t="s">
        <v>546</v>
      </c>
      <c r="DX246">
        <v>1</v>
      </c>
      <c r="DZ246" t="s">
        <v>6</v>
      </c>
      <c r="EA246" t="s">
        <v>6</v>
      </c>
      <c r="EB246" t="s">
        <v>6</v>
      </c>
      <c r="EC246" t="s">
        <v>6</v>
      </c>
      <c r="EE246">
        <v>30853060</v>
      </c>
      <c r="EF246">
        <v>6</v>
      </c>
      <c r="EG246" t="s">
        <v>37</v>
      </c>
      <c r="EH246">
        <v>0</v>
      </c>
      <c r="EI246" t="s">
        <v>6</v>
      </c>
      <c r="EJ246">
        <v>1</v>
      </c>
      <c r="EK246">
        <v>69001</v>
      </c>
      <c r="EL246" t="s">
        <v>409</v>
      </c>
      <c r="EM246" t="s">
        <v>410</v>
      </c>
      <c r="EO246" t="s">
        <v>6</v>
      </c>
      <c r="EQ246">
        <v>0</v>
      </c>
      <c r="ER246">
        <v>53.33</v>
      </c>
      <c r="ES246">
        <v>0</v>
      </c>
      <c r="ET246">
        <v>9.8800000000000008</v>
      </c>
      <c r="EU246">
        <v>0</v>
      </c>
      <c r="EV246">
        <v>43.45</v>
      </c>
      <c r="EW246">
        <v>5.28</v>
      </c>
      <c r="EX246">
        <v>0</v>
      </c>
      <c r="EY246">
        <v>0</v>
      </c>
      <c r="FQ246">
        <v>0</v>
      </c>
      <c r="FR246">
        <f t="shared" si="256"/>
        <v>0</v>
      </c>
      <c r="FS246">
        <v>0</v>
      </c>
      <c r="FX246">
        <v>92</v>
      </c>
      <c r="FY246">
        <v>44</v>
      </c>
      <c r="GA246" t="s">
        <v>6</v>
      </c>
      <c r="GD246">
        <v>1</v>
      </c>
      <c r="GF246">
        <v>1729794944</v>
      </c>
      <c r="GG246">
        <v>2</v>
      </c>
      <c r="GH246">
        <v>1</v>
      </c>
      <c r="GI246">
        <v>4</v>
      </c>
      <c r="GJ246">
        <v>0</v>
      </c>
      <c r="GK246">
        <v>0</v>
      </c>
      <c r="GL246">
        <f t="shared" si="257"/>
        <v>0</v>
      </c>
      <c r="GM246">
        <f t="shared" si="258"/>
        <v>517.14</v>
      </c>
      <c r="GN246">
        <f t="shared" si="259"/>
        <v>517.14</v>
      </c>
      <c r="GO246">
        <f t="shared" si="260"/>
        <v>0</v>
      </c>
      <c r="GP246">
        <f t="shared" si="261"/>
        <v>0</v>
      </c>
      <c r="GR246">
        <v>0</v>
      </c>
      <c r="GS246">
        <v>0</v>
      </c>
      <c r="GT246">
        <v>0</v>
      </c>
      <c r="GU246" t="s">
        <v>6</v>
      </c>
      <c r="GV246">
        <f t="shared" si="262"/>
        <v>0</v>
      </c>
      <c r="GW246">
        <v>1</v>
      </c>
      <c r="GX246">
        <f t="shared" si="263"/>
        <v>0</v>
      </c>
      <c r="HA246">
        <v>0</v>
      </c>
      <c r="HB246">
        <v>0</v>
      </c>
      <c r="HC246">
        <f t="shared" si="264"/>
        <v>0</v>
      </c>
      <c r="HE246" t="s">
        <v>6</v>
      </c>
      <c r="HF246" t="s">
        <v>6</v>
      </c>
      <c r="HI246">
        <f t="shared" si="265"/>
        <v>0</v>
      </c>
      <c r="HJ246">
        <f t="shared" si="266"/>
        <v>4841</v>
      </c>
      <c r="HK246">
        <f t="shared" si="267"/>
        <v>4454</v>
      </c>
      <c r="HL246">
        <f t="shared" si="268"/>
        <v>2130</v>
      </c>
      <c r="HM246" t="s">
        <v>6</v>
      </c>
      <c r="HN246" t="s">
        <v>6</v>
      </c>
      <c r="HO246" t="s">
        <v>6</v>
      </c>
      <c r="HP246" t="s">
        <v>6</v>
      </c>
      <c r="HQ246" t="s">
        <v>6</v>
      </c>
      <c r="IK246">
        <v>0</v>
      </c>
    </row>
    <row r="247" spans="1:245">
      <c r="A247">
        <v>17</v>
      </c>
      <c r="B247">
        <v>1</v>
      </c>
      <c r="C247">
        <f>ROW(SmtRes!A568)</f>
        <v>568</v>
      </c>
      <c r="D247">
        <f>ROW(EtalonRes!A594)</f>
        <v>594</v>
      </c>
      <c r="E247" t="s">
        <v>552</v>
      </c>
      <c r="F247" t="s">
        <v>553</v>
      </c>
      <c r="G247" t="s">
        <v>554</v>
      </c>
      <c r="H247" t="s">
        <v>407</v>
      </c>
      <c r="I247">
        <v>4.2518000000000002</v>
      </c>
      <c r="J247">
        <v>0</v>
      </c>
      <c r="K247">
        <v>4.2518000000000002</v>
      </c>
      <c r="O247">
        <f t="shared" si="228"/>
        <v>34952</v>
      </c>
      <c r="P247">
        <f t="shared" si="229"/>
        <v>32703.74</v>
      </c>
      <c r="Q247">
        <f t="shared" si="230"/>
        <v>471.05</v>
      </c>
      <c r="R247">
        <f t="shared" si="231"/>
        <v>29.46</v>
      </c>
      <c r="S247">
        <f t="shared" si="232"/>
        <v>1777.21</v>
      </c>
      <c r="T247">
        <f t="shared" si="233"/>
        <v>0</v>
      </c>
      <c r="U247">
        <f t="shared" si="234"/>
        <v>202.87803844000001</v>
      </c>
      <c r="V247">
        <f t="shared" si="235"/>
        <v>2.2614261250000003</v>
      </c>
      <c r="W247">
        <f t="shared" si="236"/>
        <v>0</v>
      </c>
      <c r="X247">
        <f t="shared" si="237"/>
        <v>1658.52</v>
      </c>
      <c r="Y247">
        <f t="shared" si="238"/>
        <v>890.69</v>
      </c>
      <c r="AA247">
        <v>31028412</v>
      </c>
      <c r="AB247">
        <f t="shared" si="239"/>
        <v>8220.5174750000006</v>
      </c>
      <c r="AC247">
        <f t="shared" si="271"/>
        <v>7691.74</v>
      </c>
      <c r="AD247">
        <f>ROUND(((((ET247*ROUND((1.25*1.15),7)))-((EU247*ROUND((1.25*1.15),7))))+AE247),6)</f>
        <v>110.78812499999999</v>
      </c>
      <c r="AE247">
        <f>ROUND(((EU247*ROUND((1.25*1.15),7))),6)</f>
        <v>6.92875</v>
      </c>
      <c r="AF247">
        <f>ROUND(((EV247*ROUND((1.15*1.15),7))),6)</f>
        <v>417.98935</v>
      </c>
      <c r="AG247">
        <f t="shared" si="242"/>
        <v>0</v>
      </c>
      <c r="AH247">
        <f>((EW247*ROUND((1.15*1.15),7)))</f>
        <v>47.715800000000002</v>
      </c>
      <c r="AI247">
        <f>((EX247*ROUND((1.25*1.15),7)))</f>
        <v>0.53187499999999999</v>
      </c>
      <c r="AJ247">
        <f t="shared" si="244"/>
        <v>0</v>
      </c>
      <c r="AK247">
        <v>8084.87</v>
      </c>
      <c r="AL247">
        <v>7691.74</v>
      </c>
      <c r="AM247">
        <v>77.069999999999993</v>
      </c>
      <c r="AN247">
        <v>4.82</v>
      </c>
      <c r="AO247">
        <v>316.06</v>
      </c>
      <c r="AP247">
        <v>0</v>
      </c>
      <c r="AQ247">
        <v>36.08</v>
      </c>
      <c r="AR247">
        <v>0.37</v>
      </c>
      <c r="AS247">
        <v>0</v>
      </c>
      <c r="AT247">
        <v>91.8</v>
      </c>
      <c r="AU247">
        <v>49.3</v>
      </c>
      <c r="AV247">
        <v>1</v>
      </c>
      <c r="AW247">
        <v>1</v>
      </c>
      <c r="AZ247">
        <v>1</v>
      </c>
      <c r="BA247">
        <v>24.22</v>
      </c>
      <c r="BB247">
        <v>1</v>
      </c>
      <c r="BC247">
        <v>1</v>
      </c>
      <c r="BD247" t="s">
        <v>6</v>
      </c>
      <c r="BE247" t="s">
        <v>6</v>
      </c>
      <c r="BF247" t="s">
        <v>6</v>
      </c>
      <c r="BG247" t="s">
        <v>6</v>
      </c>
      <c r="BH247">
        <v>0</v>
      </c>
      <c r="BI247">
        <v>1</v>
      </c>
      <c r="BJ247" t="s">
        <v>555</v>
      </c>
      <c r="BM247">
        <v>6001</v>
      </c>
      <c r="BN247">
        <v>0</v>
      </c>
      <c r="BO247" t="s">
        <v>1327</v>
      </c>
      <c r="BP247">
        <v>1</v>
      </c>
      <c r="BQ247">
        <v>2</v>
      </c>
      <c r="BR247">
        <v>0</v>
      </c>
      <c r="BS247">
        <v>24.22</v>
      </c>
      <c r="BT247">
        <v>1</v>
      </c>
      <c r="BU247">
        <v>1</v>
      </c>
      <c r="BV247">
        <v>1</v>
      </c>
      <c r="BW247">
        <v>1</v>
      </c>
      <c r="BX247">
        <v>1</v>
      </c>
      <c r="BY247" t="s">
        <v>6</v>
      </c>
      <c r="BZ247">
        <v>102</v>
      </c>
      <c r="CA247">
        <v>58</v>
      </c>
      <c r="CB247" t="s">
        <v>6</v>
      </c>
      <c r="CE247">
        <v>0</v>
      </c>
      <c r="CF247">
        <v>0</v>
      </c>
      <c r="CG247">
        <v>0</v>
      </c>
      <c r="CM247">
        <v>0</v>
      </c>
      <c r="CN247" t="s">
        <v>6</v>
      </c>
      <c r="CO247">
        <v>0</v>
      </c>
      <c r="CP247">
        <f t="shared" si="245"/>
        <v>34952</v>
      </c>
      <c r="CQ247">
        <f t="shared" si="246"/>
        <v>7691.74</v>
      </c>
      <c r="CR247">
        <f t="shared" si="247"/>
        <v>110.78812499999999</v>
      </c>
      <c r="CS247">
        <f t="shared" si="248"/>
        <v>6.92875</v>
      </c>
      <c r="CT247">
        <f t="shared" si="249"/>
        <v>417.98935</v>
      </c>
      <c r="CU247">
        <f t="shared" si="250"/>
        <v>0</v>
      </c>
      <c r="CV247">
        <f t="shared" si="251"/>
        <v>47.715800000000002</v>
      </c>
      <c r="CW247">
        <f t="shared" si="252"/>
        <v>0.53187499999999999</v>
      </c>
      <c r="CX247">
        <f t="shared" si="253"/>
        <v>0</v>
      </c>
      <c r="CY247">
        <f t="shared" si="254"/>
        <v>1658.5230600000002</v>
      </c>
      <c r="CZ247">
        <f t="shared" si="255"/>
        <v>890.68831</v>
      </c>
      <c r="DC247" t="s">
        <v>6</v>
      </c>
      <c r="DD247" t="s">
        <v>6</v>
      </c>
      <c r="DE247" t="s">
        <v>126</v>
      </c>
      <c r="DF247" t="s">
        <v>126</v>
      </c>
      <c r="DG247" t="s">
        <v>127</v>
      </c>
      <c r="DH247" t="s">
        <v>6</v>
      </c>
      <c r="DI247" t="s">
        <v>127</v>
      </c>
      <c r="DJ247" t="s">
        <v>126</v>
      </c>
      <c r="DK247" t="s">
        <v>6</v>
      </c>
      <c r="DL247" t="s">
        <v>6</v>
      </c>
      <c r="DM247" t="s">
        <v>6</v>
      </c>
      <c r="DN247">
        <v>0</v>
      </c>
      <c r="DO247">
        <v>0</v>
      </c>
      <c r="DP247">
        <v>1</v>
      </c>
      <c r="DQ247">
        <v>1</v>
      </c>
      <c r="DU247">
        <v>1013</v>
      </c>
      <c r="DV247" t="s">
        <v>407</v>
      </c>
      <c r="DW247" t="s">
        <v>407</v>
      </c>
      <c r="DX247">
        <v>1</v>
      </c>
      <c r="DZ247" t="s">
        <v>6</v>
      </c>
      <c r="EA247" t="s">
        <v>6</v>
      </c>
      <c r="EB247" t="s">
        <v>6</v>
      </c>
      <c r="EC247" t="s">
        <v>6</v>
      </c>
      <c r="EE247">
        <v>30852889</v>
      </c>
      <c r="EF247">
        <v>2</v>
      </c>
      <c r="EG247" t="s">
        <v>26</v>
      </c>
      <c r="EH247">
        <v>0</v>
      </c>
      <c r="EI247" t="s">
        <v>6</v>
      </c>
      <c r="EJ247">
        <v>1</v>
      </c>
      <c r="EK247">
        <v>6001</v>
      </c>
      <c r="EL247" t="s">
        <v>528</v>
      </c>
      <c r="EM247" t="s">
        <v>529</v>
      </c>
      <c r="EO247" t="s">
        <v>6</v>
      </c>
      <c r="EQ247">
        <v>131072</v>
      </c>
      <c r="ER247">
        <v>8084.87</v>
      </c>
      <c r="ES247">
        <v>7691.74</v>
      </c>
      <c r="ET247">
        <v>77.069999999999993</v>
      </c>
      <c r="EU247">
        <v>4.82</v>
      </c>
      <c r="EV247">
        <v>316.06</v>
      </c>
      <c r="EW247">
        <v>36.08</v>
      </c>
      <c r="EX247">
        <v>0.37</v>
      </c>
      <c r="EY247">
        <v>0</v>
      </c>
      <c r="FQ247">
        <v>0</v>
      </c>
      <c r="FR247">
        <f t="shared" si="256"/>
        <v>0</v>
      </c>
      <c r="FS247">
        <v>0</v>
      </c>
      <c r="FT247" t="s">
        <v>29</v>
      </c>
      <c r="FU247" t="s">
        <v>30</v>
      </c>
      <c r="FX247">
        <v>91.8</v>
      </c>
      <c r="FY247">
        <v>49.3</v>
      </c>
      <c r="GA247" t="s">
        <v>6</v>
      </c>
      <c r="GD247">
        <v>1</v>
      </c>
      <c r="GF247">
        <v>-952158358</v>
      </c>
      <c r="GG247">
        <v>2</v>
      </c>
      <c r="GH247">
        <v>1</v>
      </c>
      <c r="GI247">
        <v>4</v>
      </c>
      <c r="GJ247">
        <v>0</v>
      </c>
      <c r="GK247">
        <v>0</v>
      </c>
      <c r="GL247">
        <f t="shared" si="257"/>
        <v>0</v>
      </c>
      <c r="GM247">
        <f t="shared" si="258"/>
        <v>37501.21</v>
      </c>
      <c r="GN247">
        <f t="shared" si="259"/>
        <v>37501.21</v>
      </c>
      <c r="GO247">
        <f t="shared" si="260"/>
        <v>0</v>
      </c>
      <c r="GP247">
        <f t="shared" si="261"/>
        <v>0</v>
      </c>
      <c r="GR247">
        <v>0</v>
      </c>
      <c r="GS247">
        <v>0</v>
      </c>
      <c r="GT247">
        <v>0</v>
      </c>
      <c r="GU247" t="s">
        <v>6</v>
      </c>
      <c r="GV247">
        <f t="shared" si="262"/>
        <v>0</v>
      </c>
      <c r="GW247">
        <v>1</v>
      </c>
      <c r="GX247">
        <f t="shared" si="263"/>
        <v>0</v>
      </c>
      <c r="HA247">
        <v>0</v>
      </c>
      <c r="HB247">
        <v>0</v>
      </c>
      <c r="HC247">
        <f t="shared" si="264"/>
        <v>0</v>
      </c>
      <c r="HE247" t="s">
        <v>6</v>
      </c>
      <c r="HF247" t="s">
        <v>6</v>
      </c>
      <c r="HI247">
        <f t="shared" si="265"/>
        <v>714</v>
      </c>
      <c r="HJ247">
        <f t="shared" si="266"/>
        <v>43044</v>
      </c>
      <c r="HK247">
        <f t="shared" si="267"/>
        <v>40170</v>
      </c>
      <c r="HL247">
        <f t="shared" si="268"/>
        <v>21573</v>
      </c>
      <c r="HM247" t="s">
        <v>6</v>
      </c>
      <c r="HN247" t="s">
        <v>6</v>
      </c>
      <c r="HO247" t="s">
        <v>6</v>
      </c>
      <c r="HP247" t="s">
        <v>6</v>
      </c>
      <c r="HQ247" t="s">
        <v>6</v>
      </c>
      <c r="IK247">
        <v>0</v>
      </c>
    </row>
    <row r="248" spans="1:245">
      <c r="A248">
        <v>17</v>
      </c>
      <c r="B248">
        <v>1</v>
      </c>
      <c r="E248" t="s">
        <v>556</v>
      </c>
      <c r="F248" t="s">
        <v>182</v>
      </c>
      <c r="G248" t="s">
        <v>557</v>
      </c>
      <c r="H248" t="s">
        <v>142</v>
      </c>
      <c r="I248">
        <v>540</v>
      </c>
      <c r="J248">
        <v>0</v>
      </c>
      <c r="K248">
        <v>540</v>
      </c>
      <c r="O248">
        <f t="shared" si="228"/>
        <v>290275.84999999998</v>
      </c>
      <c r="P248">
        <f>ROUND(ROUND(CQ248*I248,0)/BC248,2)</f>
        <v>290275.84999999998</v>
      </c>
      <c r="Q248">
        <f t="shared" si="230"/>
        <v>0</v>
      </c>
      <c r="R248">
        <f t="shared" si="231"/>
        <v>0</v>
      </c>
      <c r="S248">
        <f t="shared" si="232"/>
        <v>0</v>
      </c>
      <c r="T248">
        <f t="shared" si="233"/>
        <v>0</v>
      </c>
      <c r="U248">
        <f t="shared" si="234"/>
        <v>0</v>
      </c>
      <c r="V248">
        <f t="shared" si="235"/>
        <v>0</v>
      </c>
      <c r="W248">
        <f t="shared" si="236"/>
        <v>0</v>
      </c>
      <c r="X248">
        <f t="shared" si="237"/>
        <v>0</v>
      </c>
      <c r="Y248">
        <f t="shared" si="238"/>
        <v>0</v>
      </c>
      <c r="AA248">
        <v>31028412</v>
      </c>
      <c r="AB248">
        <f t="shared" si="239"/>
        <v>3316.67</v>
      </c>
      <c r="AC248">
        <f t="shared" si="271"/>
        <v>3316.67</v>
      </c>
      <c r="AD248">
        <f>ROUND((((ET248)-(EU248))+AE248),6)</f>
        <v>0</v>
      </c>
      <c r="AE248">
        <f>ROUND((EU248),6)</f>
        <v>0</v>
      </c>
      <c r="AF248">
        <f>ROUND((EV248),6)</f>
        <v>0</v>
      </c>
      <c r="AG248">
        <f t="shared" si="242"/>
        <v>0</v>
      </c>
      <c r="AH248">
        <f>(EW248)</f>
        <v>0</v>
      </c>
      <c r="AI248">
        <f>(EX248)</f>
        <v>0</v>
      </c>
      <c r="AJ248">
        <f t="shared" si="244"/>
        <v>0</v>
      </c>
      <c r="AK248">
        <v>3316.67</v>
      </c>
      <c r="AL248">
        <v>3316.67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1</v>
      </c>
      <c r="AW248">
        <v>1</v>
      </c>
      <c r="AZ248">
        <v>1</v>
      </c>
      <c r="BA248">
        <v>1</v>
      </c>
      <c r="BB248">
        <v>1</v>
      </c>
      <c r="BC248">
        <v>6.17</v>
      </c>
      <c r="BD248" t="s">
        <v>6</v>
      </c>
      <c r="BE248" t="s">
        <v>6</v>
      </c>
      <c r="BF248" t="s">
        <v>6</v>
      </c>
      <c r="BG248" t="s">
        <v>6</v>
      </c>
      <c r="BH248">
        <v>3</v>
      </c>
      <c r="BI248">
        <v>1</v>
      </c>
      <c r="BJ248" t="s">
        <v>6</v>
      </c>
      <c r="BM248">
        <v>1100</v>
      </c>
      <c r="BN248">
        <v>0</v>
      </c>
      <c r="BO248" t="s">
        <v>111</v>
      </c>
      <c r="BP248">
        <v>1</v>
      </c>
      <c r="BQ248">
        <v>8</v>
      </c>
      <c r="BR248">
        <v>0</v>
      </c>
      <c r="BS248">
        <v>1</v>
      </c>
      <c r="BT248">
        <v>1</v>
      </c>
      <c r="BU248">
        <v>1</v>
      </c>
      <c r="BV248">
        <v>1</v>
      </c>
      <c r="BW248">
        <v>1</v>
      </c>
      <c r="BX248">
        <v>1</v>
      </c>
      <c r="BY248" t="s">
        <v>6</v>
      </c>
      <c r="BZ248">
        <v>0</v>
      </c>
      <c r="CA248">
        <v>0</v>
      </c>
      <c r="CB248" t="s">
        <v>6</v>
      </c>
      <c r="CE248">
        <v>0</v>
      </c>
      <c r="CF248">
        <v>0</v>
      </c>
      <c r="CG248">
        <v>0</v>
      </c>
      <c r="CM248">
        <v>0</v>
      </c>
      <c r="CN248" t="s">
        <v>6</v>
      </c>
      <c r="CO248">
        <v>0</v>
      </c>
      <c r="CP248">
        <f t="shared" si="245"/>
        <v>290275.84999999998</v>
      </c>
      <c r="CQ248">
        <f>AC248</f>
        <v>3316.67</v>
      </c>
      <c r="CR248">
        <f t="shared" si="247"/>
        <v>0</v>
      </c>
      <c r="CS248">
        <f t="shared" si="248"/>
        <v>0</v>
      </c>
      <c r="CT248">
        <f t="shared" si="249"/>
        <v>0</v>
      </c>
      <c r="CU248">
        <f t="shared" si="250"/>
        <v>0</v>
      </c>
      <c r="CV248">
        <f t="shared" si="251"/>
        <v>0</v>
      </c>
      <c r="CW248">
        <f t="shared" si="252"/>
        <v>0</v>
      </c>
      <c r="CX248">
        <f t="shared" si="253"/>
        <v>0</v>
      </c>
      <c r="CY248">
        <f t="shared" si="254"/>
        <v>0</v>
      </c>
      <c r="CZ248">
        <f t="shared" si="255"/>
        <v>0</v>
      </c>
      <c r="DC248" t="s">
        <v>6</v>
      </c>
      <c r="DD248" t="s">
        <v>6</v>
      </c>
      <c r="DE248" t="s">
        <v>6</v>
      </c>
      <c r="DF248" t="s">
        <v>6</v>
      </c>
      <c r="DG248" t="s">
        <v>6</v>
      </c>
      <c r="DH248" t="s">
        <v>6</v>
      </c>
      <c r="DI248" t="s">
        <v>6</v>
      </c>
      <c r="DJ248" t="s">
        <v>6</v>
      </c>
      <c r="DK248" t="s">
        <v>6</v>
      </c>
      <c r="DL248" t="s">
        <v>6</v>
      </c>
      <c r="DM248" t="s">
        <v>6</v>
      </c>
      <c r="DN248">
        <v>0</v>
      </c>
      <c r="DO248">
        <v>0</v>
      </c>
      <c r="DP248">
        <v>1</v>
      </c>
      <c r="DQ248">
        <v>1</v>
      </c>
      <c r="DU248">
        <v>1002</v>
      </c>
      <c r="DV248" t="s">
        <v>142</v>
      </c>
      <c r="DW248" t="s">
        <v>142</v>
      </c>
      <c r="DX248">
        <v>1</v>
      </c>
      <c r="DZ248" t="s">
        <v>6</v>
      </c>
      <c r="EA248" t="s">
        <v>6</v>
      </c>
      <c r="EB248" t="s">
        <v>6</v>
      </c>
      <c r="EC248" t="s">
        <v>6</v>
      </c>
      <c r="EE248">
        <v>30853118</v>
      </c>
      <c r="EF248">
        <v>8</v>
      </c>
      <c r="EG248" t="s">
        <v>112</v>
      </c>
      <c r="EH248">
        <v>0</v>
      </c>
      <c r="EI248" t="s">
        <v>6</v>
      </c>
      <c r="EJ248">
        <v>1</v>
      </c>
      <c r="EK248">
        <v>1100</v>
      </c>
      <c r="EL248" t="s">
        <v>119</v>
      </c>
      <c r="EM248" t="s">
        <v>120</v>
      </c>
      <c r="EO248" t="s">
        <v>6</v>
      </c>
      <c r="EQ248">
        <v>0</v>
      </c>
      <c r="ER248">
        <v>3316.67</v>
      </c>
      <c r="ES248">
        <v>3316.67</v>
      </c>
      <c r="ET248">
        <v>0</v>
      </c>
      <c r="EU248">
        <v>0</v>
      </c>
      <c r="EV248">
        <v>0</v>
      </c>
      <c r="EW248">
        <v>0</v>
      </c>
      <c r="EX248">
        <v>0</v>
      </c>
      <c r="EY248">
        <v>0</v>
      </c>
      <c r="EZ248">
        <v>5</v>
      </c>
      <c r="FC248">
        <v>0</v>
      </c>
      <c r="FD248">
        <v>18</v>
      </c>
      <c r="FF248">
        <v>3316.67</v>
      </c>
      <c r="FQ248">
        <v>0</v>
      </c>
      <c r="FR248">
        <f t="shared" si="256"/>
        <v>0</v>
      </c>
      <c r="FS248">
        <v>0</v>
      </c>
      <c r="FX248">
        <v>0</v>
      </c>
      <c r="FY248">
        <v>0</v>
      </c>
      <c r="GA248" t="s">
        <v>6</v>
      </c>
      <c r="GD248">
        <v>1</v>
      </c>
      <c r="GF248">
        <v>1056862337</v>
      </c>
      <c r="GG248">
        <v>2</v>
      </c>
      <c r="GH248">
        <v>3</v>
      </c>
      <c r="GI248">
        <v>4</v>
      </c>
      <c r="GJ248">
        <v>0</v>
      </c>
      <c r="GK248">
        <v>0</v>
      </c>
      <c r="GL248">
        <f t="shared" si="257"/>
        <v>0</v>
      </c>
      <c r="GM248">
        <f t="shared" si="258"/>
        <v>290275.84999999998</v>
      </c>
      <c r="GN248">
        <f t="shared" si="259"/>
        <v>290275.84999999998</v>
      </c>
      <c r="GO248">
        <f t="shared" si="260"/>
        <v>0</v>
      </c>
      <c r="GP248">
        <f t="shared" si="261"/>
        <v>0</v>
      </c>
      <c r="GR248">
        <v>1</v>
      </c>
      <c r="GS248">
        <v>1</v>
      </c>
      <c r="GT248">
        <v>0</v>
      </c>
      <c r="GU248" t="s">
        <v>6</v>
      </c>
      <c r="GV248">
        <f t="shared" si="262"/>
        <v>0</v>
      </c>
      <c r="GW248">
        <v>1</v>
      </c>
      <c r="GX248">
        <f t="shared" si="263"/>
        <v>0</v>
      </c>
      <c r="HA248">
        <v>0</v>
      </c>
      <c r="HB248">
        <v>0</v>
      </c>
      <c r="HC248">
        <f t="shared" si="264"/>
        <v>0</v>
      </c>
      <c r="HE248" t="s">
        <v>6</v>
      </c>
      <c r="HF248" t="s">
        <v>6</v>
      </c>
      <c r="HG248">
        <f>ROUND(AC248*I248,0)</f>
        <v>1791002</v>
      </c>
      <c r="HI248">
        <f t="shared" si="265"/>
        <v>0</v>
      </c>
      <c r="HJ248">
        <f t="shared" si="266"/>
        <v>0</v>
      </c>
      <c r="HK248">
        <f t="shared" si="267"/>
        <v>0</v>
      </c>
      <c r="HL248">
        <f t="shared" si="268"/>
        <v>0</v>
      </c>
      <c r="HM248" t="s">
        <v>6</v>
      </c>
      <c r="HN248" t="s">
        <v>6</v>
      </c>
      <c r="HO248" t="s">
        <v>6</v>
      </c>
      <c r="HP248" t="s">
        <v>6</v>
      </c>
      <c r="HQ248" t="s">
        <v>6</v>
      </c>
      <c r="IK248">
        <v>0</v>
      </c>
    </row>
    <row r="249" spans="1:245">
      <c r="A249">
        <v>17</v>
      </c>
      <c r="B249">
        <v>1</v>
      </c>
      <c r="C249">
        <f>ROW(SmtRes!A573)</f>
        <v>573</v>
      </c>
      <c r="D249">
        <f>ROW(EtalonRes!A601)</f>
        <v>601</v>
      </c>
      <c r="E249" t="s">
        <v>558</v>
      </c>
      <c r="F249" t="s">
        <v>559</v>
      </c>
      <c r="G249" t="s">
        <v>560</v>
      </c>
      <c r="H249" t="s">
        <v>148</v>
      </c>
      <c r="I249">
        <v>46.5</v>
      </c>
      <c r="J249">
        <v>0</v>
      </c>
      <c r="K249">
        <v>46.5</v>
      </c>
      <c r="O249">
        <f t="shared" si="228"/>
        <v>40134.19</v>
      </c>
      <c r="P249">
        <f t="shared" ref="P249:P257" si="274">ROUND(CQ249*I249,2)</f>
        <v>35267.46</v>
      </c>
      <c r="Q249">
        <f t="shared" si="230"/>
        <v>2297.42</v>
      </c>
      <c r="R249">
        <f t="shared" si="231"/>
        <v>348.26</v>
      </c>
      <c r="S249">
        <f t="shared" si="232"/>
        <v>2569.31</v>
      </c>
      <c r="T249">
        <f t="shared" si="233"/>
        <v>0</v>
      </c>
      <c r="U249">
        <f t="shared" si="234"/>
        <v>320.39546250000001</v>
      </c>
      <c r="V249">
        <f t="shared" si="235"/>
        <v>26.737500000000004</v>
      </c>
      <c r="W249">
        <f t="shared" si="236"/>
        <v>0</v>
      </c>
      <c r="X249">
        <f t="shared" si="237"/>
        <v>2888.39</v>
      </c>
      <c r="Y249">
        <f t="shared" si="238"/>
        <v>1711.15</v>
      </c>
      <c r="AA249">
        <v>31028412</v>
      </c>
      <c r="AB249">
        <f t="shared" si="239"/>
        <v>863.10092499999996</v>
      </c>
      <c r="AC249">
        <f t="shared" si="271"/>
        <v>758.44</v>
      </c>
      <c r="AD249">
        <f>ROUND(((((ET249*ROUND((1.25*1.15),7)))-((EU249*ROUND((1.25*1.15),7))))+AE249),6)</f>
        <v>49.406874999999999</v>
      </c>
      <c r="AE249">
        <f>ROUND(((EU249*ROUND((1.25*1.15),7))),6)</f>
        <v>7.4893749999999999</v>
      </c>
      <c r="AF249">
        <f>ROUND(((EV249*ROUND((1.15*1.15),7))),6)</f>
        <v>55.254049999999999</v>
      </c>
      <c r="AG249">
        <f t="shared" si="242"/>
        <v>0</v>
      </c>
      <c r="AH249">
        <f>((EW249*ROUND((1.15*1.15),7)))</f>
        <v>6.890225</v>
      </c>
      <c r="AI249">
        <f>((EX249*ROUND((1.25*1.15),7)))</f>
        <v>0.57500000000000007</v>
      </c>
      <c r="AJ249">
        <f t="shared" si="244"/>
        <v>0</v>
      </c>
      <c r="AK249">
        <v>834.59</v>
      </c>
      <c r="AL249">
        <v>758.44</v>
      </c>
      <c r="AM249">
        <v>34.369999999999997</v>
      </c>
      <c r="AN249">
        <v>5.21</v>
      </c>
      <c r="AO249">
        <v>41.78</v>
      </c>
      <c r="AP249">
        <v>0</v>
      </c>
      <c r="AQ249">
        <v>5.21</v>
      </c>
      <c r="AR249">
        <v>0.4</v>
      </c>
      <c r="AS249">
        <v>0</v>
      </c>
      <c r="AT249">
        <v>99</v>
      </c>
      <c r="AU249">
        <v>58.65</v>
      </c>
      <c r="AV249">
        <v>1</v>
      </c>
      <c r="AW249">
        <v>1</v>
      </c>
      <c r="AZ249">
        <v>1</v>
      </c>
      <c r="BA249">
        <v>24.22</v>
      </c>
      <c r="BB249">
        <v>1</v>
      </c>
      <c r="BC249">
        <v>1</v>
      </c>
      <c r="BD249" t="s">
        <v>6</v>
      </c>
      <c r="BE249" t="s">
        <v>6</v>
      </c>
      <c r="BF249" t="s">
        <v>6</v>
      </c>
      <c r="BG249" t="s">
        <v>6</v>
      </c>
      <c r="BH249">
        <v>0</v>
      </c>
      <c r="BI249">
        <v>1</v>
      </c>
      <c r="BJ249" t="s">
        <v>561</v>
      </c>
      <c r="BM249">
        <v>8001</v>
      </c>
      <c r="BN249">
        <v>0</v>
      </c>
      <c r="BO249" t="s">
        <v>1327</v>
      </c>
      <c r="BP249">
        <v>1</v>
      </c>
      <c r="BQ249">
        <v>2</v>
      </c>
      <c r="BR249">
        <v>0</v>
      </c>
      <c r="BS249">
        <v>24.22</v>
      </c>
      <c r="BT249">
        <v>1</v>
      </c>
      <c r="BU249">
        <v>1</v>
      </c>
      <c r="BV249">
        <v>1</v>
      </c>
      <c r="BW249">
        <v>1</v>
      </c>
      <c r="BX249">
        <v>1</v>
      </c>
      <c r="BY249" t="s">
        <v>6</v>
      </c>
      <c r="BZ249">
        <v>110</v>
      </c>
      <c r="CA249">
        <v>69</v>
      </c>
      <c r="CB249" t="s">
        <v>6</v>
      </c>
      <c r="CE249">
        <v>0</v>
      </c>
      <c r="CF249">
        <v>0</v>
      </c>
      <c r="CG249">
        <v>0</v>
      </c>
      <c r="CM249">
        <v>0</v>
      </c>
      <c r="CN249" t="s">
        <v>6</v>
      </c>
      <c r="CO249">
        <v>0</v>
      </c>
      <c r="CP249">
        <f t="shared" si="245"/>
        <v>40134.189999999995</v>
      </c>
      <c r="CQ249">
        <f t="shared" ref="CQ249:CQ257" si="275">AC249*BC249</f>
        <v>758.44</v>
      </c>
      <c r="CR249">
        <f t="shared" si="247"/>
        <v>49.406874999999999</v>
      </c>
      <c r="CS249">
        <f t="shared" si="248"/>
        <v>7.4893749999999999</v>
      </c>
      <c r="CT249">
        <f t="shared" si="249"/>
        <v>55.254049999999999</v>
      </c>
      <c r="CU249">
        <f t="shared" si="250"/>
        <v>0</v>
      </c>
      <c r="CV249">
        <f t="shared" si="251"/>
        <v>6.890225</v>
      </c>
      <c r="CW249">
        <f t="shared" si="252"/>
        <v>0.57500000000000007</v>
      </c>
      <c r="CX249">
        <f t="shared" si="253"/>
        <v>0</v>
      </c>
      <c r="CY249">
        <f t="shared" si="254"/>
        <v>2888.3942999999999</v>
      </c>
      <c r="CZ249">
        <f t="shared" si="255"/>
        <v>1711.1548049999997</v>
      </c>
      <c r="DC249" t="s">
        <v>6</v>
      </c>
      <c r="DD249" t="s">
        <v>6</v>
      </c>
      <c r="DE249" t="s">
        <v>126</v>
      </c>
      <c r="DF249" t="s">
        <v>126</v>
      </c>
      <c r="DG249" t="s">
        <v>127</v>
      </c>
      <c r="DH249" t="s">
        <v>6</v>
      </c>
      <c r="DI249" t="s">
        <v>127</v>
      </c>
      <c r="DJ249" t="s">
        <v>126</v>
      </c>
      <c r="DK249" t="s">
        <v>6</v>
      </c>
      <c r="DL249" t="s">
        <v>6</v>
      </c>
      <c r="DM249" t="s">
        <v>6</v>
      </c>
      <c r="DN249">
        <v>0</v>
      </c>
      <c r="DO249">
        <v>0</v>
      </c>
      <c r="DP249">
        <v>1</v>
      </c>
      <c r="DQ249">
        <v>1</v>
      </c>
      <c r="DU249">
        <v>1013</v>
      </c>
      <c r="DV249" t="s">
        <v>148</v>
      </c>
      <c r="DW249" t="s">
        <v>148</v>
      </c>
      <c r="DX249">
        <v>1</v>
      </c>
      <c r="DZ249" t="s">
        <v>6</v>
      </c>
      <c r="EA249" t="s">
        <v>6</v>
      </c>
      <c r="EB249" t="s">
        <v>6</v>
      </c>
      <c r="EC249" t="s">
        <v>6</v>
      </c>
      <c r="EE249">
        <v>30852902</v>
      </c>
      <c r="EF249">
        <v>2</v>
      </c>
      <c r="EG249" t="s">
        <v>26</v>
      </c>
      <c r="EH249">
        <v>0</v>
      </c>
      <c r="EI249" t="s">
        <v>6</v>
      </c>
      <c r="EJ249">
        <v>1</v>
      </c>
      <c r="EK249">
        <v>8001</v>
      </c>
      <c r="EL249" t="s">
        <v>211</v>
      </c>
      <c r="EM249" t="s">
        <v>212</v>
      </c>
      <c r="EO249" t="s">
        <v>6</v>
      </c>
      <c r="EQ249">
        <v>131072</v>
      </c>
      <c r="ER249">
        <v>834.59</v>
      </c>
      <c r="ES249">
        <v>758.44</v>
      </c>
      <c r="ET249">
        <v>34.369999999999997</v>
      </c>
      <c r="EU249">
        <v>5.21</v>
      </c>
      <c r="EV249">
        <v>41.78</v>
      </c>
      <c r="EW249">
        <v>5.21</v>
      </c>
      <c r="EX249">
        <v>0.4</v>
      </c>
      <c r="EY249">
        <v>0</v>
      </c>
      <c r="FQ249">
        <v>0</v>
      </c>
      <c r="FR249">
        <f t="shared" si="256"/>
        <v>0</v>
      </c>
      <c r="FS249">
        <v>0</v>
      </c>
      <c r="FT249" t="s">
        <v>29</v>
      </c>
      <c r="FU249" t="s">
        <v>30</v>
      </c>
      <c r="FX249">
        <v>99</v>
      </c>
      <c r="FY249">
        <v>58.65</v>
      </c>
      <c r="GA249" t="s">
        <v>6</v>
      </c>
      <c r="GD249">
        <v>1</v>
      </c>
      <c r="GF249">
        <v>-1238254281</v>
      </c>
      <c r="GG249">
        <v>2</v>
      </c>
      <c r="GH249">
        <v>1</v>
      </c>
      <c r="GI249">
        <v>4</v>
      </c>
      <c r="GJ249">
        <v>0</v>
      </c>
      <c r="GK249">
        <v>0</v>
      </c>
      <c r="GL249">
        <f t="shared" si="257"/>
        <v>0</v>
      </c>
      <c r="GM249">
        <f t="shared" si="258"/>
        <v>44733.73</v>
      </c>
      <c r="GN249">
        <f t="shared" si="259"/>
        <v>44733.73</v>
      </c>
      <c r="GO249">
        <f t="shared" si="260"/>
        <v>0</v>
      </c>
      <c r="GP249">
        <f t="shared" si="261"/>
        <v>0</v>
      </c>
      <c r="GR249">
        <v>0</v>
      </c>
      <c r="GS249">
        <v>0</v>
      </c>
      <c r="GT249">
        <v>0</v>
      </c>
      <c r="GU249" t="s">
        <v>6</v>
      </c>
      <c r="GV249">
        <f t="shared" si="262"/>
        <v>0</v>
      </c>
      <c r="GW249">
        <v>1</v>
      </c>
      <c r="GX249">
        <f t="shared" si="263"/>
        <v>0</v>
      </c>
      <c r="HA249">
        <v>0</v>
      </c>
      <c r="HB249">
        <v>0</v>
      </c>
      <c r="HC249">
        <f t="shared" si="264"/>
        <v>0</v>
      </c>
      <c r="HE249" t="s">
        <v>6</v>
      </c>
      <c r="HF249" t="s">
        <v>6</v>
      </c>
      <c r="HI249">
        <f t="shared" si="265"/>
        <v>8435</v>
      </c>
      <c r="HJ249">
        <f t="shared" si="266"/>
        <v>62229</v>
      </c>
      <c r="HK249">
        <f t="shared" si="267"/>
        <v>69957</v>
      </c>
      <c r="HL249">
        <f t="shared" si="268"/>
        <v>41444</v>
      </c>
      <c r="HM249" t="s">
        <v>6</v>
      </c>
      <c r="HN249" t="s">
        <v>6</v>
      </c>
      <c r="HO249" t="s">
        <v>6</v>
      </c>
      <c r="HP249" t="s">
        <v>6</v>
      </c>
      <c r="HQ249" t="s">
        <v>6</v>
      </c>
      <c r="IK249">
        <v>0</v>
      </c>
    </row>
    <row r="250" spans="1:245">
      <c r="A250">
        <v>17</v>
      </c>
      <c r="B250">
        <v>1</v>
      </c>
      <c r="E250" t="s">
        <v>562</v>
      </c>
      <c r="F250" t="s">
        <v>153</v>
      </c>
      <c r="G250" t="s">
        <v>154</v>
      </c>
      <c r="H250" t="s">
        <v>155</v>
      </c>
      <c r="I250">
        <f>ROUND(I249*-0.395,7)</f>
        <v>-18.3675</v>
      </c>
      <c r="J250">
        <v>0</v>
      </c>
      <c r="K250">
        <f>ROUND(I249*-0.395,7)</f>
        <v>-18.3675</v>
      </c>
      <c r="O250">
        <f t="shared" si="228"/>
        <v>-30539.64</v>
      </c>
      <c r="P250">
        <f t="shared" si="274"/>
        <v>-30539.64</v>
      </c>
      <c r="Q250">
        <f t="shared" si="230"/>
        <v>0</v>
      </c>
      <c r="R250">
        <f t="shared" si="231"/>
        <v>0</v>
      </c>
      <c r="S250">
        <f t="shared" si="232"/>
        <v>0</v>
      </c>
      <c r="T250">
        <f t="shared" si="233"/>
        <v>0</v>
      </c>
      <c r="U250">
        <f t="shared" si="234"/>
        <v>0</v>
      </c>
      <c r="V250">
        <f t="shared" si="235"/>
        <v>0</v>
      </c>
      <c r="W250">
        <f t="shared" si="236"/>
        <v>0</v>
      </c>
      <c r="X250">
        <f t="shared" si="237"/>
        <v>0</v>
      </c>
      <c r="Y250">
        <f t="shared" si="238"/>
        <v>0</v>
      </c>
      <c r="AA250">
        <v>31028412</v>
      </c>
      <c r="AB250">
        <f t="shared" si="239"/>
        <v>1662.7</v>
      </c>
      <c r="AC250">
        <f t="shared" si="271"/>
        <v>1662.7</v>
      </c>
      <c r="AD250">
        <f>ROUND((((ET250)-(EU250))+AE250),6)</f>
        <v>0</v>
      </c>
      <c r="AE250">
        <f t="shared" ref="AE250:AF253" si="276">ROUND((EU250),6)</f>
        <v>0</v>
      </c>
      <c r="AF250">
        <f t="shared" si="276"/>
        <v>0</v>
      </c>
      <c r="AG250">
        <f t="shared" si="242"/>
        <v>0</v>
      </c>
      <c r="AH250">
        <f t="shared" ref="AH250:AI253" si="277">(EW250)</f>
        <v>0</v>
      </c>
      <c r="AI250">
        <f t="shared" si="277"/>
        <v>0</v>
      </c>
      <c r="AJ250">
        <f t="shared" si="244"/>
        <v>0</v>
      </c>
      <c r="AK250">
        <v>1662.7</v>
      </c>
      <c r="AL250">
        <v>1662.7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1</v>
      </c>
      <c r="AW250">
        <v>1</v>
      </c>
      <c r="AZ250">
        <v>1</v>
      </c>
      <c r="BA250">
        <v>1</v>
      </c>
      <c r="BB250">
        <v>1</v>
      </c>
      <c r="BC250">
        <v>1</v>
      </c>
      <c r="BD250" t="s">
        <v>6</v>
      </c>
      <c r="BE250" t="s">
        <v>6</v>
      </c>
      <c r="BF250" t="s">
        <v>6</v>
      </c>
      <c r="BG250" t="s">
        <v>6</v>
      </c>
      <c r="BH250">
        <v>3</v>
      </c>
      <c r="BI250">
        <v>1</v>
      </c>
      <c r="BJ250" t="s">
        <v>156</v>
      </c>
      <c r="BM250">
        <v>500001</v>
      </c>
      <c r="BN250">
        <v>0</v>
      </c>
      <c r="BO250" t="s">
        <v>111</v>
      </c>
      <c r="BP250">
        <v>1</v>
      </c>
      <c r="BQ250">
        <v>8</v>
      </c>
      <c r="BR250">
        <v>1</v>
      </c>
      <c r="BS250">
        <v>1</v>
      </c>
      <c r="BT250">
        <v>1</v>
      </c>
      <c r="BU250">
        <v>1</v>
      </c>
      <c r="BV250">
        <v>1</v>
      </c>
      <c r="BW250">
        <v>1</v>
      </c>
      <c r="BX250">
        <v>1</v>
      </c>
      <c r="BY250" t="s">
        <v>6</v>
      </c>
      <c r="BZ250">
        <v>0</v>
      </c>
      <c r="CA250">
        <v>0</v>
      </c>
      <c r="CB250" t="s">
        <v>6</v>
      </c>
      <c r="CE250">
        <v>0</v>
      </c>
      <c r="CF250">
        <v>0</v>
      </c>
      <c r="CG250">
        <v>0</v>
      </c>
      <c r="CM250">
        <v>0</v>
      </c>
      <c r="CN250" t="s">
        <v>6</v>
      </c>
      <c r="CO250">
        <v>0</v>
      </c>
      <c r="CP250">
        <f t="shared" si="245"/>
        <v>-30539.64</v>
      </c>
      <c r="CQ250">
        <f t="shared" si="275"/>
        <v>1662.7</v>
      </c>
      <c r="CR250">
        <f t="shared" si="247"/>
        <v>0</v>
      </c>
      <c r="CS250">
        <f t="shared" si="248"/>
        <v>0</v>
      </c>
      <c r="CT250">
        <f t="shared" si="249"/>
        <v>0</v>
      </c>
      <c r="CU250">
        <f t="shared" si="250"/>
        <v>0</v>
      </c>
      <c r="CV250">
        <f t="shared" si="251"/>
        <v>0</v>
      </c>
      <c r="CW250">
        <f t="shared" si="252"/>
        <v>0</v>
      </c>
      <c r="CX250">
        <f t="shared" si="253"/>
        <v>0</v>
      </c>
      <c r="CY250">
        <f t="shared" si="254"/>
        <v>0</v>
      </c>
      <c r="CZ250">
        <f t="shared" si="255"/>
        <v>0</v>
      </c>
      <c r="DC250" t="s">
        <v>6</v>
      </c>
      <c r="DD250" t="s">
        <v>6</v>
      </c>
      <c r="DE250" t="s">
        <v>6</v>
      </c>
      <c r="DF250" t="s">
        <v>6</v>
      </c>
      <c r="DG250" t="s">
        <v>6</v>
      </c>
      <c r="DH250" t="s">
        <v>6</v>
      </c>
      <c r="DI250" t="s">
        <v>6</v>
      </c>
      <c r="DJ250" t="s">
        <v>6</v>
      </c>
      <c r="DK250" t="s">
        <v>6</v>
      </c>
      <c r="DL250" t="s">
        <v>6</v>
      </c>
      <c r="DM250" t="s">
        <v>6</v>
      </c>
      <c r="DN250">
        <v>0</v>
      </c>
      <c r="DO250">
        <v>0</v>
      </c>
      <c r="DP250">
        <v>1</v>
      </c>
      <c r="DQ250">
        <v>1</v>
      </c>
      <c r="DU250">
        <v>1010</v>
      </c>
      <c r="DV250" t="s">
        <v>155</v>
      </c>
      <c r="DW250" t="s">
        <v>155</v>
      </c>
      <c r="DX250">
        <v>1000</v>
      </c>
      <c r="DZ250" t="s">
        <v>6</v>
      </c>
      <c r="EA250" t="s">
        <v>6</v>
      </c>
      <c r="EB250" t="s">
        <v>6</v>
      </c>
      <c r="EC250" t="s">
        <v>6</v>
      </c>
      <c r="EE250">
        <v>30852824</v>
      </c>
      <c r="EF250">
        <v>8</v>
      </c>
      <c r="EG250" t="s">
        <v>112</v>
      </c>
      <c r="EH250">
        <v>0</v>
      </c>
      <c r="EI250" t="s">
        <v>6</v>
      </c>
      <c r="EJ250">
        <v>1</v>
      </c>
      <c r="EK250">
        <v>500001</v>
      </c>
      <c r="EL250" t="s">
        <v>113</v>
      </c>
      <c r="EM250" t="s">
        <v>114</v>
      </c>
      <c r="EO250" t="s">
        <v>6</v>
      </c>
      <c r="EQ250">
        <v>32768</v>
      </c>
      <c r="ER250">
        <v>1662.7</v>
      </c>
      <c r="ES250">
        <v>1662.7</v>
      </c>
      <c r="ET250">
        <v>0</v>
      </c>
      <c r="EU250">
        <v>0</v>
      </c>
      <c r="EV250">
        <v>0</v>
      </c>
      <c r="EW250">
        <v>0</v>
      </c>
      <c r="EX250">
        <v>0</v>
      </c>
      <c r="EY250">
        <v>0</v>
      </c>
      <c r="FQ250">
        <v>0</v>
      </c>
      <c r="FR250">
        <f t="shared" si="256"/>
        <v>0</v>
      </c>
      <c r="FS250">
        <v>0</v>
      </c>
      <c r="FX250">
        <v>0</v>
      </c>
      <c r="FY250">
        <v>0</v>
      </c>
      <c r="GA250" t="s">
        <v>6</v>
      </c>
      <c r="GD250">
        <v>1</v>
      </c>
      <c r="GF250">
        <v>-1891761004</v>
      </c>
      <c r="GG250">
        <v>2</v>
      </c>
      <c r="GH250">
        <v>1</v>
      </c>
      <c r="GI250">
        <v>4</v>
      </c>
      <c r="GJ250">
        <v>0</v>
      </c>
      <c r="GK250">
        <v>0</v>
      </c>
      <c r="GL250">
        <f t="shared" si="257"/>
        <v>0</v>
      </c>
      <c r="GM250">
        <f t="shared" si="258"/>
        <v>-30539.64</v>
      </c>
      <c r="GN250">
        <f t="shared" si="259"/>
        <v>-30539.64</v>
      </c>
      <c r="GO250">
        <f t="shared" si="260"/>
        <v>0</v>
      </c>
      <c r="GP250">
        <f t="shared" si="261"/>
        <v>0</v>
      </c>
      <c r="GR250">
        <v>0</v>
      </c>
      <c r="GS250">
        <v>0</v>
      </c>
      <c r="GT250">
        <v>0</v>
      </c>
      <c r="GU250" t="s">
        <v>6</v>
      </c>
      <c r="GV250">
        <f t="shared" si="262"/>
        <v>0</v>
      </c>
      <c r="GW250">
        <v>1</v>
      </c>
      <c r="GX250">
        <f t="shared" si="263"/>
        <v>0</v>
      </c>
      <c r="HA250">
        <v>0</v>
      </c>
      <c r="HB250">
        <v>0</v>
      </c>
      <c r="HC250">
        <f t="shared" si="264"/>
        <v>0</v>
      </c>
      <c r="HE250" t="s">
        <v>6</v>
      </c>
      <c r="HF250" t="s">
        <v>6</v>
      </c>
      <c r="HI250">
        <f t="shared" si="265"/>
        <v>0</v>
      </c>
      <c r="HJ250">
        <f t="shared" si="266"/>
        <v>0</v>
      </c>
      <c r="HK250">
        <f t="shared" si="267"/>
        <v>0</v>
      </c>
      <c r="HL250">
        <f t="shared" si="268"/>
        <v>0</v>
      </c>
      <c r="HM250" t="s">
        <v>6</v>
      </c>
      <c r="HN250" t="s">
        <v>6</v>
      </c>
      <c r="HO250" t="s">
        <v>6</v>
      </c>
      <c r="HP250" t="s">
        <v>6</v>
      </c>
      <c r="HQ250" t="s">
        <v>6</v>
      </c>
      <c r="IK250">
        <v>0</v>
      </c>
    </row>
    <row r="251" spans="1:245">
      <c r="A251">
        <v>17</v>
      </c>
      <c r="B251">
        <v>1</v>
      </c>
      <c r="E251" t="s">
        <v>563</v>
      </c>
      <c r="F251" t="s">
        <v>158</v>
      </c>
      <c r="G251" t="s">
        <v>159</v>
      </c>
      <c r="H251" t="s">
        <v>109</v>
      </c>
      <c r="I251">
        <f>ROUND(I249*-0.234,7)</f>
        <v>-10.881</v>
      </c>
      <c r="J251">
        <v>0</v>
      </c>
      <c r="K251">
        <f>ROUND(I249*-0.234,7)</f>
        <v>-10.881</v>
      </c>
      <c r="O251">
        <f t="shared" si="228"/>
        <v>-4658.92</v>
      </c>
      <c r="P251">
        <f t="shared" si="274"/>
        <v>-4658.92</v>
      </c>
      <c r="Q251">
        <f t="shared" si="230"/>
        <v>0</v>
      </c>
      <c r="R251">
        <f t="shared" si="231"/>
        <v>0</v>
      </c>
      <c r="S251">
        <f t="shared" si="232"/>
        <v>0</v>
      </c>
      <c r="T251">
        <f t="shared" si="233"/>
        <v>0</v>
      </c>
      <c r="U251">
        <f t="shared" si="234"/>
        <v>0</v>
      </c>
      <c r="V251">
        <f t="shared" si="235"/>
        <v>0</v>
      </c>
      <c r="W251">
        <f t="shared" si="236"/>
        <v>0</v>
      </c>
      <c r="X251">
        <f t="shared" si="237"/>
        <v>0</v>
      </c>
      <c r="Y251">
        <f t="shared" si="238"/>
        <v>0</v>
      </c>
      <c r="AA251">
        <v>31028412</v>
      </c>
      <c r="AB251">
        <f t="shared" si="239"/>
        <v>428.17</v>
      </c>
      <c r="AC251">
        <f t="shared" si="271"/>
        <v>428.17</v>
      </c>
      <c r="AD251">
        <f>ROUND((((ET251)-(EU251))+AE251),6)</f>
        <v>0</v>
      </c>
      <c r="AE251">
        <f t="shared" si="276"/>
        <v>0</v>
      </c>
      <c r="AF251">
        <f t="shared" si="276"/>
        <v>0</v>
      </c>
      <c r="AG251">
        <f t="shared" si="242"/>
        <v>0</v>
      </c>
      <c r="AH251">
        <f t="shared" si="277"/>
        <v>0</v>
      </c>
      <c r="AI251">
        <f t="shared" si="277"/>
        <v>0</v>
      </c>
      <c r="AJ251">
        <f t="shared" si="244"/>
        <v>0</v>
      </c>
      <c r="AK251">
        <v>428.17</v>
      </c>
      <c r="AL251">
        <v>428.17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1</v>
      </c>
      <c r="AW251">
        <v>1</v>
      </c>
      <c r="AZ251">
        <v>1</v>
      </c>
      <c r="BA251">
        <v>1</v>
      </c>
      <c r="BB251">
        <v>1</v>
      </c>
      <c r="BC251">
        <v>1</v>
      </c>
      <c r="BD251" t="s">
        <v>6</v>
      </c>
      <c r="BE251" t="s">
        <v>6</v>
      </c>
      <c r="BF251" t="s">
        <v>6</v>
      </c>
      <c r="BG251" t="s">
        <v>6</v>
      </c>
      <c r="BH251">
        <v>3</v>
      </c>
      <c r="BI251">
        <v>1</v>
      </c>
      <c r="BJ251" t="s">
        <v>160</v>
      </c>
      <c r="BM251">
        <v>500001</v>
      </c>
      <c r="BN251">
        <v>0</v>
      </c>
      <c r="BO251" t="s">
        <v>111</v>
      </c>
      <c r="BP251">
        <v>1</v>
      </c>
      <c r="BQ251">
        <v>8</v>
      </c>
      <c r="BR251">
        <v>1</v>
      </c>
      <c r="BS251">
        <v>1</v>
      </c>
      <c r="BT251">
        <v>1</v>
      </c>
      <c r="BU251">
        <v>1</v>
      </c>
      <c r="BV251">
        <v>1</v>
      </c>
      <c r="BW251">
        <v>1</v>
      </c>
      <c r="BX251">
        <v>1</v>
      </c>
      <c r="BY251" t="s">
        <v>6</v>
      </c>
      <c r="BZ251">
        <v>0</v>
      </c>
      <c r="CA251">
        <v>0</v>
      </c>
      <c r="CB251" t="s">
        <v>6</v>
      </c>
      <c r="CE251">
        <v>0</v>
      </c>
      <c r="CF251">
        <v>0</v>
      </c>
      <c r="CG251">
        <v>0</v>
      </c>
      <c r="CM251">
        <v>0</v>
      </c>
      <c r="CN251" t="s">
        <v>6</v>
      </c>
      <c r="CO251">
        <v>0</v>
      </c>
      <c r="CP251">
        <f t="shared" si="245"/>
        <v>-4658.92</v>
      </c>
      <c r="CQ251">
        <f t="shared" si="275"/>
        <v>428.17</v>
      </c>
      <c r="CR251">
        <f t="shared" si="247"/>
        <v>0</v>
      </c>
      <c r="CS251">
        <f t="shared" si="248"/>
        <v>0</v>
      </c>
      <c r="CT251">
        <f t="shared" si="249"/>
        <v>0</v>
      </c>
      <c r="CU251">
        <f t="shared" si="250"/>
        <v>0</v>
      </c>
      <c r="CV251">
        <f t="shared" si="251"/>
        <v>0</v>
      </c>
      <c r="CW251">
        <f t="shared" si="252"/>
        <v>0</v>
      </c>
      <c r="CX251">
        <f t="shared" si="253"/>
        <v>0</v>
      </c>
      <c r="CY251">
        <f t="shared" si="254"/>
        <v>0</v>
      </c>
      <c r="CZ251">
        <f t="shared" si="255"/>
        <v>0</v>
      </c>
      <c r="DC251" t="s">
        <v>6</v>
      </c>
      <c r="DD251" t="s">
        <v>6</v>
      </c>
      <c r="DE251" t="s">
        <v>6</v>
      </c>
      <c r="DF251" t="s">
        <v>6</v>
      </c>
      <c r="DG251" t="s">
        <v>6</v>
      </c>
      <c r="DH251" t="s">
        <v>6</v>
      </c>
      <c r="DI251" t="s">
        <v>6</v>
      </c>
      <c r="DJ251" t="s">
        <v>6</v>
      </c>
      <c r="DK251" t="s">
        <v>6</v>
      </c>
      <c r="DL251" t="s">
        <v>6</v>
      </c>
      <c r="DM251" t="s">
        <v>6</v>
      </c>
      <c r="DN251">
        <v>0</v>
      </c>
      <c r="DO251">
        <v>0</v>
      </c>
      <c r="DP251">
        <v>1</v>
      </c>
      <c r="DQ251">
        <v>1</v>
      </c>
      <c r="DU251">
        <v>1007</v>
      </c>
      <c r="DV251" t="s">
        <v>109</v>
      </c>
      <c r="DW251" t="s">
        <v>109</v>
      </c>
      <c r="DX251">
        <v>1</v>
      </c>
      <c r="DZ251" t="s">
        <v>6</v>
      </c>
      <c r="EA251" t="s">
        <v>6</v>
      </c>
      <c r="EB251" t="s">
        <v>6</v>
      </c>
      <c r="EC251" t="s">
        <v>6</v>
      </c>
      <c r="EE251">
        <v>30852824</v>
      </c>
      <c r="EF251">
        <v>8</v>
      </c>
      <c r="EG251" t="s">
        <v>112</v>
      </c>
      <c r="EH251">
        <v>0</v>
      </c>
      <c r="EI251" t="s">
        <v>6</v>
      </c>
      <c r="EJ251">
        <v>1</v>
      </c>
      <c r="EK251">
        <v>500001</v>
      </c>
      <c r="EL251" t="s">
        <v>113</v>
      </c>
      <c r="EM251" t="s">
        <v>114</v>
      </c>
      <c r="EO251" t="s">
        <v>6</v>
      </c>
      <c r="EQ251">
        <v>32768</v>
      </c>
      <c r="ER251">
        <v>428.17</v>
      </c>
      <c r="ES251">
        <v>428.17</v>
      </c>
      <c r="ET251">
        <v>0</v>
      </c>
      <c r="EU251">
        <v>0</v>
      </c>
      <c r="EV251">
        <v>0</v>
      </c>
      <c r="EW251">
        <v>0</v>
      </c>
      <c r="EX251">
        <v>0</v>
      </c>
      <c r="EY251">
        <v>0</v>
      </c>
      <c r="FQ251">
        <v>0</v>
      </c>
      <c r="FR251">
        <f t="shared" si="256"/>
        <v>0</v>
      </c>
      <c r="FS251">
        <v>0</v>
      </c>
      <c r="FX251">
        <v>0</v>
      </c>
      <c r="FY251">
        <v>0</v>
      </c>
      <c r="GA251" t="s">
        <v>6</v>
      </c>
      <c r="GD251">
        <v>1</v>
      </c>
      <c r="GF251">
        <v>2037766963</v>
      </c>
      <c r="GG251">
        <v>2</v>
      </c>
      <c r="GH251">
        <v>1</v>
      </c>
      <c r="GI251">
        <v>4</v>
      </c>
      <c r="GJ251">
        <v>0</v>
      </c>
      <c r="GK251">
        <v>0</v>
      </c>
      <c r="GL251">
        <f t="shared" si="257"/>
        <v>0</v>
      </c>
      <c r="GM251">
        <f t="shared" si="258"/>
        <v>-4658.92</v>
      </c>
      <c r="GN251">
        <f t="shared" si="259"/>
        <v>-4658.92</v>
      </c>
      <c r="GO251">
        <f t="shared" si="260"/>
        <v>0</v>
      </c>
      <c r="GP251">
        <f t="shared" si="261"/>
        <v>0</v>
      </c>
      <c r="GR251">
        <v>0</v>
      </c>
      <c r="GS251">
        <v>0</v>
      </c>
      <c r="GT251">
        <v>0</v>
      </c>
      <c r="GU251" t="s">
        <v>6</v>
      </c>
      <c r="GV251">
        <f t="shared" si="262"/>
        <v>0</v>
      </c>
      <c r="GW251">
        <v>1</v>
      </c>
      <c r="GX251">
        <f t="shared" si="263"/>
        <v>0</v>
      </c>
      <c r="HA251">
        <v>0</v>
      </c>
      <c r="HB251">
        <v>0</v>
      </c>
      <c r="HC251">
        <f t="shared" si="264"/>
        <v>0</v>
      </c>
      <c r="HE251" t="s">
        <v>6</v>
      </c>
      <c r="HF251" t="s">
        <v>6</v>
      </c>
      <c r="HI251">
        <f t="shared" si="265"/>
        <v>0</v>
      </c>
      <c r="HJ251">
        <f t="shared" si="266"/>
        <v>0</v>
      </c>
      <c r="HK251">
        <f t="shared" si="267"/>
        <v>0</v>
      </c>
      <c r="HL251">
        <f t="shared" si="268"/>
        <v>0</v>
      </c>
      <c r="HM251" t="s">
        <v>6</v>
      </c>
      <c r="HN251" t="s">
        <v>6</v>
      </c>
      <c r="HO251" t="s">
        <v>6</v>
      </c>
      <c r="HP251" t="s">
        <v>6</v>
      </c>
      <c r="HQ251" t="s">
        <v>6</v>
      </c>
      <c r="IK251">
        <v>0</v>
      </c>
    </row>
    <row r="252" spans="1:245">
      <c r="A252">
        <v>17</v>
      </c>
      <c r="B252">
        <v>1</v>
      </c>
      <c r="E252" t="s">
        <v>564</v>
      </c>
      <c r="F252" t="s">
        <v>166</v>
      </c>
      <c r="G252" t="s">
        <v>167</v>
      </c>
      <c r="H252" t="s">
        <v>109</v>
      </c>
      <c r="I252">
        <v>10.881</v>
      </c>
      <c r="J252">
        <v>0</v>
      </c>
      <c r="K252">
        <v>10.881</v>
      </c>
      <c r="O252">
        <f t="shared" si="228"/>
        <v>5263.79</v>
      </c>
      <c r="P252">
        <f t="shared" si="274"/>
        <v>5263.79</v>
      </c>
      <c r="Q252">
        <f t="shared" si="230"/>
        <v>0</v>
      </c>
      <c r="R252">
        <f t="shared" si="231"/>
        <v>0</v>
      </c>
      <c r="S252">
        <f t="shared" si="232"/>
        <v>0</v>
      </c>
      <c r="T252">
        <f t="shared" si="233"/>
        <v>0</v>
      </c>
      <c r="U252">
        <f t="shared" si="234"/>
        <v>0</v>
      </c>
      <c r="V252">
        <f t="shared" si="235"/>
        <v>0</v>
      </c>
      <c r="W252">
        <f t="shared" si="236"/>
        <v>0</v>
      </c>
      <c r="X252">
        <f t="shared" si="237"/>
        <v>0</v>
      </c>
      <c r="Y252">
        <f t="shared" si="238"/>
        <v>0</v>
      </c>
      <c r="AA252">
        <v>31028412</v>
      </c>
      <c r="AB252">
        <f t="shared" si="239"/>
        <v>483.76</v>
      </c>
      <c r="AC252">
        <f t="shared" si="271"/>
        <v>483.76</v>
      </c>
      <c r="AD252">
        <f>ROUND((((ET252)-(EU252))+AE252),6)</f>
        <v>0</v>
      </c>
      <c r="AE252">
        <f t="shared" si="276"/>
        <v>0</v>
      </c>
      <c r="AF252">
        <f t="shared" si="276"/>
        <v>0</v>
      </c>
      <c r="AG252">
        <f t="shared" si="242"/>
        <v>0</v>
      </c>
      <c r="AH252">
        <f t="shared" si="277"/>
        <v>0</v>
      </c>
      <c r="AI252">
        <f t="shared" si="277"/>
        <v>0</v>
      </c>
      <c r="AJ252">
        <f t="shared" si="244"/>
        <v>0</v>
      </c>
      <c r="AK252">
        <v>483.76</v>
      </c>
      <c r="AL252">
        <v>483.76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1</v>
      </c>
      <c r="AW252">
        <v>1</v>
      </c>
      <c r="AZ252">
        <v>1</v>
      </c>
      <c r="BA252">
        <v>1</v>
      </c>
      <c r="BB252">
        <v>1</v>
      </c>
      <c r="BC252">
        <v>1</v>
      </c>
      <c r="BD252" t="s">
        <v>6</v>
      </c>
      <c r="BE252" t="s">
        <v>6</v>
      </c>
      <c r="BF252" t="s">
        <v>6</v>
      </c>
      <c r="BG252" t="s">
        <v>6</v>
      </c>
      <c r="BH252">
        <v>3</v>
      </c>
      <c r="BI252">
        <v>1</v>
      </c>
      <c r="BJ252" t="s">
        <v>168</v>
      </c>
      <c r="BM252">
        <v>500001</v>
      </c>
      <c r="BN252">
        <v>0</v>
      </c>
      <c r="BO252" t="s">
        <v>111</v>
      </c>
      <c r="BP252">
        <v>1</v>
      </c>
      <c r="BQ252">
        <v>8</v>
      </c>
      <c r="BR252">
        <v>0</v>
      </c>
      <c r="BS252">
        <v>1</v>
      </c>
      <c r="BT252">
        <v>1</v>
      </c>
      <c r="BU252">
        <v>1</v>
      </c>
      <c r="BV252">
        <v>1</v>
      </c>
      <c r="BW252">
        <v>1</v>
      </c>
      <c r="BX252">
        <v>1</v>
      </c>
      <c r="BY252" t="s">
        <v>6</v>
      </c>
      <c r="BZ252">
        <v>0</v>
      </c>
      <c r="CA252">
        <v>0</v>
      </c>
      <c r="CB252" t="s">
        <v>6</v>
      </c>
      <c r="CE252">
        <v>0</v>
      </c>
      <c r="CF252">
        <v>0</v>
      </c>
      <c r="CG252">
        <v>0</v>
      </c>
      <c r="CM252">
        <v>0</v>
      </c>
      <c r="CN252" t="s">
        <v>6</v>
      </c>
      <c r="CO252">
        <v>0</v>
      </c>
      <c r="CP252">
        <f t="shared" si="245"/>
        <v>5263.79</v>
      </c>
      <c r="CQ252">
        <f t="shared" si="275"/>
        <v>483.76</v>
      </c>
      <c r="CR252">
        <f t="shared" si="247"/>
        <v>0</v>
      </c>
      <c r="CS252">
        <f t="shared" si="248"/>
        <v>0</v>
      </c>
      <c r="CT252">
        <f t="shared" si="249"/>
        <v>0</v>
      </c>
      <c r="CU252">
        <f t="shared" si="250"/>
        <v>0</v>
      </c>
      <c r="CV252">
        <f t="shared" si="251"/>
        <v>0</v>
      </c>
      <c r="CW252">
        <f t="shared" si="252"/>
        <v>0</v>
      </c>
      <c r="CX252">
        <f t="shared" si="253"/>
        <v>0</v>
      </c>
      <c r="CY252">
        <f t="shared" si="254"/>
        <v>0</v>
      </c>
      <c r="CZ252">
        <f t="shared" si="255"/>
        <v>0</v>
      </c>
      <c r="DC252" t="s">
        <v>6</v>
      </c>
      <c r="DD252" t="s">
        <v>6</v>
      </c>
      <c r="DE252" t="s">
        <v>6</v>
      </c>
      <c r="DF252" t="s">
        <v>6</v>
      </c>
      <c r="DG252" t="s">
        <v>6</v>
      </c>
      <c r="DH252" t="s">
        <v>6</v>
      </c>
      <c r="DI252" t="s">
        <v>6</v>
      </c>
      <c r="DJ252" t="s">
        <v>6</v>
      </c>
      <c r="DK252" t="s">
        <v>6</v>
      </c>
      <c r="DL252" t="s">
        <v>6</v>
      </c>
      <c r="DM252" t="s">
        <v>6</v>
      </c>
      <c r="DN252">
        <v>0</v>
      </c>
      <c r="DO252">
        <v>0</v>
      </c>
      <c r="DP252">
        <v>1</v>
      </c>
      <c r="DQ252">
        <v>1</v>
      </c>
      <c r="DU252">
        <v>1007</v>
      </c>
      <c r="DV252" t="s">
        <v>109</v>
      </c>
      <c r="DW252" t="s">
        <v>109</v>
      </c>
      <c r="DX252">
        <v>1</v>
      </c>
      <c r="DZ252" t="s">
        <v>6</v>
      </c>
      <c r="EA252" t="s">
        <v>6</v>
      </c>
      <c r="EB252" t="s">
        <v>6</v>
      </c>
      <c r="EC252" t="s">
        <v>6</v>
      </c>
      <c r="EE252">
        <v>30852824</v>
      </c>
      <c r="EF252">
        <v>8</v>
      </c>
      <c r="EG252" t="s">
        <v>112</v>
      </c>
      <c r="EH252">
        <v>0</v>
      </c>
      <c r="EI252" t="s">
        <v>6</v>
      </c>
      <c r="EJ252">
        <v>1</v>
      </c>
      <c r="EK252">
        <v>500001</v>
      </c>
      <c r="EL252" t="s">
        <v>113</v>
      </c>
      <c r="EM252" t="s">
        <v>114</v>
      </c>
      <c r="EO252" t="s">
        <v>6</v>
      </c>
      <c r="EQ252">
        <v>131072</v>
      </c>
      <c r="ER252">
        <v>483.76</v>
      </c>
      <c r="ES252">
        <v>483.76</v>
      </c>
      <c r="ET252">
        <v>0</v>
      </c>
      <c r="EU252">
        <v>0</v>
      </c>
      <c r="EV252">
        <v>0</v>
      </c>
      <c r="EW252">
        <v>0</v>
      </c>
      <c r="EX252">
        <v>0</v>
      </c>
      <c r="EY252">
        <v>0</v>
      </c>
      <c r="FQ252">
        <v>0</v>
      </c>
      <c r="FR252">
        <f t="shared" si="256"/>
        <v>0</v>
      </c>
      <c r="FS252">
        <v>0</v>
      </c>
      <c r="FX252">
        <v>0</v>
      </c>
      <c r="FY252">
        <v>0</v>
      </c>
      <c r="GA252" t="s">
        <v>6</v>
      </c>
      <c r="GD252">
        <v>1</v>
      </c>
      <c r="GF252">
        <v>-216866240</v>
      </c>
      <c r="GG252">
        <v>2</v>
      </c>
      <c r="GH252">
        <v>1</v>
      </c>
      <c r="GI252">
        <v>4</v>
      </c>
      <c r="GJ252">
        <v>0</v>
      </c>
      <c r="GK252">
        <v>0</v>
      </c>
      <c r="GL252">
        <f t="shared" si="257"/>
        <v>0</v>
      </c>
      <c r="GM252">
        <f t="shared" si="258"/>
        <v>5263.79</v>
      </c>
      <c r="GN252">
        <f t="shared" si="259"/>
        <v>5263.79</v>
      </c>
      <c r="GO252">
        <f t="shared" si="260"/>
        <v>0</v>
      </c>
      <c r="GP252">
        <f t="shared" si="261"/>
        <v>0</v>
      </c>
      <c r="GR252">
        <v>0</v>
      </c>
      <c r="GS252">
        <v>0</v>
      </c>
      <c r="GT252">
        <v>0</v>
      </c>
      <c r="GU252" t="s">
        <v>6</v>
      </c>
      <c r="GV252">
        <f t="shared" si="262"/>
        <v>0</v>
      </c>
      <c r="GW252">
        <v>1</v>
      </c>
      <c r="GX252">
        <f t="shared" si="263"/>
        <v>0</v>
      </c>
      <c r="HA252">
        <v>0</v>
      </c>
      <c r="HB252">
        <v>0</v>
      </c>
      <c r="HC252">
        <f t="shared" si="264"/>
        <v>0</v>
      </c>
      <c r="HE252" t="s">
        <v>6</v>
      </c>
      <c r="HF252" t="s">
        <v>6</v>
      </c>
      <c r="HI252">
        <f t="shared" si="265"/>
        <v>0</v>
      </c>
      <c r="HJ252">
        <f t="shared" si="266"/>
        <v>0</v>
      </c>
      <c r="HK252">
        <f t="shared" si="267"/>
        <v>0</v>
      </c>
      <c r="HL252">
        <f t="shared" si="268"/>
        <v>0</v>
      </c>
      <c r="HM252" t="s">
        <v>6</v>
      </c>
      <c r="HN252" t="s">
        <v>6</v>
      </c>
      <c r="HO252" t="s">
        <v>6</v>
      </c>
      <c r="HP252" t="s">
        <v>6</v>
      </c>
      <c r="HQ252" t="s">
        <v>6</v>
      </c>
      <c r="IK252">
        <v>0</v>
      </c>
    </row>
    <row r="253" spans="1:245">
      <c r="A253">
        <v>17</v>
      </c>
      <c r="B253">
        <v>1</v>
      </c>
      <c r="E253" t="s">
        <v>565</v>
      </c>
      <c r="F253" t="s">
        <v>162</v>
      </c>
      <c r="G253" t="s">
        <v>163</v>
      </c>
      <c r="H253" t="s">
        <v>155</v>
      </c>
      <c r="I253">
        <f>ROUND((18367.5)/1000,7)</f>
        <v>18.3675</v>
      </c>
      <c r="J253">
        <v>0</v>
      </c>
      <c r="K253">
        <f>ROUND((18367.5)/1000,7)</f>
        <v>18.3675</v>
      </c>
      <c r="O253">
        <f t="shared" si="228"/>
        <v>35128.39</v>
      </c>
      <c r="P253">
        <f t="shared" si="274"/>
        <v>35128.39</v>
      </c>
      <c r="Q253">
        <f t="shared" si="230"/>
        <v>0</v>
      </c>
      <c r="R253">
        <f t="shared" si="231"/>
        <v>0</v>
      </c>
      <c r="S253">
        <f t="shared" si="232"/>
        <v>0</v>
      </c>
      <c r="T253">
        <f t="shared" si="233"/>
        <v>0</v>
      </c>
      <c r="U253">
        <f t="shared" si="234"/>
        <v>0</v>
      </c>
      <c r="V253">
        <f t="shared" si="235"/>
        <v>0</v>
      </c>
      <c r="W253">
        <f t="shared" si="236"/>
        <v>0</v>
      </c>
      <c r="X253">
        <f t="shared" si="237"/>
        <v>0</v>
      </c>
      <c r="Y253">
        <f t="shared" si="238"/>
        <v>0</v>
      </c>
      <c r="AA253">
        <v>31028412</v>
      </c>
      <c r="AB253">
        <f t="shared" si="239"/>
        <v>1912.53</v>
      </c>
      <c r="AC253">
        <f t="shared" si="271"/>
        <v>1912.53</v>
      </c>
      <c r="AD253">
        <f>ROUND((((ET253)-(EU253))+AE253),6)</f>
        <v>0</v>
      </c>
      <c r="AE253">
        <f t="shared" si="276"/>
        <v>0</v>
      </c>
      <c r="AF253">
        <f t="shared" si="276"/>
        <v>0</v>
      </c>
      <c r="AG253">
        <f t="shared" si="242"/>
        <v>0</v>
      </c>
      <c r="AH253">
        <f t="shared" si="277"/>
        <v>0</v>
      </c>
      <c r="AI253">
        <f t="shared" si="277"/>
        <v>0</v>
      </c>
      <c r="AJ253">
        <f t="shared" si="244"/>
        <v>0</v>
      </c>
      <c r="AK253">
        <v>1912.53</v>
      </c>
      <c r="AL253">
        <v>1912.53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1</v>
      </c>
      <c r="AW253">
        <v>1</v>
      </c>
      <c r="AZ253">
        <v>1</v>
      </c>
      <c r="BA253">
        <v>1</v>
      </c>
      <c r="BB253">
        <v>1</v>
      </c>
      <c r="BC253">
        <v>1</v>
      </c>
      <c r="BD253" t="s">
        <v>6</v>
      </c>
      <c r="BE253" t="s">
        <v>6</v>
      </c>
      <c r="BF253" t="s">
        <v>6</v>
      </c>
      <c r="BG253" t="s">
        <v>6</v>
      </c>
      <c r="BH253">
        <v>3</v>
      </c>
      <c r="BI253">
        <v>1</v>
      </c>
      <c r="BJ253" t="s">
        <v>164</v>
      </c>
      <c r="BM253">
        <v>500001</v>
      </c>
      <c r="BN253">
        <v>0</v>
      </c>
      <c r="BO253" t="s">
        <v>111</v>
      </c>
      <c r="BP253">
        <v>1</v>
      </c>
      <c r="BQ253">
        <v>8</v>
      </c>
      <c r="BR253">
        <v>0</v>
      </c>
      <c r="BS253">
        <v>1</v>
      </c>
      <c r="BT253">
        <v>1</v>
      </c>
      <c r="BU253">
        <v>1</v>
      </c>
      <c r="BV253">
        <v>1</v>
      </c>
      <c r="BW253">
        <v>1</v>
      </c>
      <c r="BX253">
        <v>1</v>
      </c>
      <c r="BY253" t="s">
        <v>6</v>
      </c>
      <c r="BZ253">
        <v>0</v>
      </c>
      <c r="CA253">
        <v>0</v>
      </c>
      <c r="CB253" t="s">
        <v>6</v>
      </c>
      <c r="CE253">
        <v>0</v>
      </c>
      <c r="CF253">
        <v>0</v>
      </c>
      <c r="CG253">
        <v>0</v>
      </c>
      <c r="CM253">
        <v>0</v>
      </c>
      <c r="CN253" t="s">
        <v>6</v>
      </c>
      <c r="CO253">
        <v>0</v>
      </c>
      <c r="CP253">
        <f t="shared" si="245"/>
        <v>35128.39</v>
      </c>
      <c r="CQ253">
        <f t="shared" si="275"/>
        <v>1912.53</v>
      </c>
      <c r="CR253">
        <f t="shared" si="247"/>
        <v>0</v>
      </c>
      <c r="CS253">
        <f t="shared" si="248"/>
        <v>0</v>
      </c>
      <c r="CT253">
        <f t="shared" si="249"/>
        <v>0</v>
      </c>
      <c r="CU253">
        <f t="shared" si="250"/>
        <v>0</v>
      </c>
      <c r="CV253">
        <f t="shared" si="251"/>
        <v>0</v>
      </c>
      <c r="CW253">
        <f t="shared" si="252"/>
        <v>0</v>
      </c>
      <c r="CX253">
        <f t="shared" si="253"/>
        <v>0</v>
      </c>
      <c r="CY253">
        <f t="shared" si="254"/>
        <v>0</v>
      </c>
      <c r="CZ253">
        <f t="shared" si="255"/>
        <v>0</v>
      </c>
      <c r="DC253" t="s">
        <v>6</v>
      </c>
      <c r="DD253" t="s">
        <v>6</v>
      </c>
      <c r="DE253" t="s">
        <v>6</v>
      </c>
      <c r="DF253" t="s">
        <v>6</v>
      </c>
      <c r="DG253" t="s">
        <v>6</v>
      </c>
      <c r="DH253" t="s">
        <v>6</v>
      </c>
      <c r="DI253" t="s">
        <v>6</v>
      </c>
      <c r="DJ253" t="s">
        <v>6</v>
      </c>
      <c r="DK253" t="s">
        <v>6</v>
      </c>
      <c r="DL253" t="s">
        <v>6</v>
      </c>
      <c r="DM253" t="s">
        <v>6</v>
      </c>
      <c r="DN253">
        <v>0</v>
      </c>
      <c r="DO253">
        <v>0</v>
      </c>
      <c r="DP253">
        <v>1</v>
      </c>
      <c r="DQ253">
        <v>1</v>
      </c>
      <c r="DU253">
        <v>1010</v>
      </c>
      <c r="DV253" t="s">
        <v>155</v>
      </c>
      <c r="DW253" t="s">
        <v>155</v>
      </c>
      <c r="DX253">
        <v>1000</v>
      </c>
      <c r="DZ253" t="s">
        <v>6</v>
      </c>
      <c r="EA253" t="s">
        <v>6</v>
      </c>
      <c r="EB253" t="s">
        <v>6</v>
      </c>
      <c r="EC253" t="s">
        <v>6</v>
      </c>
      <c r="EE253">
        <v>30852824</v>
      </c>
      <c r="EF253">
        <v>8</v>
      </c>
      <c r="EG253" t="s">
        <v>112</v>
      </c>
      <c r="EH253">
        <v>0</v>
      </c>
      <c r="EI253" t="s">
        <v>6</v>
      </c>
      <c r="EJ253">
        <v>1</v>
      </c>
      <c r="EK253">
        <v>500001</v>
      </c>
      <c r="EL253" t="s">
        <v>113</v>
      </c>
      <c r="EM253" t="s">
        <v>114</v>
      </c>
      <c r="EO253" t="s">
        <v>6</v>
      </c>
      <c r="EQ253">
        <v>0</v>
      </c>
      <c r="ER253">
        <v>1912.53</v>
      </c>
      <c r="ES253">
        <v>1912.53</v>
      </c>
      <c r="ET253">
        <v>0</v>
      </c>
      <c r="EU253">
        <v>0</v>
      </c>
      <c r="EV253">
        <v>0</v>
      </c>
      <c r="EW253">
        <v>0</v>
      </c>
      <c r="EX253">
        <v>0</v>
      </c>
      <c r="EY253">
        <v>0</v>
      </c>
      <c r="FQ253">
        <v>0</v>
      </c>
      <c r="FR253">
        <f t="shared" si="256"/>
        <v>0</v>
      </c>
      <c r="FS253">
        <v>0</v>
      </c>
      <c r="FX253">
        <v>0</v>
      </c>
      <c r="FY253">
        <v>0</v>
      </c>
      <c r="GA253" t="s">
        <v>6</v>
      </c>
      <c r="GD253">
        <v>1</v>
      </c>
      <c r="GF253">
        <v>-1674372488</v>
      </c>
      <c r="GG253">
        <v>2</v>
      </c>
      <c r="GH253">
        <v>1</v>
      </c>
      <c r="GI253">
        <v>4</v>
      </c>
      <c r="GJ253">
        <v>0</v>
      </c>
      <c r="GK253">
        <v>0</v>
      </c>
      <c r="GL253">
        <f t="shared" si="257"/>
        <v>0</v>
      </c>
      <c r="GM253">
        <f t="shared" si="258"/>
        <v>35128.39</v>
      </c>
      <c r="GN253">
        <f t="shared" si="259"/>
        <v>35128.39</v>
      </c>
      <c r="GO253">
        <f t="shared" si="260"/>
        <v>0</v>
      </c>
      <c r="GP253">
        <f t="shared" si="261"/>
        <v>0</v>
      </c>
      <c r="GR253">
        <v>0</v>
      </c>
      <c r="GS253">
        <v>3</v>
      </c>
      <c r="GT253">
        <v>0</v>
      </c>
      <c r="GU253" t="s">
        <v>6</v>
      </c>
      <c r="GV253">
        <f t="shared" si="262"/>
        <v>0</v>
      </c>
      <c r="GW253">
        <v>1</v>
      </c>
      <c r="GX253">
        <f t="shared" si="263"/>
        <v>0</v>
      </c>
      <c r="HA253">
        <v>0</v>
      </c>
      <c r="HB253">
        <v>0</v>
      </c>
      <c r="HC253">
        <f t="shared" si="264"/>
        <v>0</v>
      </c>
      <c r="HE253" t="s">
        <v>6</v>
      </c>
      <c r="HF253" t="s">
        <v>6</v>
      </c>
      <c r="HI253">
        <f t="shared" si="265"/>
        <v>0</v>
      </c>
      <c r="HJ253">
        <f t="shared" si="266"/>
        <v>0</v>
      </c>
      <c r="HK253">
        <f t="shared" si="267"/>
        <v>0</v>
      </c>
      <c r="HL253">
        <f t="shared" si="268"/>
        <v>0</v>
      </c>
      <c r="HM253" t="s">
        <v>6</v>
      </c>
      <c r="HN253" t="s">
        <v>6</v>
      </c>
      <c r="HO253" t="s">
        <v>6</v>
      </c>
      <c r="HP253" t="s">
        <v>6</v>
      </c>
      <c r="HQ253" t="s">
        <v>6</v>
      </c>
      <c r="IK253">
        <v>0</v>
      </c>
    </row>
    <row r="254" spans="1:245">
      <c r="A254">
        <v>17</v>
      </c>
      <c r="B254">
        <v>1</v>
      </c>
      <c r="C254">
        <f>ROW(SmtRes!A578)</f>
        <v>578</v>
      </c>
      <c r="D254">
        <f>ROW(EtalonRes!A606)</f>
        <v>606</v>
      </c>
      <c r="E254" t="s">
        <v>566</v>
      </c>
      <c r="F254" t="s">
        <v>567</v>
      </c>
      <c r="G254" t="s">
        <v>568</v>
      </c>
      <c r="H254" t="s">
        <v>569</v>
      </c>
      <c r="I254">
        <v>0.57999999999999996</v>
      </c>
      <c r="J254">
        <v>0</v>
      </c>
      <c r="K254">
        <v>0.57999999999999996</v>
      </c>
      <c r="O254">
        <f t="shared" si="228"/>
        <v>5012.12</v>
      </c>
      <c r="P254">
        <f t="shared" si="274"/>
        <v>4597.0200000000004</v>
      </c>
      <c r="Q254">
        <f t="shared" si="230"/>
        <v>40.159999999999997</v>
      </c>
      <c r="R254">
        <f t="shared" si="231"/>
        <v>2.5</v>
      </c>
      <c r="S254">
        <f t="shared" si="232"/>
        <v>374.94</v>
      </c>
      <c r="T254">
        <f t="shared" si="233"/>
        <v>0</v>
      </c>
      <c r="U254">
        <f t="shared" si="234"/>
        <v>48.884096499999991</v>
      </c>
      <c r="V254">
        <f t="shared" si="235"/>
        <v>0.19176249999999997</v>
      </c>
      <c r="W254">
        <f t="shared" si="236"/>
        <v>0</v>
      </c>
      <c r="X254">
        <f t="shared" si="237"/>
        <v>373.67</v>
      </c>
      <c r="Y254">
        <f t="shared" si="238"/>
        <v>221.37</v>
      </c>
      <c r="AA254">
        <v>31028412</v>
      </c>
      <c r="AB254">
        <f t="shared" si="239"/>
        <v>8641.5956000000006</v>
      </c>
      <c r="AC254">
        <f t="shared" si="271"/>
        <v>7925.9</v>
      </c>
      <c r="AD254">
        <f>ROUND(((((ET254*ROUND((1.25*1.15),7)))-((EU254*ROUND((1.25*1.15),7))))+AE254),6)</f>
        <v>69.244375000000005</v>
      </c>
      <c r="AE254">
        <f>ROUND(((EU254*ROUND((1.25*1.15),7))),6)</f>
        <v>4.3125</v>
      </c>
      <c r="AF254">
        <f>ROUND(((EV254*ROUND((1.15*1.15),7))),6)</f>
        <v>646.45122500000002</v>
      </c>
      <c r="AG254">
        <f t="shared" si="242"/>
        <v>0</v>
      </c>
      <c r="AH254">
        <f>((EW254*ROUND((1.15*1.15),7)))</f>
        <v>84.282924999999992</v>
      </c>
      <c r="AI254">
        <f>((EX254*ROUND((1.25*1.15),7)))</f>
        <v>0.330625</v>
      </c>
      <c r="AJ254">
        <f t="shared" si="244"/>
        <v>0</v>
      </c>
      <c r="AK254">
        <v>8462.8799999999992</v>
      </c>
      <c r="AL254">
        <v>7925.9</v>
      </c>
      <c r="AM254">
        <v>48.17</v>
      </c>
      <c r="AN254">
        <v>3</v>
      </c>
      <c r="AO254">
        <v>488.81</v>
      </c>
      <c r="AP254">
        <v>0</v>
      </c>
      <c r="AQ254">
        <v>63.73</v>
      </c>
      <c r="AR254">
        <v>0.23</v>
      </c>
      <c r="AS254">
        <v>0</v>
      </c>
      <c r="AT254">
        <v>99</v>
      </c>
      <c r="AU254">
        <v>58.65</v>
      </c>
      <c r="AV254">
        <v>1</v>
      </c>
      <c r="AW254">
        <v>1</v>
      </c>
      <c r="AZ254">
        <v>1</v>
      </c>
      <c r="BA254">
        <v>24.22</v>
      </c>
      <c r="BB254">
        <v>1</v>
      </c>
      <c r="BC254">
        <v>1</v>
      </c>
      <c r="BD254" t="s">
        <v>6</v>
      </c>
      <c r="BE254" t="s">
        <v>6</v>
      </c>
      <c r="BF254" t="s">
        <v>6</v>
      </c>
      <c r="BG254" t="s">
        <v>6</v>
      </c>
      <c r="BH254">
        <v>0</v>
      </c>
      <c r="BI254">
        <v>1</v>
      </c>
      <c r="BJ254" t="s">
        <v>570</v>
      </c>
      <c r="BM254">
        <v>8001</v>
      </c>
      <c r="BN254">
        <v>0</v>
      </c>
      <c r="BO254" t="s">
        <v>1327</v>
      </c>
      <c r="BP254">
        <v>1</v>
      </c>
      <c r="BQ254">
        <v>2</v>
      </c>
      <c r="BR254">
        <v>0</v>
      </c>
      <c r="BS254">
        <v>24.22</v>
      </c>
      <c r="BT254">
        <v>1</v>
      </c>
      <c r="BU254">
        <v>1</v>
      </c>
      <c r="BV254">
        <v>1</v>
      </c>
      <c r="BW254">
        <v>1</v>
      </c>
      <c r="BX254">
        <v>1</v>
      </c>
      <c r="BY254" t="s">
        <v>6</v>
      </c>
      <c r="BZ254">
        <v>110</v>
      </c>
      <c r="CA254">
        <v>69</v>
      </c>
      <c r="CB254" t="s">
        <v>6</v>
      </c>
      <c r="CE254">
        <v>0</v>
      </c>
      <c r="CF254">
        <v>0</v>
      </c>
      <c r="CG254">
        <v>0</v>
      </c>
      <c r="CM254">
        <v>0</v>
      </c>
      <c r="CN254" t="s">
        <v>6</v>
      </c>
      <c r="CO254">
        <v>0</v>
      </c>
      <c r="CP254">
        <f t="shared" si="245"/>
        <v>5012.12</v>
      </c>
      <c r="CQ254">
        <f t="shared" si="275"/>
        <v>7925.9</v>
      </c>
      <c r="CR254">
        <f t="shared" si="247"/>
        <v>69.244375000000005</v>
      </c>
      <c r="CS254">
        <f t="shared" si="248"/>
        <v>4.3125</v>
      </c>
      <c r="CT254">
        <f t="shared" si="249"/>
        <v>646.45122500000002</v>
      </c>
      <c r="CU254">
        <f t="shared" si="250"/>
        <v>0</v>
      </c>
      <c r="CV254">
        <f t="shared" si="251"/>
        <v>84.282924999999992</v>
      </c>
      <c r="CW254">
        <f t="shared" si="252"/>
        <v>0.330625</v>
      </c>
      <c r="CX254">
        <f t="shared" si="253"/>
        <v>0</v>
      </c>
      <c r="CY254">
        <f t="shared" si="254"/>
        <v>373.66559999999998</v>
      </c>
      <c r="CZ254">
        <f t="shared" si="255"/>
        <v>221.36856</v>
      </c>
      <c r="DC254" t="s">
        <v>6</v>
      </c>
      <c r="DD254" t="s">
        <v>6</v>
      </c>
      <c r="DE254" t="s">
        <v>126</v>
      </c>
      <c r="DF254" t="s">
        <v>126</v>
      </c>
      <c r="DG254" t="s">
        <v>127</v>
      </c>
      <c r="DH254" t="s">
        <v>6</v>
      </c>
      <c r="DI254" t="s">
        <v>127</v>
      </c>
      <c r="DJ254" t="s">
        <v>126</v>
      </c>
      <c r="DK254" t="s">
        <v>6</v>
      </c>
      <c r="DL254" t="s">
        <v>6</v>
      </c>
      <c r="DM254" t="s">
        <v>6</v>
      </c>
      <c r="DN254">
        <v>0</v>
      </c>
      <c r="DO254">
        <v>0</v>
      </c>
      <c r="DP254">
        <v>1</v>
      </c>
      <c r="DQ254">
        <v>1</v>
      </c>
      <c r="DU254">
        <v>1013</v>
      </c>
      <c r="DV254" t="s">
        <v>569</v>
      </c>
      <c r="DW254" t="s">
        <v>569</v>
      </c>
      <c r="DX254">
        <v>1</v>
      </c>
      <c r="DZ254" t="s">
        <v>6</v>
      </c>
      <c r="EA254" t="s">
        <v>6</v>
      </c>
      <c r="EB254" t="s">
        <v>6</v>
      </c>
      <c r="EC254" t="s">
        <v>6</v>
      </c>
      <c r="EE254">
        <v>30852902</v>
      </c>
      <c r="EF254">
        <v>2</v>
      </c>
      <c r="EG254" t="s">
        <v>26</v>
      </c>
      <c r="EH254">
        <v>0</v>
      </c>
      <c r="EI254" t="s">
        <v>6</v>
      </c>
      <c r="EJ254">
        <v>1</v>
      </c>
      <c r="EK254">
        <v>8001</v>
      </c>
      <c r="EL254" t="s">
        <v>211</v>
      </c>
      <c r="EM254" t="s">
        <v>212</v>
      </c>
      <c r="EO254" t="s">
        <v>6</v>
      </c>
      <c r="EQ254">
        <v>131072</v>
      </c>
      <c r="ER254">
        <v>8462.8799999999992</v>
      </c>
      <c r="ES254">
        <v>7925.9</v>
      </c>
      <c r="ET254">
        <v>48.17</v>
      </c>
      <c r="EU254">
        <v>3</v>
      </c>
      <c r="EV254">
        <v>488.81</v>
      </c>
      <c r="EW254">
        <v>63.73</v>
      </c>
      <c r="EX254">
        <v>0.23</v>
      </c>
      <c r="EY254">
        <v>0</v>
      </c>
      <c r="FQ254">
        <v>0</v>
      </c>
      <c r="FR254">
        <f t="shared" si="256"/>
        <v>0</v>
      </c>
      <c r="FS254">
        <v>0</v>
      </c>
      <c r="FT254" t="s">
        <v>29</v>
      </c>
      <c r="FU254" t="s">
        <v>30</v>
      </c>
      <c r="FX254">
        <v>99</v>
      </c>
      <c r="FY254">
        <v>58.65</v>
      </c>
      <c r="GA254" t="s">
        <v>6</v>
      </c>
      <c r="GD254">
        <v>1</v>
      </c>
      <c r="GF254">
        <v>388770499</v>
      </c>
      <c r="GG254">
        <v>2</v>
      </c>
      <c r="GH254">
        <v>1</v>
      </c>
      <c r="GI254">
        <v>4</v>
      </c>
      <c r="GJ254">
        <v>0</v>
      </c>
      <c r="GK254">
        <v>0</v>
      </c>
      <c r="GL254">
        <f t="shared" si="257"/>
        <v>0</v>
      </c>
      <c r="GM254">
        <f t="shared" si="258"/>
        <v>5607.16</v>
      </c>
      <c r="GN254">
        <f t="shared" si="259"/>
        <v>5607.16</v>
      </c>
      <c r="GO254">
        <f t="shared" si="260"/>
        <v>0</v>
      </c>
      <c r="GP254">
        <f t="shared" si="261"/>
        <v>0</v>
      </c>
      <c r="GR254">
        <v>0</v>
      </c>
      <c r="GS254">
        <v>0</v>
      </c>
      <c r="GT254">
        <v>0</v>
      </c>
      <c r="GU254" t="s">
        <v>6</v>
      </c>
      <c r="GV254">
        <f t="shared" si="262"/>
        <v>0</v>
      </c>
      <c r="GW254">
        <v>1</v>
      </c>
      <c r="GX254">
        <f t="shared" si="263"/>
        <v>0</v>
      </c>
      <c r="HA254">
        <v>0</v>
      </c>
      <c r="HB254">
        <v>0</v>
      </c>
      <c r="HC254">
        <f t="shared" si="264"/>
        <v>0</v>
      </c>
      <c r="HE254" t="s">
        <v>6</v>
      </c>
      <c r="HF254" t="s">
        <v>6</v>
      </c>
      <c r="HI254">
        <f t="shared" si="265"/>
        <v>61</v>
      </c>
      <c r="HJ254">
        <f t="shared" si="266"/>
        <v>9081</v>
      </c>
      <c r="HK254">
        <f t="shared" si="267"/>
        <v>9051</v>
      </c>
      <c r="HL254">
        <f t="shared" si="268"/>
        <v>5362</v>
      </c>
      <c r="HM254" t="s">
        <v>6</v>
      </c>
      <c r="HN254" t="s">
        <v>6</v>
      </c>
      <c r="HO254" t="s">
        <v>6</v>
      </c>
      <c r="HP254" t="s">
        <v>6</v>
      </c>
      <c r="HQ254" t="s">
        <v>6</v>
      </c>
      <c r="IK254">
        <v>0</v>
      </c>
    </row>
    <row r="255" spans="1:245">
      <c r="A255">
        <v>17</v>
      </c>
      <c r="B255">
        <v>1</v>
      </c>
      <c r="C255">
        <f>ROW(SmtRes!A579)</f>
        <v>579</v>
      </c>
      <c r="D255">
        <f>ROW(EtalonRes!A607)</f>
        <v>607</v>
      </c>
      <c r="E255" t="s">
        <v>571</v>
      </c>
      <c r="F255" t="s">
        <v>572</v>
      </c>
      <c r="G255" t="s">
        <v>573</v>
      </c>
      <c r="H255" t="s">
        <v>574</v>
      </c>
      <c r="I255">
        <f>ROUND(3.2*4,7)</f>
        <v>12.8</v>
      </c>
      <c r="J255">
        <v>0</v>
      </c>
      <c r="K255">
        <f>ROUND(3.2*4,7)</f>
        <v>12.8</v>
      </c>
      <c r="O255">
        <f t="shared" ref="O255:O277" si="278">ROUND(CP255,2)</f>
        <v>125.44</v>
      </c>
      <c r="P255">
        <f t="shared" si="274"/>
        <v>0</v>
      </c>
      <c r="Q255">
        <f t="shared" ref="Q255:Q277" si="279">ROUND(CR255*I255,2)</f>
        <v>0</v>
      </c>
      <c r="R255">
        <f t="shared" ref="R255:R277" si="280">ROUND(CS255*I255,2)</f>
        <v>0</v>
      </c>
      <c r="S255">
        <f t="shared" ref="S255:S277" si="281">ROUND(CT255*I255,2)</f>
        <v>125.44</v>
      </c>
      <c r="T255">
        <f t="shared" ref="T255:T277" si="282">ROUND(CU255*I255,2)</f>
        <v>0</v>
      </c>
      <c r="U255">
        <f t="shared" ref="U255:U277" si="283">CV255*I255</f>
        <v>15.235200000000001</v>
      </c>
      <c r="V255">
        <f t="shared" ref="V255:V277" si="284">CW255*I255</f>
        <v>0</v>
      </c>
      <c r="W255">
        <f t="shared" ref="W255:W277" si="285">ROUND(CX255*I255,2)</f>
        <v>0</v>
      </c>
      <c r="X255">
        <f t="shared" ref="X255:X277" si="286">ROUND(CY255,2)</f>
        <v>106.12</v>
      </c>
      <c r="Y255">
        <f t="shared" ref="Y255:Y277" si="287">ROUND(CZ255,2)</f>
        <v>54.38</v>
      </c>
      <c r="AA255">
        <v>31028412</v>
      </c>
      <c r="AB255">
        <f t="shared" ref="AB255:AB277" si="288">ROUND((AC255+AD255+AF255),6)</f>
        <v>9.7997250000000005</v>
      </c>
      <c r="AC255">
        <f t="shared" si="271"/>
        <v>0</v>
      </c>
      <c r="AD255">
        <f>ROUND(((((ET255*ROUND((1.25*1.15),7)))-((EU255*ROUND((1.25*1.15),7))))+AE255),6)</f>
        <v>0</v>
      </c>
      <c r="AE255">
        <f>ROUND(((EU255*ROUND((1.25*1.15),7))),6)</f>
        <v>0</v>
      </c>
      <c r="AF255">
        <f>ROUND(((EV255*ROUND((1.15*1.15),7))),6)</f>
        <v>9.7997250000000005</v>
      </c>
      <c r="AG255">
        <f t="shared" ref="AG255:AG277" si="289">ROUND((AP255),6)</f>
        <v>0</v>
      </c>
      <c r="AH255">
        <f>((EW255*ROUND((1.15*1.15),7)))</f>
        <v>1.19025</v>
      </c>
      <c r="AI255">
        <f>((EX255*ROUND((1.25*1.15),7)))</f>
        <v>0</v>
      </c>
      <c r="AJ255">
        <f t="shared" ref="AJ255:AJ277" si="290">(AS255)</f>
        <v>0</v>
      </c>
      <c r="AK255">
        <v>7.41</v>
      </c>
      <c r="AL255">
        <v>0</v>
      </c>
      <c r="AM255">
        <v>0</v>
      </c>
      <c r="AN255">
        <v>0</v>
      </c>
      <c r="AO255">
        <v>7.41</v>
      </c>
      <c r="AP255">
        <v>0</v>
      </c>
      <c r="AQ255">
        <v>0.9</v>
      </c>
      <c r="AR255">
        <v>0</v>
      </c>
      <c r="AS255">
        <v>0</v>
      </c>
      <c r="AT255">
        <v>84.6</v>
      </c>
      <c r="AU255">
        <v>43.35</v>
      </c>
      <c r="AV255">
        <v>1</v>
      </c>
      <c r="AW255">
        <v>1</v>
      </c>
      <c r="AZ255">
        <v>1</v>
      </c>
      <c r="BA255">
        <v>24.22</v>
      </c>
      <c r="BB255">
        <v>1</v>
      </c>
      <c r="BC255">
        <v>1</v>
      </c>
      <c r="BD255" t="s">
        <v>6</v>
      </c>
      <c r="BE255" t="s">
        <v>6</v>
      </c>
      <c r="BF255" t="s">
        <v>6</v>
      </c>
      <c r="BG255" t="s">
        <v>6</v>
      </c>
      <c r="BH255">
        <v>0</v>
      </c>
      <c r="BI255">
        <v>1</v>
      </c>
      <c r="BJ255" t="s">
        <v>575</v>
      </c>
      <c r="BM255">
        <v>13001</v>
      </c>
      <c r="BN255">
        <v>0</v>
      </c>
      <c r="BO255" t="s">
        <v>1327</v>
      </c>
      <c r="BP255">
        <v>1</v>
      </c>
      <c r="BQ255">
        <v>2</v>
      </c>
      <c r="BR255">
        <v>0</v>
      </c>
      <c r="BS255">
        <v>24.22</v>
      </c>
      <c r="BT255">
        <v>1</v>
      </c>
      <c r="BU255">
        <v>1</v>
      </c>
      <c r="BV255">
        <v>1</v>
      </c>
      <c r="BW255">
        <v>1</v>
      </c>
      <c r="BX255">
        <v>1</v>
      </c>
      <c r="BY255" t="s">
        <v>6</v>
      </c>
      <c r="BZ255">
        <v>94</v>
      </c>
      <c r="CA255">
        <v>51</v>
      </c>
      <c r="CB255" t="s">
        <v>6</v>
      </c>
      <c r="CE255">
        <v>0</v>
      </c>
      <c r="CF255">
        <v>0</v>
      </c>
      <c r="CG255">
        <v>0</v>
      </c>
      <c r="CM255">
        <v>0</v>
      </c>
      <c r="CN255" t="s">
        <v>6</v>
      </c>
      <c r="CO255">
        <v>0</v>
      </c>
      <c r="CP255">
        <f t="shared" ref="CP255:CP277" si="291">(P255+Q255+S255)</f>
        <v>125.44</v>
      </c>
      <c r="CQ255">
        <f t="shared" si="275"/>
        <v>0</v>
      </c>
      <c r="CR255">
        <f t="shared" ref="CR255:CR277" si="292">AD255*BB255</f>
        <v>0</v>
      </c>
      <c r="CS255">
        <f t="shared" ref="CS255:CS277" si="293">AE255</f>
        <v>0</v>
      </c>
      <c r="CT255">
        <f t="shared" ref="CT255:CT277" si="294">AF255</f>
        <v>9.7997250000000005</v>
      </c>
      <c r="CU255">
        <f t="shared" ref="CU255:CU277" si="295">AG255</f>
        <v>0</v>
      </c>
      <c r="CV255">
        <f t="shared" ref="CV255:CV277" si="296">AH255</f>
        <v>1.19025</v>
      </c>
      <c r="CW255">
        <f t="shared" ref="CW255:CW277" si="297">AI255</f>
        <v>0</v>
      </c>
      <c r="CX255">
        <f t="shared" ref="CX255:CX277" si="298">AJ255</f>
        <v>0</v>
      </c>
      <c r="CY255">
        <f t="shared" ref="CY255:CY277" si="299">(((S255+R255)*AT255)/100)</f>
        <v>106.12223999999998</v>
      </c>
      <c r="CZ255">
        <f t="shared" ref="CZ255:CZ277" si="300">(((S255+R255)*AU255)/100)</f>
        <v>54.378240000000005</v>
      </c>
      <c r="DC255" t="s">
        <v>6</v>
      </c>
      <c r="DD255" t="s">
        <v>6</v>
      </c>
      <c r="DE255" t="s">
        <v>126</v>
      </c>
      <c r="DF255" t="s">
        <v>126</v>
      </c>
      <c r="DG255" t="s">
        <v>127</v>
      </c>
      <c r="DH255" t="s">
        <v>6</v>
      </c>
      <c r="DI255" t="s">
        <v>127</v>
      </c>
      <c r="DJ255" t="s">
        <v>126</v>
      </c>
      <c r="DK255" t="s">
        <v>6</v>
      </c>
      <c r="DL255" t="s">
        <v>6</v>
      </c>
      <c r="DM255" t="s">
        <v>6</v>
      </c>
      <c r="DN255">
        <v>0</v>
      </c>
      <c r="DO255">
        <v>0</v>
      </c>
      <c r="DP255">
        <v>1</v>
      </c>
      <c r="DQ255">
        <v>1</v>
      </c>
      <c r="DU255">
        <v>1013</v>
      </c>
      <c r="DV255" t="s">
        <v>574</v>
      </c>
      <c r="DW255" t="s">
        <v>574</v>
      </c>
      <c r="DX255">
        <v>1</v>
      </c>
      <c r="DZ255" t="s">
        <v>6</v>
      </c>
      <c r="EA255" t="s">
        <v>6</v>
      </c>
      <c r="EB255" t="s">
        <v>6</v>
      </c>
      <c r="EC255" t="s">
        <v>6</v>
      </c>
      <c r="EE255">
        <v>30852911</v>
      </c>
      <c r="EF255">
        <v>2</v>
      </c>
      <c r="EG255" t="s">
        <v>26</v>
      </c>
      <c r="EH255">
        <v>0</v>
      </c>
      <c r="EI255" t="s">
        <v>6</v>
      </c>
      <c r="EJ255">
        <v>1</v>
      </c>
      <c r="EK255">
        <v>13001</v>
      </c>
      <c r="EL255" t="s">
        <v>522</v>
      </c>
      <c r="EM255" t="s">
        <v>523</v>
      </c>
      <c r="EO255" t="s">
        <v>6</v>
      </c>
      <c r="EQ255">
        <v>131072</v>
      </c>
      <c r="ER255">
        <v>7.41</v>
      </c>
      <c r="ES255">
        <v>0</v>
      </c>
      <c r="ET255">
        <v>0</v>
      </c>
      <c r="EU255">
        <v>0</v>
      </c>
      <c r="EV255">
        <v>7.41</v>
      </c>
      <c r="EW255">
        <v>0.9</v>
      </c>
      <c r="EX255">
        <v>0</v>
      </c>
      <c r="EY255">
        <v>0</v>
      </c>
      <c r="FQ255">
        <v>0</v>
      </c>
      <c r="FR255">
        <f t="shared" ref="FR255:FR277" si="301">ROUND(IF(AND(BH255=3,BI255=3),P255,0),2)</f>
        <v>0</v>
      </c>
      <c r="FS255">
        <v>0</v>
      </c>
      <c r="FT255" t="s">
        <v>29</v>
      </c>
      <c r="FU255" t="s">
        <v>30</v>
      </c>
      <c r="FX255">
        <v>84.6</v>
      </c>
      <c r="FY255">
        <v>43.35</v>
      </c>
      <c r="GA255" t="s">
        <v>6</v>
      </c>
      <c r="GD255">
        <v>1</v>
      </c>
      <c r="GF255">
        <v>-547992161</v>
      </c>
      <c r="GG255">
        <v>2</v>
      </c>
      <c r="GH255">
        <v>1</v>
      </c>
      <c r="GI255">
        <v>4</v>
      </c>
      <c r="GJ255">
        <v>0</v>
      </c>
      <c r="GK255">
        <v>0</v>
      </c>
      <c r="GL255">
        <f t="shared" ref="GL255:GL277" si="302">ROUND(IF(AND(BH255=3,BI255=3,FS255&lt;&gt;0),P255,0),2)</f>
        <v>0</v>
      </c>
      <c r="GM255">
        <f t="shared" ref="GM255:GM277" si="303">ROUND(O255+X255+Y255,2)+GX255</f>
        <v>285.94</v>
      </c>
      <c r="GN255">
        <f t="shared" ref="GN255:GN277" si="304">IF(OR(BI255=0,BI255=1),ROUND(O255+X255+Y255,2),0)</f>
        <v>285.94</v>
      </c>
      <c r="GO255">
        <f t="shared" ref="GO255:GO277" si="305">IF(BI255=2,ROUND(O255+X255+Y255,2),0)</f>
        <v>0</v>
      </c>
      <c r="GP255">
        <f t="shared" ref="GP255:GP277" si="306">IF(BI255=4,ROUND(O255+X255+Y255,2)+GX255,0)</f>
        <v>0</v>
      </c>
      <c r="GR255">
        <v>0</v>
      </c>
      <c r="GS255">
        <v>0</v>
      </c>
      <c r="GT255">
        <v>0</v>
      </c>
      <c r="GU255" t="s">
        <v>6</v>
      </c>
      <c r="GV255">
        <f t="shared" ref="GV255:GV277" si="307">ROUND((GT255),6)</f>
        <v>0</v>
      </c>
      <c r="GW255">
        <v>1</v>
      </c>
      <c r="GX255">
        <f t="shared" ref="GX255:GX277" si="308">ROUND(HC255*I255,2)</f>
        <v>0</v>
      </c>
      <c r="HA255">
        <v>0</v>
      </c>
      <c r="HB255">
        <v>0</v>
      </c>
      <c r="HC255">
        <f t="shared" ref="HC255:HC277" si="309">GV255*GW255</f>
        <v>0</v>
      </c>
      <c r="HE255" t="s">
        <v>6</v>
      </c>
      <c r="HF255" t="s">
        <v>6</v>
      </c>
      <c r="HI255">
        <f t="shared" ref="HI255:HI277" si="310">ROUND(R255*BS255,0)</f>
        <v>0</v>
      </c>
      <c r="HJ255">
        <f t="shared" ref="HJ255:HJ277" si="311">ROUND(S255*BA255,0)</f>
        <v>3038</v>
      </c>
      <c r="HK255">
        <f t="shared" ref="HK255:HK277" si="312">ROUND((((HJ255+HI255)*AT255)/100),0)</f>
        <v>2570</v>
      </c>
      <c r="HL255">
        <f t="shared" ref="HL255:HL277" si="313">ROUND((((HJ255+HI255)*AU255)/100),0)</f>
        <v>1317</v>
      </c>
      <c r="HM255" t="s">
        <v>6</v>
      </c>
      <c r="HN255" t="s">
        <v>6</v>
      </c>
      <c r="HO255" t="s">
        <v>6</v>
      </c>
      <c r="HP255" t="s">
        <v>6</v>
      </c>
      <c r="HQ255" t="s">
        <v>6</v>
      </c>
      <c r="IK255">
        <v>0</v>
      </c>
    </row>
    <row r="256" spans="1:245">
      <c r="A256">
        <v>17</v>
      </c>
      <c r="B256">
        <v>1</v>
      </c>
      <c r="C256">
        <f>ROW(SmtRes!A586)</f>
        <v>586</v>
      </c>
      <c r="D256">
        <f>ROW(EtalonRes!A615)</f>
        <v>615</v>
      </c>
      <c r="E256" t="s">
        <v>576</v>
      </c>
      <c r="F256" t="s">
        <v>577</v>
      </c>
      <c r="G256" t="s">
        <v>578</v>
      </c>
      <c r="H256" t="s">
        <v>579</v>
      </c>
      <c r="I256">
        <f>ROUND(25*4/100,7)</f>
        <v>1</v>
      </c>
      <c r="J256">
        <v>0</v>
      </c>
      <c r="K256">
        <f>ROUND(25*4/100,7)</f>
        <v>1</v>
      </c>
      <c r="O256">
        <f t="shared" si="278"/>
        <v>675.69</v>
      </c>
      <c r="P256">
        <f t="shared" si="274"/>
        <v>257.58999999999997</v>
      </c>
      <c r="Q256">
        <f t="shared" si="279"/>
        <v>32.61</v>
      </c>
      <c r="R256">
        <f t="shared" si="280"/>
        <v>3.58</v>
      </c>
      <c r="S256">
        <f t="shared" si="281"/>
        <v>385.49</v>
      </c>
      <c r="T256">
        <f t="shared" si="282"/>
        <v>0</v>
      </c>
      <c r="U256">
        <f t="shared" si="283"/>
        <v>46.839499999999994</v>
      </c>
      <c r="V256">
        <f t="shared" si="284"/>
        <v>0.36799999999999999</v>
      </c>
      <c r="W256">
        <f t="shared" si="285"/>
        <v>0</v>
      </c>
      <c r="X256">
        <f t="shared" si="286"/>
        <v>346.27</v>
      </c>
      <c r="Y256">
        <f t="shared" si="287"/>
        <v>190.64</v>
      </c>
      <c r="AA256">
        <v>31028412</v>
      </c>
      <c r="AB256">
        <f t="shared" si="288"/>
        <v>675.69550000000004</v>
      </c>
      <c r="AC256">
        <f t="shared" si="271"/>
        <v>257.58999999999997</v>
      </c>
      <c r="AD256">
        <f>ROUND(((((ET256*ROUND(1.15,7)))-((EU256*ROUND(1.15,7))))+AE256),6)</f>
        <v>32.613999999999997</v>
      </c>
      <c r="AE256">
        <f>ROUND(((EU256*ROUND(1.15,7))),6)</f>
        <v>3.5764999999999998</v>
      </c>
      <c r="AF256">
        <f>ROUND(((EV256*ROUND(1.15,7))),6)</f>
        <v>385.49149999999997</v>
      </c>
      <c r="AG256">
        <f t="shared" si="289"/>
        <v>0</v>
      </c>
      <c r="AH256">
        <f>((EW256*ROUND(1.15,7)))</f>
        <v>46.839499999999994</v>
      </c>
      <c r="AI256">
        <f>((EX256*ROUND(1.15,7)))</f>
        <v>0.36799999999999999</v>
      </c>
      <c r="AJ256">
        <f t="shared" si="290"/>
        <v>0</v>
      </c>
      <c r="AK256">
        <v>621.16</v>
      </c>
      <c r="AL256">
        <v>257.58999999999997</v>
      </c>
      <c r="AM256">
        <v>28.36</v>
      </c>
      <c r="AN256">
        <v>3.11</v>
      </c>
      <c r="AO256">
        <v>335.21</v>
      </c>
      <c r="AP256">
        <v>0</v>
      </c>
      <c r="AQ256">
        <v>40.729999999999997</v>
      </c>
      <c r="AR256">
        <v>0.32</v>
      </c>
      <c r="AS256">
        <v>0</v>
      </c>
      <c r="AT256">
        <v>89</v>
      </c>
      <c r="AU256">
        <v>49</v>
      </c>
      <c r="AV256">
        <v>1</v>
      </c>
      <c r="AW256">
        <v>1</v>
      </c>
      <c r="AZ256">
        <v>1</v>
      </c>
      <c r="BA256">
        <v>24.22</v>
      </c>
      <c r="BB256">
        <v>1</v>
      </c>
      <c r="BC256">
        <v>1</v>
      </c>
      <c r="BD256" t="s">
        <v>6</v>
      </c>
      <c r="BE256" t="s">
        <v>6</v>
      </c>
      <c r="BF256" t="s">
        <v>6</v>
      </c>
      <c r="BG256" t="s">
        <v>6</v>
      </c>
      <c r="BH256">
        <v>0</v>
      </c>
      <c r="BI256">
        <v>1</v>
      </c>
      <c r="BJ256" t="s">
        <v>580</v>
      </c>
      <c r="BM256">
        <v>57001</v>
      </c>
      <c r="BN256">
        <v>0</v>
      </c>
      <c r="BO256" t="s">
        <v>1327</v>
      </c>
      <c r="BP256">
        <v>1</v>
      </c>
      <c r="BQ256">
        <v>6</v>
      </c>
      <c r="BR256">
        <v>0</v>
      </c>
      <c r="BS256">
        <v>24.22</v>
      </c>
      <c r="BT256">
        <v>1</v>
      </c>
      <c r="BU256">
        <v>1</v>
      </c>
      <c r="BV256">
        <v>1</v>
      </c>
      <c r="BW256">
        <v>1</v>
      </c>
      <c r="BX256">
        <v>1</v>
      </c>
      <c r="BY256" t="s">
        <v>6</v>
      </c>
      <c r="BZ256">
        <v>89</v>
      </c>
      <c r="CA256">
        <v>49</v>
      </c>
      <c r="CB256" t="s">
        <v>6</v>
      </c>
      <c r="CE256">
        <v>0</v>
      </c>
      <c r="CF256">
        <v>0</v>
      </c>
      <c r="CG256">
        <v>0</v>
      </c>
      <c r="CM256">
        <v>0</v>
      </c>
      <c r="CN256" t="s">
        <v>6</v>
      </c>
      <c r="CO256">
        <v>0</v>
      </c>
      <c r="CP256">
        <f t="shared" si="291"/>
        <v>675.69</v>
      </c>
      <c r="CQ256">
        <f t="shared" si="275"/>
        <v>257.58999999999997</v>
      </c>
      <c r="CR256">
        <f t="shared" si="292"/>
        <v>32.613999999999997</v>
      </c>
      <c r="CS256">
        <f t="shared" si="293"/>
        <v>3.5764999999999998</v>
      </c>
      <c r="CT256">
        <f t="shared" si="294"/>
        <v>385.49149999999997</v>
      </c>
      <c r="CU256">
        <f t="shared" si="295"/>
        <v>0</v>
      </c>
      <c r="CV256">
        <f t="shared" si="296"/>
        <v>46.839499999999994</v>
      </c>
      <c r="CW256">
        <f t="shared" si="297"/>
        <v>0.36799999999999999</v>
      </c>
      <c r="CX256">
        <f t="shared" si="298"/>
        <v>0</v>
      </c>
      <c r="CY256">
        <f t="shared" si="299"/>
        <v>346.27229999999997</v>
      </c>
      <c r="CZ256">
        <f t="shared" si="300"/>
        <v>190.64430000000002</v>
      </c>
      <c r="DC256" t="s">
        <v>6</v>
      </c>
      <c r="DD256" t="s">
        <v>6</v>
      </c>
      <c r="DE256" t="s">
        <v>36</v>
      </c>
      <c r="DF256" t="s">
        <v>36</v>
      </c>
      <c r="DG256" t="s">
        <v>36</v>
      </c>
      <c r="DH256" t="s">
        <v>6</v>
      </c>
      <c r="DI256" t="s">
        <v>36</v>
      </c>
      <c r="DJ256" t="s">
        <v>36</v>
      </c>
      <c r="DK256" t="s">
        <v>6</v>
      </c>
      <c r="DL256" t="s">
        <v>6</v>
      </c>
      <c r="DM256" t="s">
        <v>6</v>
      </c>
      <c r="DN256">
        <v>0</v>
      </c>
      <c r="DO256">
        <v>0</v>
      </c>
      <c r="DP256">
        <v>1</v>
      </c>
      <c r="DQ256">
        <v>1</v>
      </c>
      <c r="DU256">
        <v>1013</v>
      </c>
      <c r="DV256" t="s">
        <v>579</v>
      </c>
      <c r="DW256" t="s">
        <v>579</v>
      </c>
      <c r="DX256">
        <v>1</v>
      </c>
      <c r="DZ256" t="s">
        <v>6</v>
      </c>
      <c r="EA256" t="s">
        <v>6</v>
      </c>
      <c r="EB256" t="s">
        <v>6</v>
      </c>
      <c r="EC256" t="s">
        <v>6</v>
      </c>
      <c r="EE256">
        <v>30853009</v>
      </c>
      <c r="EF256">
        <v>6</v>
      </c>
      <c r="EG256" t="s">
        <v>37</v>
      </c>
      <c r="EH256">
        <v>0</v>
      </c>
      <c r="EI256" t="s">
        <v>6</v>
      </c>
      <c r="EJ256">
        <v>1</v>
      </c>
      <c r="EK256">
        <v>57001</v>
      </c>
      <c r="EL256" t="s">
        <v>511</v>
      </c>
      <c r="EM256" t="s">
        <v>512</v>
      </c>
      <c r="EO256" t="s">
        <v>6</v>
      </c>
      <c r="EQ256">
        <v>131072</v>
      </c>
      <c r="ER256">
        <v>621.16</v>
      </c>
      <c r="ES256">
        <v>257.58999999999997</v>
      </c>
      <c r="ET256">
        <v>28.36</v>
      </c>
      <c r="EU256">
        <v>3.11</v>
      </c>
      <c r="EV256">
        <v>335.21</v>
      </c>
      <c r="EW256">
        <v>40.729999999999997</v>
      </c>
      <c r="EX256">
        <v>0.32</v>
      </c>
      <c r="EY256">
        <v>0</v>
      </c>
      <c r="FQ256">
        <v>0</v>
      </c>
      <c r="FR256">
        <f t="shared" si="301"/>
        <v>0</v>
      </c>
      <c r="FS256">
        <v>0</v>
      </c>
      <c r="FX256">
        <v>89</v>
      </c>
      <c r="FY256">
        <v>49</v>
      </c>
      <c r="GA256" t="s">
        <v>6</v>
      </c>
      <c r="GD256">
        <v>1</v>
      </c>
      <c r="GF256">
        <v>760110823</v>
      </c>
      <c r="GG256">
        <v>2</v>
      </c>
      <c r="GH256">
        <v>1</v>
      </c>
      <c r="GI256">
        <v>4</v>
      </c>
      <c r="GJ256">
        <v>0</v>
      </c>
      <c r="GK256">
        <v>0</v>
      </c>
      <c r="GL256">
        <f t="shared" si="302"/>
        <v>0</v>
      </c>
      <c r="GM256">
        <f t="shared" si="303"/>
        <v>1212.5999999999999</v>
      </c>
      <c r="GN256">
        <f t="shared" si="304"/>
        <v>1212.5999999999999</v>
      </c>
      <c r="GO256">
        <f t="shared" si="305"/>
        <v>0</v>
      </c>
      <c r="GP256">
        <f t="shared" si="306"/>
        <v>0</v>
      </c>
      <c r="GR256">
        <v>0</v>
      </c>
      <c r="GS256">
        <v>0</v>
      </c>
      <c r="GT256">
        <v>0</v>
      </c>
      <c r="GU256" t="s">
        <v>6</v>
      </c>
      <c r="GV256">
        <f t="shared" si="307"/>
        <v>0</v>
      </c>
      <c r="GW256">
        <v>1</v>
      </c>
      <c r="GX256">
        <f t="shared" si="308"/>
        <v>0</v>
      </c>
      <c r="HA256">
        <v>0</v>
      </c>
      <c r="HB256">
        <v>0</v>
      </c>
      <c r="HC256">
        <f t="shared" si="309"/>
        <v>0</v>
      </c>
      <c r="HE256" t="s">
        <v>6</v>
      </c>
      <c r="HF256" t="s">
        <v>6</v>
      </c>
      <c r="HI256">
        <f t="shared" si="310"/>
        <v>87</v>
      </c>
      <c r="HJ256">
        <f t="shared" si="311"/>
        <v>9337</v>
      </c>
      <c r="HK256">
        <f t="shared" si="312"/>
        <v>8387</v>
      </c>
      <c r="HL256">
        <f t="shared" si="313"/>
        <v>4618</v>
      </c>
      <c r="HM256" t="s">
        <v>6</v>
      </c>
      <c r="HN256" t="s">
        <v>6</v>
      </c>
      <c r="HO256" t="s">
        <v>6</v>
      </c>
      <c r="HP256" t="s">
        <v>6</v>
      </c>
      <c r="HQ256" t="s">
        <v>6</v>
      </c>
      <c r="IK256">
        <v>0</v>
      </c>
    </row>
    <row r="257" spans="1:245">
      <c r="A257">
        <v>17</v>
      </c>
      <c r="B257">
        <v>1</v>
      </c>
      <c r="E257" t="s">
        <v>581</v>
      </c>
      <c r="F257" t="s">
        <v>582</v>
      </c>
      <c r="G257" t="s">
        <v>583</v>
      </c>
      <c r="H257" t="s">
        <v>109</v>
      </c>
      <c r="I257">
        <f>ROUND(I256*-0.43,7)</f>
        <v>-0.43</v>
      </c>
      <c r="J257">
        <v>0</v>
      </c>
      <c r="K257">
        <f>ROUND(I256*-0.43,7)</f>
        <v>-0.43</v>
      </c>
      <c r="O257">
        <f t="shared" si="278"/>
        <v>-253.28</v>
      </c>
      <c r="P257">
        <f t="shared" si="274"/>
        <v>-253.28</v>
      </c>
      <c r="Q257">
        <f t="shared" si="279"/>
        <v>0</v>
      </c>
      <c r="R257">
        <f t="shared" si="280"/>
        <v>0</v>
      </c>
      <c r="S257">
        <f t="shared" si="281"/>
        <v>0</v>
      </c>
      <c r="T257">
        <f t="shared" si="282"/>
        <v>0</v>
      </c>
      <c r="U257">
        <f t="shared" si="283"/>
        <v>0</v>
      </c>
      <c r="V257">
        <f t="shared" si="284"/>
        <v>0</v>
      </c>
      <c r="W257">
        <f t="shared" si="285"/>
        <v>0</v>
      </c>
      <c r="X257">
        <f t="shared" si="286"/>
        <v>0</v>
      </c>
      <c r="Y257">
        <f t="shared" si="287"/>
        <v>0</v>
      </c>
      <c r="AA257">
        <v>31028412</v>
      </c>
      <c r="AB257">
        <f t="shared" si="288"/>
        <v>589.03</v>
      </c>
      <c r="AC257">
        <f t="shared" si="271"/>
        <v>589.03</v>
      </c>
      <c r="AD257">
        <f>ROUND((((ET257)-(EU257))+AE257),6)</f>
        <v>0</v>
      </c>
      <c r="AE257">
        <f>ROUND((EU257),6)</f>
        <v>0</v>
      </c>
      <c r="AF257">
        <f>ROUND((EV257),6)</f>
        <v>0</v>
      </c>
      <c r="AG257">
        <f t="shared" si="289"/>
        <v>0</v>
      </c>
      <c r="AH257">
        <f>(EW257)</f>
        <v>0</v>
      </c>
      <c r="AI257">
        <f>(EX257)</f>
        <v>0</v>
      </c>
      <c r="AJ257">
        <f t="shared" si="290"/>
        <v>0</v>
      </c>
      <c r="AK257">
        <v>589.03</v>
      </c>
      <c r="AL257">
        <v>589.03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1</v>
      </c>
      <c r="AW257">
        <v>1</v>
      </c>
      <c r="AZ257">
        <v>1</v>
      </c>
      <c r="BA257">
        <v>1</v>
      </c>
      <c r="BB257">
        <v>1</v>
      </c>
      <c r="BC257">
        <v>1</v>
      </c>
      <c r="BD257" t="s">
        <v>6</v>
      </c>
      <c r="BE257" t="s">
        <v>6</v>
      </c>
      <c r="BF257" t="s">
        <v>6</v>
      </c>
      <c r="BG257" t="s">
        <v>6</v>
      </c>
      <c r="BH257">
        <v>3</v>
      </c>
      <c r="BI257">
        <v>1</v>
      </c>
      <c r="BJ257" t="s">
        <v>584</v>
      </c>
      <c r="BM257">
        <v>500001</v>
      </c>
      <c r="BN257">
        <v>0</v>
      </c>
      <c r="BO257" t="s">
        <v>111</v>
      </c>
      <c r="BP257">
        <v>1</v>
      </c>
      <c r="BQ257">
        <v>8</v>
      </c>
      <c r="BR257">
        <v>1</v>
      </c>
      <c r="BS257">
        <v>1</v>
      </c>
      <c r="BT257">
        <v>1</v>
      </c>
      <c r="BU257">
        <v>1</v>
      </c>
      <c r="BV257">
        <v>1</v>
      </c>
      <c r="BW257">
        <v>1</v>
      </c>
      <c r="BX257">
        <v>1</v>
      </c>
      <c r="BY257" t="s">
        <v>6</v>
      </c>
      <c r="BZ257">
        <v>0</v>
      </c>
      <c r="CA257">
        <v>0</v>
      </c>
      <c r="CB257" t="s">
        <v>6</v>
      </c>
      <c r="CE257">
        <v>0</v>
      </c>
      <c r="CF257">
        <v>0</v>
      </c>
      <c r="CG257">
        <v>0</v>
      </c>
      <c r="CM257">
        <v>0</v>
      </c>
      <c r="CN257" t="s">
        <v>6</v>
      </c>
      <c r="CO257">
        <v>0</v>
      </c>
      <c r="CP257">
        <f t="shared" si="291"/>
        <v>-253.28</v>
      </c>
      <c r="CQ257">
        <f t="shared" si="275"/>
        <v>589.03</v>
      </c>
      <c r="CR257">
        <f t="shared" si="292"/>
        <v>0</v>
      </c>
      <c r="CS257">
        <f t="shared" si="293"/>
        <v>0</v>
      </c>
      <c r="CT257">
        <f t="shared" si="294"/>
        <v>0</v>
      </c>
      <c r="CU257">
        <f t="shared" si="295"/>
        <v>0</v>
      </c>
      <c r="CV257">
        <f t="shared" si="296"/>
        <v>0</v>
      </c>
      <c r="CW257">
        <f t="shared" si="297"/>
        <v>0</v>
      </c>
      <c r="CX257">
        <f t="shared" si="298"/>
        <v>0</v>
      </c>
      <c r="CY257">
        <f t="shared" si="299"/>
        <v>0</v>
      </c>
      <c r="CZ257">
        <f t="shared" si="300"/>
        <v>0</v>
      </c>
      <c r="DC257" t="s">
        <v>6</v>
      </c>
      <c r="DD257" t="s">
        <v>6</v>
      </c>
      <c r="DE257" t="s">
        <v>6</v>
      </c>
      <c r="DF257" t="s">
        <v>6</v>
      </c>
      <c r="DG257" t="s">
        <v>6</v>
      </c>
      <c r="DH257" t="s">
        <v>6</v>
      </c>
      <c r="DI257" t="s">
        <v>6</v>
      </c>
      <c r="DJ257" t="s">
        <v>6</v>
      </c>
      <c r="DK257" t="s">
        <v>6</v>
      </c>
      <c r="DL257" t="s">
        <v>6</v>
      </c>
      <c r="DM257" t="s">
        <v>6</v>
      </c>
      <c r="DN257">
        <v>0</v>
      </c>
      <c r="DO257">
        <v>0</v>
      </c>
      <c r="DP257">
        <v>1</v>
      </c>
      <c r="DQ257">
        <v>1</v>
      </c>
      <c r="DU257">
        <v>1007</v>
      </c>
      <c r="DV257" t="s">
        <v>109</v>
      </c>
      <c r="DW257" t="s">
        <v>109</v>
      </c>
      <c r="DX257">
        <v>1</v>
      </c>
      <c r="DZ257" t="s">
        <v>6</v>
      </c>
      <c r="EA257" t="s">
        <v>6</v>
      </c>
      <c r="EB257" t="s">
        <v>6</v>
      </c>
      <c r="EC257" t="s">
        <v>6</v>
      </c>
      <c r="EE257">
        <v>30852824</v>
      </c>
      <c r="EF257">
        <v>8</v>
      </c>
      <c r="EG257" t="s">
        <v>112</v>
      </c>
      <c r="EH257">
        <v>0</v>
      </c>
      <c r="EI257" t="s">
        <v>6</v>
      </c>
      <c r="EJ257">
        <v>1</v>
      </c>
      <c r="EK257">
        <v>500001</v>
      </c>
      <c r="EL257" t="s">
        <v>113</v>
      </c>
      <c r="EM257" t="s">
        <v>114</v>
      </c>
      <c r="EO257" t="s">
        <v>6</v>
      </c>
      <c r="EQ257">
        <v>32768</v>
      </c>
      <c r="ER257">
        <v>589.03</v>
      </c>
      <c r="ES257">
        <v>589.03</v>
      </c>
      <c r="ET257">
        <v>0</v>
      </c>
      <c r="EU257">
        <v>0</v>
      </c>
      <c r="EV257">
        <v>0</v>
      </c>
      <c r="EW257">
        <v>0</v>
      </c>
      <c r="EX257">
        <v>0</v>
      </c>
      <c r="EY257">
        <v>0</v>
      </c>
      <c r="FQ257">
        <v>0</v>
      </c>
      <c r="FR257">
        <f t="shared" si="301"/>
        <v>0</v>
      </c>
      <c r="FS257">
        <v>0</v>
      </c>
      <c r="FX257">
        <v>0</v>
      </c>
      <c r="FY257">
        <v>0</v>
      </c>
      <c r="GA257" t="s">
        <v>6</v>
      </c>
      <c r="GD257">
        <v>1</v>
      </c>
      <c r="GF257">
        <v>777596408</v>
      </c>
      <c r="GG257">
        <v>2</v>
      </c>
      <c r="GH257">
        <v>1</v>
      </c>
      <c r="GI257">
        <v>4</v>
      </c>
      <c r="GJ257">
        <v>0</v>
      </c>
      <c r="GK257">
        <v>0</v>
      </c>
      <c r="GL257">
        <f t="shared" si="302"/>
        <v>0</v>
      </c>
      <c r="GM257">
        <f t="shared" si="303"/>
        <v>-253.28</v>
      </c>
      <c r="GN257">
        <f t="shared" si="304"/>
        <v>-253.28</v>
      </c>
      <c r="GO257">
        <f t="shared" si="305"/>
        <v>0</v>
      </c>
      <c r="GP257">
        <f t="shared" si="306"/>
        <v>0</v>
      </c>
      <c r="GR257">
        <v>0</v>
      </c>
      <c r="GS257">
        <v>3</v>
      </c>
      <c r="GT257">
        <v>0</v>
      </c>
      <c r="GU257" t="s">
        <v>6</v>
      </c>
      <c r="GV257">
        <f t="shared" si="307"/>
        <v>0</v>
      </c>
      <c r="GW257">
        <v>1</v>
      </c>
      <c r="GX257">
        <f t="shared" si="308"/>
        <v>0</v>
      </c>
      <c r="HA257">
        <v>0</v>
      </c>
      <c r="HB257">
        <v>0</v>
      </c>
      <c r="HC257">
        <f t="shared" si="309"/>
        <v>0</v>
      </c>
      <c r="HE257" t="s">
        <v>6</v>
      </c>
      <c r="HF257" t="s">
        <v>6</v>
      </c>
      <c r="HI257">
        <f t="shared" si="310"/>
        <v>0</v>
      </c>
      <c r="HJ257">
        <f t="shared" si="311"/>
        <v>0</v>
      </c>
      <c r="HK257">
        <f t="shared" si="312"/>
        <v>0</v>
      </c>
      <c r="HL257">
        <f t="shared" si="313"/>
        <v>0</v>
      </c>
      <c r="HM257" t="s">
        <v>6</v>
      </c>
      <c r="HN257" t="s">
        <v>6</v>
      </c>
      <c r="HO257" t="s">
        <v>6</v>
      </c>
      <c r="HP257" t="s">
        <v>6</v>
      </c>
      <c r="HQ257" t="s">
        <v>6</v>
      </c>
      <c r="IK257">
        <v>0</v>
      </c>
    </row>
    <row r="258" spans="1:245">
      <c r="A258">
        <v>17</v>
      </c>
      <c r="B258">
        <v>1</v>
      </c>
      <c r="E258" t="s">
        <v>585</v>
      </c>
      <c r="F258" t="s">
        <v>586</v>
      </c>
      <c r="G258" t="s">
        <v>587</v>
      </c>
      <c r="H258" t="s">
        <v>118</v>
      </c>
      <c r="I258">
        <v>472</v>
      </c>
      <c r="J258">
        <v>0</v>
      </c>
      <c r="K258">
        <v>472</v>
      </c>
      <c r="O258">
        <f t="shared" si="278"/>
        <v>2899.35</v>
      </c>
      <c r="P258">
        <f>ROUND(ROUND(CQ258*I258,0)/BC258,2)</f>
        <v>2899.35</v>
      </c>
      <c r="Q258">
        <f t="shared" si="279"/>
        <v>0</v>
      </c>
      <c r="R258">
        <f t="shared" si="280"/>
        <v>0</v>
      </c>
      <c r="S258">
        <f t="shared" si="281"/>
        <v>0</v>
      </c>
      <c r="T258">
        <f t="shared" si="282"/>
        <v>0</v>
      </c>
      <c r="U258">
        <f t="shared" si="283"/>
        <v>0</v>
      </c>
      <c r="V258">
        <f t="shared" si="284"/>
        <v>0</v>
      </c>
      <c r="W258">
        <f t="shared" si="285"/>
        <v>0</v>
      </c>
      <c r="X258">
        <f t="shared" si="286"/>
        <v>0</v>
      </c>
      <c r="Y258">
        <f t="shared" si="287"/>
        <v>0</v>
      </c>
      <c r="AA258">
        <v>31028412</v>
      </c>
      <c r="AB258">
        <f t="shared" si="288"/>
        <v>37.9</v>
      </c>
      <c r="AC258">
        <f t="shared" si="271"/>
        <v>37.9</v>
      </c>
      <c r="AD258">
        <f>ROUND((((ET258)-(EU258))+AE258),6)</f>
        <v>0</v>
      </c>
      <c r="AE258">
        <f>ROUND((EU258),6)</f>
        <v>0</v>
      </c>
      <c r="AF258">
        <f>ROUND((EV258),6)</f>
        <v>0</v>
      </c>
      <c r="AG258">
        <f t="shared" si="289"/>
        <v>0</v>
      </c>
      <c r="AH258">
        <f>(EW258)</f>
        <v>0</v>
      </c>
      <c r="AI258">
        <f>(EX258)</f>
        <v>0</v>
      </c>
      <c r="AJ258">
        <f t="shared" si="290"/>
        <v>0</v>
      </c>
      <c r="AK258">
        <v>37.9</v>
      </c>
      <c r="AL258">
        <v>37.9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1</v>
      </c>
      <c r="AW258">
        <v>1</v>
      </c>
      <c r="AZ258">
        <v>1</v>
      </c>
      <c r="BA258">
        <v>1</v>
      </c>
      <c r="BB258">
        <v>1</v>
      </c>
      <c r="BC258">
        <v>6.17</v>
      </c>
      <c r="BD258" t="s">
        <v>6</v>
      </c>
      <c r="BE258" t="s">
        <v>6</v>
      </c>
      <c r="BF258" t="s">
        <v>6</v>
      </c>
      <c r="BG258" t="s">
        <v>6</v>
      </c>
      <c r="BH258">
        <v>3</v>
      </c>
      <c r="BI258">
        <v>1</v>
      </c>
      <c r="BJ258" t="s">
        <v>6</v>
      </c>
      <c r="BM258">
        <v>1100</v>
      </c>
      <c r="BN258">
        <v>0</v>
      </c>
      <c r="BO258" t="s">
        <v>111</v>
      </c>
      <c r="BP258">
        <v>1</v>
      </c>
      <c r="BQ258">
        <v>8</v>
      </c>
      <c r="BR258">
        <v>0</v>
      </c>
      <c r="BS258">
        <v>1</v>
      </c>
      <c r="BT258">
        <v>1</v>
      </c>
      <c r="BU258">
        <v>1</v>
      </c>
      <c r="BV258">
        <v>1</v>
      </c>
      <c r="BW258">
        <v>1</v>
      </c>
      <c r="BX258">
        <v>1</v>
      </c>
      <c r="BY258" t="s">
        <v>6</v>
      </c>
      <c r="BZ258">
        <v>0</v>
      </c>
      <c r="CA258">
        <v>0</v>
      </c>
      <c r="CB258" t="s">
        <v>6</v>
      </c>
      <c r="CE258">
        <v>0</v>
      </c>
      <c r="CF258">
        <v>0</v>
      </c>
      <c r="CG258">
        <v>0</v>
      </c>
      <c r="CM258">
        <v>0</v>
      </c>
      <c r="CN258" t="s">
        <v>6</v>
      </c>
      <c r="CO258">
        <v>0</v>
      </c>
      <c r="CP258">
        <f t="shared" si="291"/>
        <v>2899.35</v>
      </c>
      <c r="CQ258">
        <f>AC258</f>
        <v>37.9</v>
      </c>
      <c r="CR258">
        <f t="shared" si="292"/>
        <v>0</v>
      </c>
      <c r="CS258">
        <f t="shared" si="293"/>
        <v>0</v>
      </c>
      <c r="CT258">
        <f t="shared" si="294"/>
        <v>0</v>
      </c>
      <c r="CU258">
        <f t="shared" si="295"/>
        <v>0</v>
      </c>
      <c r="CV258">
        <f t="shared" si="296"/>
        <v>0</v>
      </c>
      <c r="CW258">
        <f t="shared" si="297"/>
        <v>0</v>
      </c>
      <c r="CX258">
        <f t="shared" si="298"/>
        <v>0</v>
      </c>
      <c r="CY258">
        <f t="shared" si="299"/>
        <v>0</v>
      </c>
      <c r="CZ258">
        <f t="shared" si="300"/>
        <v>0</v>
      </c>
      <c r="DC258" t="s">
        <v>6</v>
      </c>
      <c r="DD258" t="s">
        <v>6</v>
      </c>
      <c r="DE258" t="s">
        <v>6</v>
      </c>
      <c r="DF258" t="s">
        <v>6</v>
      </c>
      <c r="DG258" t="s">
        <v>6</v>
      </c>
      <c r="DH258" t="s">
        <v>6</v>
      </c>
      <c r="DI258" t="s">
        <v>6</v>
      </c>
      <c r="DJ258" t="s">
        <v>6</v>
      </c>
      <c r="DK258" t="s">
        <v>6</v>
      </c>
      <c r="DL258" t="s">
        <v>6</v>
      </c>
      <c r="DM258" t="s">
        <v>6</v>
      </c>
      <c r="DN258">
        <v>0</v>
      </c>
      <c r="DO258">
        <v>0</v>
      </c>
      <c r="DP258">
        <v>1</v>
      </c>
      <c r="DQ258">
        <v>1</v>
      </c>
      <c r="DU258">
        <v>1009</v>
      </c>
      <c r="DV258" t="s">
        <v>118</v>
      </c>
      <c r="DW258" t="s">
        <v>118</v>
      </c>
      <c r="DX258">
        <v>1</v>
      </c>
      <c r="DZ258" t="s">
        <v>6</v>
      </c>
      <c r="EA258" t="s">
        <v>6</v>
      </c>
      <c r="EB258" t="s">
        <v>6</v>
      </c>
      <c r="EC258" t="s">
        <v>6</v>
      </c>
      <c r="EE258">
        <v>30853118</v>
      </c>
      <c r="EF258">
        <v>8</v>
      </c>
      <c r="EG258" t="s">
        <v>112</v>
      </c>
      <c r="EH258">
        <v>0</v>
      </c>
      <c r="EI258" t="s">
        <v>6</v>
      </c>
      <c r="EJ258">
        <v>1</v>
      </c>
      <c r="EK258">
        <v>1100</v>
      </c>
      <c r="EL258" t="s">
        <v>119</v>
      </c>
      <c r="EM258" t="s">
        <v>120</v>
      </c>
      <c r="EO258" t="s">
        <v>6</v>
      </c>
      <c r="EQ258">
        <v>0</v>
      </c>
      <c r="ER258">
        <v>37.9</v>
      </c>
      <c r="ES258">
        <v>37.9</v>
      </c>
      <c r="ET258">
        <v>0</v>
      </c>
      <c r="EU258">
        <v>0</v>
      </c>
      <c r="EV258">
        <v>0</v>
      </c>
      <c r="EW258">
        <v>0</v>
      </c>
      <c r="EX258">
        <v>0</v>
      </c>
      <c r="EY258">
        <v>0</v>
      </c>
      <c r="EZ258">
        <v>5</v>
      </c>
      <c r="FC258">
        <v>0</v>
      </c>
      <c r="FD258">
        <v>18</v>
      </c>
      <c r="FF258">
        <v>37.9</v>
      </c>
      <c r="FQ258">
        <v>0</v>
      </c>
      <c r="FR258">
        <f t="shared" si="301"/>
        <v>0</v>
      </c>
      <c r="FS258">
        <v>0</v>
      </c>
      <c r="FX258">
        <v>0</v>
      </c>
      <c r="FY258">
        <v>0</v>
      </c>
      <c r="GA258" t="s">
        <v>6</v>
      </c>
      <c r="GD258">
        <v>1</v>
      </c>
      <c r="GF258">
        <v>-1843107841</v>
      </c>
      <c r="GG258">
        <v>2</v>
      </c>
      <c r="GH258">
        <v>3</v>
      </c>
      <c r="GI258">
        <v>4</v>
      </c>
      <c r="GJ258">
        <v>0</v>
      </c>
      <c r="GK258">
        <v>0</v>
      </c>
      <c r="GL258">
        <f t="shared" si="302"/>
        <v>0</v>
      </c>
      <c r="GM258">
        <f t="shared" si="303"/>
        <v>2899.35</v>
      </c>
      <c r="GN258">
        <f t="shared" si="304"/>
        <v>2899.35</v>
      </c>
      <c r="GO258">
        <f t="shared" si="305"/>
        <v>0</v>
      </c>
      <c r="GP258">
        <f t="shared" si="306"/>
        <v>0</v>
      </c>
      <c r="GR258">
        <v>1</v>
      </c>
      <c r="GS258">
        <v>1</v>
      </c>
      <c r="GT258">
        <v>0</v>
      </c>
      <c r="GU258" t="s">
        <v>6</v>
      </c>
      <c r="GV258">
        <f t="shared" si="307"/>
        <v>0</v>
      </c>
      <c r="GW258">
        <v>1</v>
      </c>
      <c r="GX258">
        <f t="shared" si="308"/>
        <v>0</v>
      </c>
      <c r="HA258">
        <v>0</v>
      </c>
      <c r="HB258">
        <v>0</v>
      </c>
      <c r="HC258">
        <f t="shared" si="309"/>
        <v>0</v>
      </c>
      <c r="HE258" t="s">
        <v>6</v>
      </c>
      <c r="HF258" t="s">
        <v>6</v>
      </c>
      <c r="HG258">
        <f>ROUND(AC258*I258,0)</f>
        <v>17889</v>
      </c>
      <c r="HI258">
        <f t="shared" si="310"/>
        <v>0</v>
      </c>
      <c r="HJ258">
        <f t="shared" si="311"/>
        <v>0</v>
      </c>
      <c r="HK258">
        <f t="shared" si="312"/>
        <v>0</v>
      </c>
      <c r="HL258">
        <f t="shared" si="313"/>
        <v>0</v>
      </c>
      <c r="HM258" t="s">
        <v>6</v>
      </c>
      <c r="HN258" t="s">
        <v>6</v>
      </c>
      <c r="HO258" t="s">
        <v>6</v>
      </c>
      <c r="HP258" t="s">
        <v>6</v>
      </c>
      <c r="HQ258" t="s">
        <v>6</v>
      </c>
      <c r="IK258">
        <v>0</v>
      </c>
    </row>
    <row r="259" spans="1:245">
      <c r="A259">
        <v>17</v>
      </c>
      <c r="B259">
        <v>1</v>
      </c>
      <c r="C259">
        <f>ROW(SmtRes!A592)</f>
        <v>592</v>
      </c>
      <c r="D259">
        <f>ROW(EtalonRes!A621)</f>
        <v>621</v>
      </c>
      <c r="E259" t="s">
        <v>588</v>
      </c>
      <c r="F259" t="s">
        <v>589</v>
      </c>
      <c r="G259" t="s">
        <v>590</v>
      </c>
      <c r="H259" t="s">
        <v>591</v>
      </c>
      <c r="I259">
        <f>ROUND(33.4*4/100,7)</f>
        <v>1.3360000000000001</v>
      </c>
      <c r="J259">
        <v>0</v>
      </c>
      <c r="K259">
        <f>ROUND(33.4*4/100,7)</f>
        <v>1.3360000000000001</v>
      </c>
      <c r="O259">
        <f t="shared" si="278"/>
        <v>2395.2800000000002</v>
      </c>
      <c r="P259">
        <f t="shared" ref="P259:P277" si="314">ROUND(CQ259*I259,2)</f>
        <v>1775.9</v>
      </c>
      <c r="Q259">
        <f t="shared" si="279"/>
        <v>83.95</v>
      </c>
      <c r="R259">
        <f t="shared" si="280"/>
        <v>31.78</v>
      </c>
      <c r="S259">
        <f t="shared" si="281"/>
        <v>535.42999999999995</v>
      </c>
      <c r="T259">
        <f t="shared" si="282"/>
        <v>0</v>
      </c>
      <c r="U259">
        <f t="shared" si="283"/>
        <v>69.808638599999995</v>
      </c>
      <c r="V259">
        <f t="shared" si="284"/>
        <v>2.4390350000000001</v>
      </c>
      <c r="W259">
        <f t="shared" si="285"/>
        <v>0</v>
      </c>
      <c r="X259">
        <f t="shared" si="286"/>
        <v>571.75</v>
      </c>
      <c r="Y259">
        <f t="shared" si="287"/>
        <v>313.38</v>
      </c>
      <c r="AA259">
        <v>31028412</v>
      </c>
      <c r="AB259">
        <f t="shared" si="288"/>
        <v>1792.873525</v>
      </c>
      <c r="AC259">
        <f t="shared" si="271"/>
        <v>1329.27</v>
      </c>
      <c r="AD259">
        <f t="shared" ref="AD259:AD264" si="315">ROUND(((((ET259*ROUND((1.25*1.15),7)))-((EU259*ROUND((1.25*1.15),7))))+AE259),6)</f>
        <v>62.833125000000003</v>
      </c>
      <c r="AE259">
        <f t="shared" ref="AE259:AE264" si="316">ROUND(((EU259*ROUND((1.25*1.15),7))),6)</f>
        <v>23.790624999999999</v>
      </c>
      <c r="AF259">
        <f t="shared" ref="AF259:AF264" si="317">ROUND(((EV259*ROUND((1.15*1.15),7))),6)</f>
        <v>400.7704</v>
      </c>
      <c r="AG259">
        <f t="shared" si="289"/>
        <v>0</v>
      </c>
      <c r="AH259">
        <f t="shared" ref="AH259:AH264" si="318">((EW259*ROUND((1.15*1.15),7)))</f>
        <v>52.251974999999995</v>
      </c>
      <c r="AI259">
        <f t="shared" ref="AI259:AI264" si="319">((EX259*ROUND((1.25*1.15),7)))</f>
        <v>1.8256250000000001</v>
      </c>
      <c r="AJ259">
        <f t="shared" si="290"/>
        <v>0</v>
      </c>
      <c r="AK259">
        <v>1676.02</v>
      </c>
      <c r="AL259">
        <v>1329.27</v>
      </c>
      <c r="AM259">
        <v>43.71</v>
      </c>
      <c r="AN259">
        <v>16.55</v>
      </c>
      <c r="AO259">
        <v>303.04000000000002</v>
      </c>
      <c r="AP259">
        <v>0</v>
      </c>
      <c r="AQ259">
        <v>39.51</v>
      </c>
      <c r="AR259">
        <v>1.27</v>
      </c>
      <c r="AS259">
        <v>0</v>
      </c>
      <c r="AT259">
        <v>100.8</v>
      </c>
      <c r="AU259">
        <v>55.25</v>
      </c>
      <c r="AV259">
        <v>1</v>
      </c>
      <c r="AW259">
        <v>1</v>
      </c>
      <c r="AZ259">
        <v>1</v>
      </c>
      <c r="BA259">
        <v>24.22</v>
      </c>
      <c r="BB259">
        <v>1</v>
      </c>
      <c r="BC259">
        <v>1</v>
      </c>
      <c r="BD259" t="s">
        <v>6</v>
      </c>
      <c r="BE259" t="s">
        <v>6</v>
      </c>
      <c r="BF259" t="s">
        <v>6</v>
      </c>
      <c r="BG259" t="s">
        <v>6</v>
      </c>
      <c r="BH259">
        <v>0</v>
      </c>
      <c r="BI259">
        <v>1</v>
      </c>
      <c r="BJ259" t="s">
        <v>592</v>
      </c>
      <c r="BM259">
        <v>11001</v>
      </c>
      <c r="BN259">
        <v>0</v>
      </c>
      <c r="BO259" t="s">
        <v>1327</v>
      </c>
      <c r="BP259">
        <v>1</v>
      </c>
      <c r="BQ259">
        <v>2</v>
      </c>
      <c r="BR259">
        <v>0</v>
      </c>
      <c r="BS259">
        <v>24.22</v>
      </c>
      <c r="BT259">
        <v>1</v>
      </c>
      <c r="BU259">
        <v>1</v>
      </c>
      <c r="BV259">
        <v>1</v>
      </c>
      <c r="BW259">
        <v>1</v>
      </c>
      <c r="BX259">
        <v>1</v>
      </c>
      <c r="BY259" t="s">
        <v>6</v>
      </c>
      <c r="BZ259">
        <v>112</v>
      </c>
      <c r="CA259">
        <v>65</v>
      </c>
      <c r="CB259" t="s">
        <v>6</v>
      </c>
      <c r="CE259">
        <v>0</v>
      </c>
      <c r="CF259">
        <v>0</v>
      </c>
      <c r="CG259">
        <v>0</v>
      </c>
      <c r="CM259">
        <v>0</v>
      </c>
      <c r="CN259" t="s">
        <v>6</v>
      </c>
      <c r="CO259">
        <v>0</v>
      </c>
      <c r="CP259">
        <f t="shared" si="291"/>
        <v>2395.2800000000002</v>
      </c>
      <c r="CQ259">
        <f t="shared" ref="CQ259:CQ277" si="320">AC259*BC259</f>
        <v>1329.27</v>
      </c>
      <c r="CR259">
        <f t="shared" si="292"/>
        <v>62.833125000000003</v>
      </c>
      <c r="CS259">
        <f t="shared" si="293"/>
        <v>23.790624999999999</v>
      </c>
      <c r="CT259">
        <f t="shared" si="294"/>
        <v>400.7704</v>
      </c>
      <c r="CU259">
        <f t="shared" si="295"/>
        <v>0</v>
      </c>
      <c r="CV259">
        <f t="shared" si="296"/>
        <v>52.251974999999995</v>
      </c>
      <c r="CW259">
        <f t="shared" si="297"/>
        <v>1.8256250000000001</v>
      </c>
      <c r="CX259">
        <f t="shared" si="298"/>
        <v>0</v>
      </c>
      <c r="CY259">
        <f t="shared" si="299"/>
        <v>571.74767999999995</v>
      </c>
      <c r="CZ259">
        <f t="shared" si="300"/>
        <v>313.38352499999996</v>
      </c>
      <c r="DC259" t="s">
        <v>6</v>
      </c>
      <c r="DD259" t="s">
        <v>6</v>
      </c>
      <c r="DE259" t="s">
        <v>126</v>
      </c>
      <c r="DF259" t="s">
        <v>126</v>
      </c>
      <c r="DG259" t="s">
        <v>127</v>
      </c>
      <c r="DH259" t="s">
        <v>6</v>
      </c>
      <c r="DI259" t="s">
        <v>127</v>
      </c>
      <c r="DJ259" t="s">
        <v>126</v>
      </c>
      <c r="DK259" t="s">
        <v>6</v>
      </c>
      <c r="DL259" t="s">
        <v>6</v>
      </c>
      <c r="DM259" t="s">
        <v>6</v>
      </c>
      <c r="DN259">
        <v>0</v>
      </c>
      <c r="DO259">
        <v>0</v>
      </c>
      <c r="DP259">
        <v>1</v>
      </c>
      <c r="DQ259">
        <v>1</v>
      </c>
      <c r="DU259">
        <v>1013</v>
      </c>
      <c r="DV259" t="s">
        <v>591</v>
      </c>
      <c r="DW259" t="s">
        <v>591</v>
      </c>
      <c r="DX259">
        <v>1</v>
      </c>
      <c r="DZ259" t="s">
        <v>6</v>
      </c>
      <c r="EA259" t="s">
        <v>6</v>
      </c>
      <c r="EB259" t="s">
        <v>6</v>
      </c>
      <c r="EC259" t="s">
        <v>6</v>
      </c>
      <c r="EE259">
        <v>30852907</v>
      </c>
      <c r="EF259">
        <v>2</v>
      </c>
      <c r="EG259" t="s">
        <v>26</v>
      </c>
      <c r="EH259">
        <v>0</v>
      </c>
      <c r="EI259" t="s">
        <v>6</v>
      </c>
      <c r="EJ259">
        <v>1</v>
      </c>
      <c r="EK259">
        <v>11001</v>
      </c>
      <c r="EL259" t="s">
        <v>511</v>
      </c>
      <c r="EM259" t="s">
        <v>593</v>
      </c>
      <c r="EO259" t="s">
        <v>6</v>
      </c>
      <c r="EQ259">
        <v>131072</v>
      </c>
      <c r="ER259">
        <v>1676.02</v>
      </c>
      <c r="ES259">
        <v>1329.27</v>
      </c>
      <c r="ET259">
        <v>43.71</v>
      </c>
      <c r="EU259">
        <v>16.55</v>
      </c>
      <c r="EV259">
        <v>303.04000000000002</v>
      </c>
      <c r="EW259">
        <v>39.51</v>
      </c>
      <c r="EX259">
        <v>1.27</v>
      </c>
      <c r="EY259">
        <v>0</v>
      </c>
      <c r="FQ259">
        <v>0</v>
      </c>
      <c r="FR259">
        <f t="shared" si="301"/>
        <v>0</v>
      </c>
      <c r="FS259">
        <v>0</v>
      </c>
      <c r="FT259" t="s">
        <v>29</v>
      </c>
      <c r="FU259" t="s">
        <v>30</v>
      </c>
      <c r="FX259">
        <v>100.8</v>
      </c>
      <c r="FY259">
        <v>55.25</v>
      </c>
      <c r="GA259" t="s">
        <v>6</v>
      </c>
      <c r="GD259">
        <v>1</v>
      </c>
      <c r="GF259">
        <v>1023667274</v>
      </c>
      <c r="GG259">
        <v>2</v>
      </c>
      <c r="GH259">
        <v>1</v>
      </c>
      <c r="GI259">
        <v>4</v>
      </c>
      <c r="GJ259">
        <v>0</v>
      </c>
      <c r="GK259">
        <v>0</v>
      </c>
      <c r="GL259">
        <f t="shared" si="302"/>
        <v>0</v>
      </c>
      <c r="GM259">
        <f t="shared" si="303"/>
        <v>3280.41</v>
      </c>
      <c r="GN259">
        <f t="shared" si="304"/>
        <v>3280.41</v>
      </c>
      <c r="GO259">
        <f t="shared" si="305"/>
        <v>0</v>
      </c>
      <c r="GP259">
        <f t="shared" si="306"/>
        <v>0</v>
      </c>
      <c r="GR259">
        <v>0</v>
      </c>
      <c r="GS259">
        <v>0</v>
      </c>
      <c r="GT259">
        <v>0</v>
      </c>
      <c r="GU259" t="s">
        <v>6</v>
      </c>
      <c r="GV259">
        <f t="shared" si="307"/>
        <v>0</v>
      </c>
      <c r="GW259">
        <v>1</v>
      </c>
      <c r="GX259">
        <f t="shared" si="308"/>
        <v>0</v>
      </c>
      <c r="HA259">
        <v>0</v>
      </c>
      <c r="HB259">
        <v>0</v>
      </c>
      <c r="HC259">
        <f t="shared" si="309"/>
        <v>0</v>
      </c>
      <c r="HE259" t="s">
        <v>6</v>
      </c>
      <c r="HF259" t="s">
        <v>6</v>
      </c>
      <c r="HI259">
        <f t="shared" si="310"/>
        <v>770</v>
      </c>
      <c r="HJ259">
        <f t="shared" si="311"/>
        <v>12968</v>
      </c>
      <c r="HK259">
        <f t="shared" si="312"/>
        <v>13848</v>
      </c>
      <c r="HL259">
        <f t="shared" si="313"/>
        <v>7590</v>
      </c>
      <c r="HM259" t="s">
        <v>6</v>
      </c>
      <c r="HN259" t="s">
        <v>6</v>
      </c>
      <c r="HO259" t="s">
        <v>6</v>
      </c>
      <c r="HP259" t="s">
        <v>6</v>
      </c>
      <c r="HQ259" t="s">
        <v>6</v>
      </c>
      <c r="IK259">
        <v>0</v>
      </c>
    </row>
    <row r="260" spans="1:245">
      <c r="A260">
        <v>17</v>
      </c>
      <c r="B260">
        <v>1</v>
      </c>
      <c r="C260">
        <f>ROW(SmtRes!A597)</f>
        <v>597</v>
      </c>
      <c r="D260">
        <f>ROW(EtalonRes!A626)</f>
        <v>626</v>
      </c>
      <c r="E260" t="s">
        <v>594</v>
      </c>
      <c r="F260" t="s">
        <v>595</v>
      </c>
      <c r="G260" t="s">
        <v>596</v>
      </c>
      <c r="H260" t="s">
        <v>591</v>
      </c>
      <c r="I260">
        <f>ROUND(33.4*4/100,7)</f>
        <v>1.3360000000000001</v>
      </c>
      <c r="J260">
        <v>0</v>
      </c>
      <c r="K260">
        <f>ROUND(33.4*4/100,7)</f>
        <v>1.3360000000000001</v>
      </c>
      <c r="O260">
        <f t="shared" si="278"/>
        <v>462.56</v>
      </c>
      <c r="P260">
        <f t="shared" si="314"/>
        <v>441.11</v>
      </c>
      <c r="Q260">
        <f t="shared" si="279"/>
        <v>14.67</v>
      </c>
      <c r="R260">
        <f t="shared" si="280"/>
        <v>5.26</v>
      </c>
      <c r="S260">
        <f t="shared" si="281"/>
        <v>6.78</v>
      </c>
      <c r="T260">
        <f t="shared" si="282"/>
        <v>0</v>
      </c>
      <c r="U260">
        <f t="shared" si="283"/>
        <v>0.88343000000000005</v>
      </c>
      <c r="V260">
        <f t="shared" si="284"/>
        <v>0.40330500000000002</v>
      </c>
      <c r="W260">
        <f t="shared" si="285"/>
        <v>0</v>
      </c>
      <c r="X260">
        <f t="shared" si="286"/>
        <v>12.14</v>
      </c>
      <c r="Y260">
        <f t="shared" si="287"/>
        <v>6.65</v>
      </c>
      <c r="AA260">
        <v>31028412</v>
      </c>
      <c r="AB260">
        <f t="shared" si="288"/>
        <v>346.23090000000002</v>
      </c>
      <c r="AC260">
        <f t="shared" si="271"/>
        <v>330.17</v>
      </c>
      <c r="AD260">
        <f t="shared" si="315"/>
        <v>10.9825</v>
      </c>
      <c r="AE260">
        <f t="shared" si="316"/>
        <v>3.9387500000000002</v>
      </c>
      <c r="AF260">
        <f t="shared" si="317"/>
        <v>5.0784000000000002</v>
      </c>
      <c r="AG260">
        <f t="shared" si="289"/>
        <v>0</v>
      </c>
      <c r="AH260">
        <f t="shared" si="318"/>
        <v>0.66125</v>
      </c>
      <c r="AI260">
        <f t="shared" si="319"/>
        <v>0.301875</v>
      </c>
      <c r="AJ260">
        <f t="shared" si="290"/>
        <v>0</v>
      </c>
      <c r="AK260">
        <v>341.65</v>
      </c>
      <c r="AL260">
        <v>330.17</v>
      </c>
      <c r="AM260">
        <v>7.64</v>
      </c>
      <c r="AN260">
        <v>2.74</v>
      </c>
      <c r="AO260">
        <v>3.84</v>
      </c>
      <c r="AP260">
        <v>0</v>
      </c>
      <c r="AQ260">
        <v>0.5</v>
      </c>
      <c r="AR260">
        <v>0.21</v>
      </c>
      <c r="AS260">
        <v>0</v>
      </c>
      <c r="AT260">
        <v>100.8</v>
      </c>
      <c r="AU260">
        <v>55.25</v>
      </c>
      <c r="AV260">
        <v>1</v>
      </c>
      <c r="AW260">
        <v>1</v>
      </c>
      <c r="AZ260">
        <v>1</v>
      </c>
      <c r="BA260">
        <v>24.22</v>
      </c>
      <c r="BB260">
        <v>1</v>
      </c>
      <c r="BC260">
        <v>1</v>
      </c>
      <c r="BD260" t="s">
        <v>6</v>
      </c>
      <c r="BE260" t="s">
        <v>6</v>
      </c>
      <c r="BF260" t="s">
        <v>6</v>
      </c>
      <c r="BG260" t="s">
        <v>6</v>
      </c>
      <c r="BH260">
        <v>0</v>
      </c>
      <c r="BI260">
        <v>1</v>
      </c>
      <c r="BJ260" t="s">
        <v>597</v>
      </c>
      <c r="BM260">
        <v>11001</v>
      </c>
      <c r="BN260">
        <v>0</v>
      </c>
      <c r="BO260" t="s">
        <v>1327</v>
      </c>
      <c r="BP260">
        <v>1</v>
      </c>
      <c r="BQ260">
        <v>2</v>
      </c>
      <c r="BR260">
        <v>0</v>
      </c>
      <c r="BS260">
        <v>24.22</v>
      </c>
      <c r="BT260">
        <v>1</v>
      </c>
      <c r="BU260">
        <v>1</v>
      </c>
      <c r="BV260">
        <v>1</v>
      </c>
      <c r="BW260">
        <v>1</v>
      </c>
      <c r="BX260">
        <v>1</v>
      </c>
      <c r="BY260" t="s">
        <v>6</v>
      </c>
      <c r="BZ260">
        <v>112</v>
      </c>
      <c r="CA260">
        <v>65</v>
      </c>
      <c r="CB260" t="s">
        <v>6</v>
      </c>
      <c r="CE260">
        <v>0</v>
      </c>
      <c r="CF260">
        <v>0</v>
      </c>
      <c r="CG260">
        <v>0</v>
      </c>
      <c r="CM260">
        <v>0</v>
      </c>
      <c r="CN260" t="s">
        <v>6</v>
      </c>
      <c r="CO260">
        <v>0</v>
      </c>
      <c r="CP260">
        <f t="shared" si="291"/>
        <v>462.56</v>
      </c>
      <c r="CQ260">
        <f t="shared" si="320"/>
        <v>330.17</v>
      </c>
      <c r="CR260">
        <f t="shared" si="292"/>
        <v>10.9825</v>
      </c>
      <c r="CS260">
        <f t="shared" si="293"/>
        <v>3.9387500000000002</v>
      </c>
      <c r="CT260">
        <f t="shared" si="294"/>
        <v>5.0784000000000002</v>
      </c>
      <c r="CU260">
        <f t="shared" si="295"/>
        <v>0</v>
      </c>
      <c r="CV260">
        <f t="shared" si="296"/>
        <v>0.66125</v>
      </c>
      <c r="CW260">
        <f t="shared" si="297"/>
        <v>0.301875</v>
      </c>
      <c r="CX260">
        <f t="shared" si="298"/>
        <v>0</v>
      </c>
      <c r="CY260">
        <f t="shared" si="299"/>
        <v>12.136319999999998</v>
      </c>
      <c r="CZ260">
        <f t="shared" si="300"/>
        <v>6.652099999999999</v>
      </c>
      <c r="DC260" t="s">
        <v>6</v>
      </c>
      <c r="DD260" t="s">
        <v>6</v>
      </c>
      <c r="DE260" t="s">
        <v>126</v>
      </c>
      <c r="DF260" t="s">
        <v>126</v>
      </c>
      <c r="DG260" t="s">
        <v>127</v>
      </c>
      <c r="DH260" t="s">
        <v>6</v>
      </c>
      <c r="DI260" t="s">
        <v>127</v>
      </c>
      <c r="DJ260" t="s">
        <v>126</v>
      </c>
      <c r="DK260" t="s">
        <v>6</v>
      </c>
      <c r="DL260" t="s">
        <v>6</v>
      </c>
      <c r="DM260" t="s">
        <v>6</v>
      </c>
      <c r="DN260">
        <v>0</v>
      </c>
      <c r="DO260">
        <v>0</v>
      </c>
      <c r="DP260">
        <v>1</v>
      </c>
      <c r="DQ260">
        <v>1</v>
      </c>
      <c r="DU260">
        <v>1013</v>
      </c>
      <c r="DV260" t="s">
        <v>591</v>
      </c>
      <c r="DW260" t="s">
        <v>591</v>
      </c>
      <c r="DX260">
        <v>1</v>
      </c>
      <c r="DZ260" t="s">
        <v>6</v>
      </c>
      <c r="EA260" t="s">
        <v>6</v>
      </c>
      <c r="EB260" t="s">
        <v>6</v>
      </c>
      <c r="EC260" t="s">
        <v>6</v>
      </c>
      <c r="EE260">
        <v>30852907</v>
      </c>
      <c r="EF260">
        <v>2</v>
      </c>
      <c r="EG260" t="s">
        <v>26</v>
      </c>
      <c r="EH260">
        <v>0</v>
      </c>
      <c r="EI260" t="s">
        <v>6</v>
      </c>
      <c r="EJ260">
        <v>1</v>
      </c>
      <c r="EK260">
        <v>11001</v>
      </c>
      <c r="EL260" t="s">
        <v>511</v>
      </c>
      <c r="EM260" t="s">
        <v>593</v>
      </c>
      <c r="EO260" t="s">
        <v>6</v>
      </c>
      <c r="EQ260">
        <v>131072</v>
      </c>
      <c r="ER260">
        <v>341.65</v>
      </c>
      <c r="ES260">
        <v>330.17</v>
      </c>
      <c r="ET260">
        <v>7.64</v>
      </c>
      <c r="EU260">
        <v>2.74</v>
      </c>
      <c r="EV260">
        <v>3.84</v>
      </c>
      <c r="EW260">
        <v>0.5</v>
      </c>
      <c r="EX260">
        <v>0.21</v>
      </c>
      <c r="EY260">
        <v>0</v>
      </c>
      <c r="FQ260">
        <v>0</v>
      </c>
      <c r="FR260">
        <f t="shared" si="301"/>
        <v>0</v>
      </c>
      <c r="FS260">
        <v>0</v>
      </c>
      <c r="FT260" t="s">
        <v>29</v>
      </c>
      <c r="FU260" t="s">
        <v>30</v>
      </c>
      <c r="FX260">
        <v>100.8</v>
      </c>
      <c r="FY260">
        <v>55.25</v>
      </c>
      <c r="GA260" t="s">
        <v>6</v>
      </c>
      <c r="GD260">
        <v>1</v>
      </c>
      <c r="GF260">
        <v>-1327822328</v>
      </c>
      <c r="GG260">
        <v>2</v>
      </c>
      <c r="GH260">
        <v>1</v>
      </c>
      <c r="GI260">
        <v>4</v>
      </c>
      <c r="GJ260">
        <v>0</v>
      </c>
      <c r="GK260">
        <v>0</v>
      </c>
      <c r="GL260">
        <f t="shared" si="302"/>
        <v>0</v>
      </c>
      <c r="GM260">
        <f t="shared" si="303"/>
        <v>481.35</v>
      </c>
      <c r="GN260">
        <f t="shared" si="304"/>
        <v>481.35</v>
      </c>
      <c r="GO260">
        <f t="shared" si="305"/>
        <v>0</v>
      </c>
      <c r="GP260">
        <f t="shared" si="306"/>
        <v>0</v>
      </c>
      <c r="GR260">
        <v>0</v>
      </c>
      <c r="GS260">
        <v>0</v>
      </c>
      <c r="GT260">
        <v>0</v>
      </c>
      <c r="GU260" t="s">
        <v>6</v>
      </c>
      <c r="GV260">
        <f t="shared" si="307"/>
        <v>0</v>
      </c>
      <c r="GW260">
        <v>1</v>
      </c>
      <c r="GX260">
        <f t="shared" si="308"/>
        <v>0</v>
      </c>
      <c r="HA260">
        <v>0</v>
      </c>
      <c r="HB260">
        <v>0</v>
      </c>
      <c r="HC260">
        <f t="shared" si="309"/>
        <v>0</v>
      </c>
      <c r="HE260" t="s">
        <v>6</v>
      </c>
      <c r="HF260" t="s">
        <v>6</v>
      </c>
      <c r="HI260">
        <f t="shared" si="310"/>
        <v>127</v>
      </c>
      <c r="HJ260">
        <f t="shared" si="311"/>
        <v>164</v>
      </c>
      <c r="HK260">
        <f t="shared" si="312"/>
        <v>293</v>
      </c>
      <c r="HL260">
        <f t="shared" si="313"/>
        <v>161</v>
      </c>
      <c r="HM260" t="s">
        <v>6</v>
      </c>
      <c r="HN260" t="s">
        <v>6</v>
      </c>
      <c r="HO260" t="s">
        <v>6</v>
      </c>
      <c r="HP260" t="s">
        <v>6</v>
      </c>
      <c r="HQ260" t="s">
        <v>6</v>
      </c>
      <c r="IK260">
        <v>0</v>
      </c>
    </row>
    <row r="261" spans="1:245">
      <c r="A261">
        <v>17</v>
      </c>
      <c r="B261">
        <v>1</v>
      </c>
      <c r="C261">
        <f>ROW(SmtRes!A608)</f>
        <v>608</v>
      </c>
      <c r="D261">
        <f>ROW(EtalonRes!A637)</f>
        <v>637</v>
      </c>
      <c r="E261" t="s">
        <v>598</v>
      </c>
      <c r="F261" t="s">
        <v>599</v>
      </c>
      <c r="G261" t="s">
        <v>600</v>
      </c>
      <c r="H261" t="s">
        <v>601</v>
      </c>
      <c r="I261">
        <f>ROUND(36.8*4/100,7)</f>
        <v>1.472</v>
      </c>
      <c r="J261">
        <v>0</v>
      </c>
      <c r="K261">
        <f>ROUND(36.8*4/100,7)</f>
        <v>1.472</v>
      </c>
      <c r="O261">
        <f t="shared" si="278"/>
        <v>6152.49</v>
      </c>
      <c r="P261">
        <f t="shared" si="314"/>
        <v>5412.37</v>
      </c>
      <c r="Q261">
        <f t="shared" si="279"/>
        <v>118.98</v>
      </c>
      <c r="R261">
        <f t="shared" si="280"/>
        <v>6.35</v>
      </c>
      <c r="S261">
        <f t="shared" si="281"/>
        <v>621.14</v>
      </c>
      <c r="T261">
        <f t="shared" si="282"/>
        <v>0</v>
      </c>
      <c r="U261">
        <f t="shared" si="283"/>
        <v>63.969219199999998</v>
      </c>
      <c r="V261">
        <f t="shared" si="284"/>
        <v>0.48668</v>
      </c>
      <c r="W261">
        <f t="shared" si="285"/>
        <v>0</v>
      </c>
      <c r="X261">
        <f t="shared" si="286"/>
        <v>632.51</v>
      </c>
      <c r="Y261">
        <f t="shared" si="287"/>
        <v>346.69</v>
      </c>
      <c r="AA261">
        <v>31028412</v>
      </c>
      <c r="AB261">
        <f t="shared" si="288"/>
        <v>4179.6806999999999</v>
      </c>
      <c r="AC261">
        <f t="shared" si="271"/>
        <v>3676.88</v>
      </c>
      <c r="AD261">
        <f t="shared" si="315"/>
        <v>80.830624999999998</v>
      </c>
      <c r="AE261">
        <f t="shared" si="316"/>
        <v>4.3125</v>
      </c>
      <c r="AF261">
        <f t="shared" si="317"/>
        <v>421.97007500000001</v>
      </c>
      <c r="AG261">
        <f t="shared" si="289"/>
        <v>0</v>
      </c>
      <c r="AH261">
        <f t="shared" si="318"/>
        <v>43.457349999999998</v>
      </c>
      <c r="AI261">
        <f t="shared" si="319"/>
        <v>0.330625</v>
      </c>
      <c r="AJ261">
        <f t="shared" si="290"/>
        <v>0</v>
      </c>
      <c r="AK261">
        <v>4052.18</v>
      </c>
      <c r="AL261">
        <v>3676.88</v>
      </c>
      <c r="AM261">
        <v>56.23</v>
      </c>
      <c r="AN261">
        <v>3</v>
      </c>
      <c r="AO261">
        <v>319.07</v>
      </c>
      <c r="AP261">
        <v>0</v>
      </c>
      <c r="AQ261">
        <v>32.86</v>
      </c>
      <c r="AR261">
        <v>0.23</v>
      </c>
      <c r="AS261">
        <v>0</v>
      </c>
      <c r="AT261">
        <v>100.8</v>
      </c>
      <c r="AU261">
        <v>55.25</v>
      </c>
      <c r="AV261">
        <v>1</v>
      </c>
      <c r="AW261">
        <v>1</v>
      </c>
      <c r="AZ261">
        <v>1</v>
      </c>
      <c r="BA261">
        <v>24.22</v>
      </c>
      <c r="BB261">
        <v>1</v>
      </c>
      <c r="BC261">
        <v>1</v>
      </c>
      <c r="BD261" t="s">
        <v>6</v>
      </c>
      <c r="BE261" t="s">
        <v>6</v>
      </c>
      <c r="BF261" t="s">
        <v>6</v>
      </c>
      <c r="BG261" t="s">
        <v>6</v>
      </c>
      <c r="BH261">
        <v>0</v>
      </c>
      <c r="BI261">
        <v>1</v>
      </c>
      <c r="BJ261" t="s">
        <v>602</v>
      </c>
      <c r="BM261">
        <v>11001</v>
      </c>
      <c r="BN261">
        <v>0</v>
      </c>
      <c r="BO261" t="s">
        <v>1327</v>
      </c>
      <c r="BP261">
        <v>1</v>
      </c>
      <c r="BQ261">
        <v>2</v>
      </c>
      <c r="BR261">
        <v>0</v>
      </c>
      <c r="BS261">
        <v>24.22</v>
      </c>
      <c r="BT261">
        <v>1</v>
      </c>
      <c r="BU261">
        <v>1</v>
      </c>
      <c r="BV261">
        <v>1</v>
      </c>
      <c r="BW261">
        <v>1</v>
      </c>
      <c r="BX261">
        <v>1</v>
      </c>
      <c r="BY261" t="s">
        <v>6</v>
      </c>
      <c r="BZ261">
        <v>112</v>
      </c>
      <c r="CA261">
        <v>65</v>
      </c>
      <c r="CB261" t="s">
        <v>6</v>
      </c>
      <c r="CE261">
        <v>0</v>
      </c>
      <c r="CF261">
        <v>0</v>
      </c>
      <c r="CG261">
        <v>0</v>
      </c>
      <c r="CM261">
        <v>0</v>
      </c>
      <c r="CN261" t="s">
        <v>6</v>
      </c>
      <c r="CO261">
        <v>0</v>
      </c>
      <c r="CP261">
        <f t="shared" si="291"/>
        <v>6152.49</v>
      </c>
      <c r="CQ261">
        <f t="shared" si="320"/>
        <v>3676.88</v>
      </c>
      <c r="CR261">
        <f t="shared" si="292"/>
        <v>80.830624999999998</v>
      </c>
      <c r="CS261">
        <f t="shared" si="293"/>
        <v>4.3125</v>
      </c>
      <c r="CT261">
        <f t="shared" si="294"/>
        <v>421.97007500000001</v>
      </c>
      <c r="CU261">
        <f t="shared" si="295"/>
        <v>0</v>
      </c>
      <c r="CV261">
        <f t="shared" si="296"/>
        <v>43.457349999999998</v>
      </c>
      <c r="CW261">
        <f t="shared" si="297"/>
        <v>0.330625</v>
      </c>
      <c r="CX261">
        <f t="shared" si="298"/>
        <v>0</v>
      </c>
      <c r="CY261">
        <f t="shared" si="299"/>
        <v>632.50991999999997</v>
      </c>
      <c r="CZ261">
        <f t="shared" si="300"/>
        <v>346.68822500000005</v>
      </c>
      <c r="DC261" t="s">
        <v>6</v>
      </c>
      <c r="DD261" t="s">
        <v>6</v>
      </c>
      <c r="DE261" t="s">
        <v>126</v>
      </c>
      <c r="DF261" t="s">
        <v>126</v>
      </c>
      <c r="DG261" t="s">
        <v>127</v>
      </c>
      <c r="DH261" t="s">
        <v>6</v>
      </c>
      <c r="DI261" t="s">
        <v>127</v>
      </c>
      <c r="DJ261" t="s">
        <v>126</v>
      </c>
      <c r="DK261" t="s">
        <v>6</v>
      </c>
      <c r="DL261" t="s">
        <v>6</v>
      </c>
      <c r="DM261" t="s">
        <v>6</v>
      </c>
      <c r="DN261">
        <v>0</v>
      </c>
      <c r="DO261">
        <v>0</v>
      </c>
      <c r="DP261">
        <v>1</v>
      </c>
      <c r="DQ261">
        <v>1</v>
      </c>
      <c r="DU261">
        <v>1005</v>
      </c>
      <c r="DV261" t="s">
        <v>601</v>
      </c>
      <c r="DW261" t="s">
        <v>601</v>
      </c>
      <c r="DX261">
        <v>100</v>
      </c>
      <c r="DZ261" t="s">
        <v>6</v>
      </c>
      <c r="EA261" t="s">
        <v>6</v>
      </c>
      <c r="EB261" t="s">
        <v>6</v>
      </c>
      <c r="EC261" t="s">
        <v>6</v>
      </c>
      <c r="EE261">
        <v>30852907</v>
      </c>
      <c r="EF261">
        <v>2</v>
      </c>
      <c r="EG261" t="s">
        <v>26</v>
      </c>
      <c r="EH261">
        <v>0</v>
      </c>
      <c r="EI261" t="s">
        <v>6</v>
      </c>
      <c r="EJ261">
        <v>1</v>
      </c>
      <c r="EK261">
        <v>11001</v>
      </c>
      <c r="EL261" t="s">
        <v>511</v>
      </c>
      <c r="EM261" t="s">
        <v>593</v>
      </c>
      <c r="EO261" t="s">
        <v>6</v>
      </c>
      <c r="EQ261">
        <v>131072</v>
      </c>
      <c r="ER261">
        <v>4052.18</v>
      </c>
      <c r="ES261">
        <v>3676.88</v>
      </c>
      <c r="ET261">
        <v>56.23</v>
      </c>
      <c r="EU261">
        <v>3</v>
      </c>
      <c r="EV261">
        <v>319.07</v>
      </c>
      <c r="EW261">
        <v>32.86</v>
      </c>
      <c r="EX261">
        <v>0.23</v>
      </c>
      <c r="EY261">
        <v>0</v>
      </c>
      <c r="FQ261">
        <v>0</v>
      </c>
      <c r="FR261">
        <f t="shared" si="301"/>
        <v>0</v>
      </c>
      <c r="FS261">
        <v>0</v>
      </c>
      <c r="FT261" t="s">
        <v>29</v>
      </c>
      <c r="FU261" t="s">
        <v>30</v>
      </c>
      <c r="FX261">
        <v>100.8</v>
      </c>
      <c r="FY261">
        <v>55.25</v>
      </c>
      <c r="GA261" t="s">
        <v>6</v>
      </c>
      <c r="GD261">
        <v>1</v>
      </c>
      <c r="GF261">
        <v>2030922713</v>
      </c>
      <c r="GG261">
        <v>2</v>
      </c>
      <c r="GH261">
        <v>1</v>
      </c>
      <c r="GI261">
        <v>4</v>
      </c>
      <c r="GJ261">
        <v>0</v>
      </c>
      <c r="GK261">
        <v>0</v>
      </c>
      <c r="GL261">
        <f t="shared" si="302"/>
        <v>0</v>
      </c>
      <c r="GM261">
        <f t="shared" si="303"/>
        <v>7131.69</v>
      </c>
      <c r="GN261">
        <f t="shared" si="304"/>
        <v>7131.69</v>
      </c>
      <c r="GO261">
        <f t="shared" si="305"/>
        <v>0</v>
      </c>
      <c r="GP261">
        <f t="shared" si="306"/>
        <v>0</v>
      </c>
      <c r="GR261">
        <v>0</v>
      </c>
      <c r="GS261">
        <v>0</v>
      </c>
      <c r="GT261">
        <v>0</v>
      </c>
      <c r="GU261" t="s">
        <v>6</v>
      </c>
      <c r="GV261">
        <f t="shared" si="307"/>
        <v>0</v>
      </c>
      <c r="GW261">
        <v>1</v>
      </c>
      <c r="GX261">
        <f t="shared" si="308"/>
        <v>0</v>
      </c>
      <c r="HA261">
        <v>0</v>
      </c>
      <c r="HB261">
        <v>0</v>
      </c>
      <c r="HC261">
        <f t="shared" si="309"/>
        <v>0</v>
      </c>
      <c r="HE261" t="s">
        <v>6</v>
      </c>
      <c r="HF261" t="s">
        <v>6</v>
      </c>
      <c r="HI261">
        <f t="shared" si="310"/>
        <v>154</v>
      </c>
      <c r="HJ261">
        <f t="shared" si="311"/>
        <v>15044</v>
      </c>
      <c r="HK261">
        <f t="shared" si="312"/>
        <v>15320</v>
      </c>
      <c r="HL261">
        <f t="shared" si="313"/>
        <v>8397</v>
      </c>
      <c r="HM261" t="s">
        <v>6</v>
      </c>
      <c r="HN261" t="s">
        <v>6</v>
      </c>
      <c r="HO261" t="s">
        <v>6</v>
      </c>
      <c r="HP261" t="s">
        <v>6</v>
      </c>
      <c r="HQ261" t="s">
        <v>6</v>
      </c>
      <c r="IK261">
        <v>0</v>
      </c>
    </row>
    <row r="262" spans="1:245">
      <c r="A262">
        <v>17</v>
      </c>
      <c r="B262">
        <v>1</v>
      </c>
      <c r="C262">
        <f>ROW(SmtRes!A614)</f>
        <v>614</v>
      </c>
      <c r="D262">
        <f>ROW(EtalonRes!A643)</f>
        <v>643</v>
      </c>
      <c r="E262" t="s">
        <v>603</v>
      </c>
      <c r="F262" t="s">
        <v>589</v>
      </c>
      <c r="G262" t="s">
        <v>590</v>
      </c>
      <c r="H262" t="s">
        <v>591</v>
      </c>
      <c r="I262">
        <f>ROUND(33.4*4/100,7)</f>
        <v>1.3360000000000001</v>
      </c>
      <c r="J262">
        <v>0</v>
      </c>
      <c r="K262">
        <f>ROUND(33.4*4/100,7)</f>
        <v>1.3360000000000001</v>
      </c>
      <c r="O262">
        <f t="shared" si="278"/>
        <v>2395.2800000000002</v>
      </c>
      <c r="P262">
        <f t="shared" si="314"/>
        <v>1775.9</v>
      </c>
      <c r="Q262">
        <f t="shared" si="279"/>
        <v>83.95</v>
      </c>
      <c r="R262">
        <f t="shared" si="280"/>
        <v>31.78</v>
      </c>
      <c r="S262">
        <f t="shared" si="281"/>
        <v>535.42999999999995</v>
      </c>
      <c r="T262">
        <f t="shared" si="282"/>
        <v>0</v>
      </c>
      <c r="U262">
        <f t="shared" si="283"/>
        <v>69.808638599999995</v>
      </c>
      <c r="V262">
        <f t="shared" si="284"/>
        <v>2.4390350000000001</v>
      </c>
      <c r="W262">
        <f t="shared" si="285"/>
        <v>0</v>
      </c>
      <c r="X262">
        <f t="shared" si="286"/>
        <v>571.75</v>
      </c>
      <c r="Y262">
        <f t="shared" si="287"/>
        <v>313.38</v>
      </c>
      <c r="AA262">
        <v>31028412</v>
      </c>
      <c r="AB262">
        <f t="shared" si="288"/>
        <v>1792.873525</v>
      </c>
      <c r="AC262">
        <f t="shared" si="271"/>
        <v>1329.27</v>
      </c>
      <c r="AD262">
        <f t="shared" si="315"/>
        <v>62.833125000000003</v>
      </c>
      <c r="AE262">
        <f t="shared" si="316"/>
        <v>23.790624999999999</v>
      </c>
      <c r="AF262">
        <f t="shared" si="317"/>
        <v>400.7704</v>
      </c>
      <c r="AG262">
        <f t="shared" si="289"/>
        <v>0</v>
      </c>
      <c r="AH262">
        <f t="shared" si="318"/>
        <v>52.251974999999995</v>
      </c>
      <c r="AI262">
        <f t="shared" si="319"/>
        <v>1.8256250000000001</v>
      </c>
      <c r="AJ262">
        <f t="shared" si="290"/>
        <v>0</v>
      </c>
      <c r="AK262">
        <v>1676.02</v>
      </c>
      <c r="AL262">
        <v>1329.27</v>
      </c>
      <c r="AM262">
        <v>43.71</v>
      </c>
      <c r="AN262">
        <v>16.55</v>
      </c>
      <c r="AO262">
        <v>303.04000000000002</v>
      </c>
      <c r="AP262">
        <v>0</v>
      </c>
      <c r="AQ262">
        <v>39.51</v>
      </c>
      <c r="AR262">
        <v>1.27</v>
      </c>
      <c r="AS262">
        <v>0</v>
      </c>
      <c r="AT262">
        <v>100.8</v>
      </c>
      <c r="AU262">
        <v>55.25</v>
      </c>
      <c r="AV262">
        <v>1</v>
      </c>
      <c r="AW262">
        <v>1</v>
      </c>
      <c r="AZ262">
        <v>1</v>
      </c>
      <c r="BA262">
        <v>24.22</v>
      </c>
      <c r="BB262">
        <v>1</v>
      </c>
      <c r="BC262">
        <v>1</v>
      </c>
      <c r="BD262" t="s">
        <v>6</v>
      </c>
      <c r="BE262" t="s">
        <v>6</v>
      </c>
      <c r="BF262" t="s">
        <v>6</v>
      </c>
      <c r="BG262" t="s">
        <v>6</v>
      </c>
      <c r="BH262">
        <v>0</v>
      </c>
      <c r="BI262">
        <v>1</v>
      </c>
      <c r="BJ262" t="s">
        <v>592</v>
      </c>
      <c r="BM262">
        <v>11001</v>
      </c>
      <c r="BN262">
        <v>0</v>
      </c>
      <c r="BO262" t="s">
        <v>1327</v>
      </c>
      <c r="BP262">
        <v>1</v>
      </c>
      <c r="BQ262">
        <v>2</v>
      </c>
      <c r="BR262">
        <v>0</v>
      </c>
      <c r="BS262">
        <v>24.22</v>
      </c>
      <c r="BT262">
        <v>1</v>
      </c>
      <c r="BU262">
        <v>1</v>
      </c>
      <c r="BV262">
        <v>1</v>
      </c>
      <c r="BW262">
        <v>1</v>
      </c>
      <c r="BX262">
        <v>1</v>
      </c>
      <c r="BY262" t="s">
        <v>6</v>
      </c>
      <c r="BZ262">
        <v>112</v>
      </c>
      <c r="CA262">
        <v>65</v>
      </c>
      <c r="CB262" t="s">
        <v>6</v>
      </c>
      <c r="CE262">
        <v>0</v>
      </c>
      <c r="CF262">
        <v>0</v>
      </c>
      <c r="CG262">
        <v>0</v>
      </c>
      <c r="CM262">
        <v>0</v>
      </c>
      <c r="CN262" t="s">
        <v>6</v>
      </c>
      <c r="CO262">
        <v>0</v>
      </c>
      <c r="CP262">
        <f t="shared" si="291"/>
        <v>2395.2800000000002</v>
      </c>
      <c r="CQ262">
        <f t="shared" si="320"/>
        <v>1329.27</v>
      </c>
      <c r="CR262">
        <f t="shared" si="292"/>
        <v>62.833125000000003</v>
      </c>
      <c r="CS262">
        <f t="shared" si="293"/>
        <v>23.790624999999999</v>
      </c>
      <c r="CT262">
        <f t="shared" si="294"/>
        <v>400.7704</v>
      </c>
      <c r="CU262">
        <f t="shared" si="295"/>
        <v>0</v>
      </c>
      <c r="CV262">
        <f t="shared" si="296"/>
        <v>52.251974999999995</v>
      </c>
      <c r="CW262">
        <f t="shared" si="297"/>
        <v>1.8256250000000001</v>
      </c>
      <c r="CX262">
        <f t="shared" si="298"/>
        <v>0</v>
      </c>
      <c r="CY262">
        <f t="shared" si="299"/>
        <v>571.74767999999995</v>
      </c>
      <c r="CZ262">
        <f t="shared" si="300"/>
        <v>313.38352499999996</v>
      </c>
      <c r="DC262" t="s">
        <v>6</v>
      </c>
      <c r="DD262" t="s">
        <v>6</v>
      </c>
      <c r="DE262" t="s">
        <v>126</v>
      </c>
      <c r="DF262" t="s">
        <v>126</v>
      </c>
      <c r="DG262" t="s">
        <v>127</v>
      </c>
      <c r="DH262" t="s">
        <v>6</v>
      </c>
      <c r="DI262" t="s">
        <v>127</v>
      </c>
      <c r="DJ262" t="s">
        <v>126</v>
      </c>
      <c r="DK262" t="s">
        <v>6</v>
      </c>
      <c r="DL262" t="s">
        <v>6</v>
      </c>
      <c r="DM262" t="s">
        <v>6</v>
      </c>
      <c r="DN262">
        <v>0</v>
      </c>
      <c r="DO262">
        <v>0</v>
      </c>
      <c r="DP262">
        <v>1</v>
      </c>
      <c r="DQ262">
        <v>1</v>
      </c>
      <c r="DU262">
        <v>1013</v>
      </c>
      <c r="DV262" t="s">
        <v>591</v>
      </c>
      <c r="DW262" t="s">
        <v>591</v>
      </c>
      <c r="DX262">
        <v>1</v>
      </c>
      <c r="DZ262" t="s">
        <v>6</v>
      </c>
      <c r="EA262" t="s">
        <v>6</v>
      </c>
      <c r="EB262" t="s">
        <v>6</v>
      </c>
      <c r="EC262" t="s">
        <v>6</v>
      </c>
      <c r="EE262">
        <v>30852907</v>
      </c>
      <c r="EF262">
        <v>2</v>
      </c>
      <c r="EG262" t="s">
        <v>26</v>
      </c>
      <c r="EH262">
        <v>0</v>
      </c>
      <c r="EI262" t="s">
        <v>6</v>
      </c>
      <c r="EJ262">
        <v>1</v>
      </c>
      <c r="EK262">
        <v>11001</v>
      </c>
      <c r="EL262" t="s">
        <v>511</v>
      </c>
      <c r="EM262" t="s">
        <v>593</v>
      </c>
      <c r="EO262" t="s">
        <v>6</v>
      </c>
      <c r="EQ262">
        <v>131072</v>
      </c>
      <c r="ER262">
        <v>1676.02</v>
      </c>
      <c r="ES262">
        <v>1329.27</v>
      </c>
      <c r="ET262">
        <v>43.71</v>
      </c>
      <c r="EU262">
        <v>16.55</v>
      </c>
      <c r="EV262">
        <v>303.04000000000002</v>
      </c>
      <c r="EW262">
        <v>39.51</v>
      </c>
      <c r="EX262">
        <v>1.27</v>
      </c>
      <c r="EY262">
        <v>0</v>
      </c>
      <c r="FQ262">
        <v>0</v>
      </c>
      <c r="FR262">
        <f t="shared" si="301"/>
        <v>0</v>
      </c>
      <c r="FS262">
        <v>0</v>
      </c>
      <c r="FT262" t="s">
        <v>29</v>
      </c>
      <c r="FU262" t="s">
        <v>30</v>
      </c>
      <c r="FX262">
        <v>100.8</v>
      </c>
      <c r="FY262">
        <v>55.25</v>
      </c>
      <c r="GA262" t="s">
        <v>6</v>
      </c>
      <c r="GD262">
        <v>1</v>
      </c>
      <c r="GF262">
        <v>1023667274</v>
      </c>
      <c r="GG262">
        <v>2</v>
      </c>
      <c r="GH262">
        <v>1</v>
      </c>
      <c r="GI262">
        <v>4</v>
      </c>
      <c r="GJ262">
        <v>0</v>
      </c>
      <c r="GK262">
        <v>0</v>
      </c>
      <c r="GL262">
        <f t="shared" si="302"/>
        <v>0</v>
      </c>
      <c r="GM262">
        <f t="shared" si="303"/>
        <v>3280.41</v>
      </c>
      <c r="GN262">
        <f t="shared" si="304"/>
        <v>3280.41</v>
      </c>
      <c r="GO262">
        <f t="shared" si="305"/>
        <v>0</v>
      </c>
      <c r="GP262">
        <f t="shared" si="306"/>
        <v>0</v>
      </c>
      <c r="GR262">
        <v>0</v>
      </c>
      <c r="GS262">
        <v>0</v>
      </c>
      <c r="GT262">
        <v>0</v>
      </c>
      <c r="GU262" t="s">
        <v>6</v>
      </c>
      <c r="GV262">
        <f t="shared" si="307"/>
        <v>0</v>
      </c>
      <c r="GW262">
        <v>1</v>
      </c>
      <c r="GX262">
        <f t="shared" si="308"/>
        <v>0</v>
      </c>
      <c r="HA262">
        <v>0</v>
      </c>
      <c r="HB262">
        <v>0</v>
      </c>
      <c r="HC262">
        <f t="shared" si="309"/>
        <v>0</v>
      </c>
      <c r="HE262" t="s">
        <v>6</v>
      </c>
      <c r="HF262" t="s">
        <v>6</v>
      </c>
      <c r="HI262">
        <f t="shared" si="310"/>
        <v>770</v>
      </c>
      <c r="HJ262">
        <f t="shared" si="311"/>
        <v>12968</v>
      </c>
      <c r="HK262">
        <f t="shared" si="312"/>
        <v>13848</v>
      </c>
      <c r="HL262">
        <f t="shared" si="313"/>
        <v>7590</v>
      </c>
      <c r="HM262" t="s">
        <v>6</v>
      </c>
      <c r="HN262" t="s">
        <v>6</v>
      </c>
      <c r="HO262" t="s">
        <v>6</v>
      </c>
      <c r="HP262" t="s">
        <v>6</v>
      </c>
      <c r="HQ262" t="s">
        <v>6</v>
      </c>
      <c r="IK262">
        <v>0</v>
      </c>
    </row>
    <row r="263" spans="1:245">
      <c r="A263">
        <v>17</v>
      </c>
      <c r="B263">
        <v>1</v>
      </c>
      <c r="C263">
        <f>ROW(SmtRes!A619)</f>
        <v>619</v>
      </c>
      <c r="D263">
        <f>ROW(EtalonRes!A648)</f>
        <v>648</v>
      </c>
      <c r="E263" t="s">
        <v>604</v>
      </c>
      <c r="F263" t="s">
        <v>595</v>
      </c>
      <c r="G263" t="s">
        <v>596</v>
      </c>
      <c r="H263" t="s">
        <v>591</v>
      </c>
      <c r="I263">
        <f>ROUND(-33.4*4/100,7)</f>
        <v>-1.3360000000000001</v>
      </c>
      <c r="J263">
        <v>0</v>
      </c>
      <c r="K263">
        <f>ROUND(-33.4*4/100,7)</f>
        <v>-1.3360000000000001</v>
      </c>
      <c r="O263">
        <f t="shared" si="278"/>
        <v>-462.56</v>
      </c>
      <c r="P263">
        <f t="shared" si="314"/>
        <v>-441.11</v>
      </c>
      <c r="Q263">
        <f t="shared" si="279"/>
        <v>-14.67</v>
      </c>
      <c r="R263">
        <f t="shared" si="280"/>
        <v>-5.26</v>
      </c>
      <c r="S263">
        <f t="shared" si="281"/>
        <v>-6.78</v>
      </c>
      <c r="T263">
        <f t="shared" si="282"/>
        <v>0</v>
      </c>
      <c r="U263">
        <f t="shared" si="283"/>
        <v>-0.88343000000000005</v>
      </c>
      <c r="V263">
        <f t="shared" si="284"/>
        <v>-0.40330500000000002</v>
      </c>
      <c r="W263">
        <f t="shared" si="285"/>
        <v>0</v>
      </c>
      <c r="X263">
        <f t="shared" si="286"/>
        <v>-12.14</v>
      </c>
      <c r="Y263">
        <f t="shared" si="287"/>
        <v>-6.65</v>
      </c>
      <c r="AA263">
        <v>31028412</v>
      </c>
      <c r="AB263">
        <f t="shared" si="288"/>
        <v>346.23090000000002</v>
      </c>
      <c r="AC263">
        <f t="shared" si="271"/>
        <v>330.17</v>
      </c>
      <c r="AD263">
        <f t="shared" si="315"/>
        <v>10.9825</v>
      </c>
      <c r="AE263">
        <f t="shared" si="316"/>
        <v>3.9387500000000002</v>
      </c>
      <c r="AF263">
        <f t="shared" si="317"/>
        <v>5.0784000000000002</v>
      </c>
      <c r="AG263">
        <f t="shared" si="289"/>
        <v>0</v>
      </c>
      <c r="AH263">
        <f t="shared" si="318"/>
        <v>0.66125</v>
      </c>
      <c r="AI263">
        <f t="shared" si="319"/>
        <v>0.301875</v>
      </c>
      <c r="AJ263">
        <f t="shared" si="290"/>
        <v>0</v>
      </c>
      <c r="AK263">
        <v>341.65</v>
      </c>
      <c r="AL263">
        <v>330.17</v>
      </c>
      <c r="AM263">
        <v>7.64</v>
      </c>
      <c r="AN263">
        <v>2.74</v>
      </c>
      <c r="AO263">
        <v>3.84</v>
      </c>
      <c r="AP263">
        <v>0</v>
      </c>
      <c r="AQ263">
        <v>0.5</v>
      </c>
      <c r="AR263">
        <v>0.21</v>
      </c>
      <c r="AS263">
        <v>0</v>
      </c>
      <c r="AT263">
        <v>100.8</v>
      </c>
      <c r="AU263">
        <v>55.25</v>
      </c>
      <c r="AV263">
        <v>1</v>
      </c>
      <c r="AW263">
        <v>1</v>
      </c>
      <c r="AZ263">
        <v>1</v>
      </c>
      <c r="BA263">
        <v>24.22</v>
      </c>
      <c r="BB263">
        <v>1</v>
      </c>
      <c r="BC263">
        <v>1</v>
      </c>
      <c r="BD263" t="s">
        <v>6</v>
      </c>
      <c r="BE263" t="s">
        <v>6</v>
      </c>
      <c r="BF263" t="s">
        <v>6</v>
      </c>
      <c r="BG263" t="s">
        <v>6</v>
      </c>
      <c r="BH263">
        <v>0</v>
      </c>
      <c r="BI263">
        <v>1</v>
      </c>
      <c r="BJ263" t="s">
        <v>597</v>
      </c>
      <c r="BM263">
        <v>11001</v>
      </c>
      <c r="BN263">
        <v>0</v>
      </c>
      <c r="BO263" t="s">
        <v>1327</v>
      </c>
      <c r="BP263">
        <v>1</v>
      </c>
      <c r="BQ263">
        <v>2</v>
      </c>
      <c r="BR263">
        <v>0</v>
      </c>
      <c r="BS263">
        <v>24.22</v>
      </c>
      <c r="BT263">
        <v>1</v>
      </c>
      <c r="BU263">
        <v>1</v>
      </c>
      <c r="BV263">
        <v>1</v>
      </c>
      <c r="BW263">
        <v>1</v>
      </c>
      <c r="BX263">
        <v>1</v>
      </c>
      <c r="BY263" t="s">
        <v>6</v>
      </c>
      <c r="BZ263">
        <v>112</v>
      </c>
      <c r="CA263">
        <v>65</v>
      </c>
      <c r="CB263" t="s">
        <v>6</v>
      </c>
      <c r="CE263">
        <v>0</v>
      </c>
      <c r="CF263">
        <v>0</v>
      </c>
      <c r="CG263">
        <v>0</v>
      </c>
      <c r="CM263">
        <v>0</v>
      </c>
      <c r="CN263" t="s">
        <v>6</v>
      </c>
      <c r="CO263">
        <v>0</v>
      </c>
      <c r="CP263">
        <f t="shared" si="291"/>
        <v>-462.56</v>
      </c>
      <c r="CQ263">
        <f t="shared" si="320"/>
        <v>330.17</v>
      </c>
      <c r="CR263">
        <f t="shared" si="292"/>
        <v>10.9825</v>
      </c>
      <c r="CS263">
        <f t="shared" si="293"/>
        <v>3.9387500000000002</v>
      </c>
      <c r="CT263">
        <f t="shared" si="294"/>
        <v>5.0784000000000002</v>
      </c>
      <c r="CU263">
        <f t="shared" si="295"/>
        <v>0</v>
      </c>
      <c r="CV263">
        <f t="shared" si="296"/>
        <v>0.66125</v>
      </c>
      <c r="CW263">
        <f t="shared" si="297"/>
        <v>0.301875</v>
      </c>
      <c r="CX263">
        <f t="shared" si="298"/>
        <v>0</v>
      </c>
      <c r="CY263">
        <f t="shared" si="299"/>
        <v>-12.136319999999998</v>
      </c>
      <c r="CZ263">
        <f t="shared" si="300"/>
        <v>-6.652099999999999</v>
      </c>
      <c r="DC263" t="s">
        <v>6</v>
      </c>
      <c r="DD263" t="s">
        <v>6</v>
      </c>
      <c r="DE263" t="s">
        <v>126</v>
      </c>
      <c r="DF263" t="s">
        <v>126</v>
      </c>
      <c r="DG263" t="s">
        <v>127</v>
      </c>
      <c r="DH263" t="s">
        <v>6</v>
      </c>
      <c r="DI263" t="s">
        <v>127</v>
      </c>
      <c r="DJ263" t="s">
        <v>126</v>
      </c>
      <c r="DK263" t="s">
        <v>6</v>
      </c>
      <c r="DL263" t="s">
        <v>6</v>
      </c>
      <c r="DM263" t="s">
        <v>6</v>
      </c>
      <c r="DN263">
        <v>0</v>
      </c>
      <c r="DO263">
        <v>0</v>
      </c>
      <c r="DP263">
        <v>1</v>
      </c>
      <c r="DQ263">
        <v>1</v>
      </c>
      <c r="DU263">
        <v>1013</v>
      </c>
      <c r="DV263" t="s">
        <v>591</v>
      </c>
      <c r="DW263" t="s">
        <v>591</v>
      </c>
      <c r="DX263">
        <v>1</v>
      </c>
      <c r="DZ263" t="s">
        <v>6</v>
      </c>
      <c r="EA263" t="s">
        <v>6</v>
      </c>
      <c r="EB263" t="s">
        <v>6</v>
      </c>
      <c r="EC263" t="s">
        <v>6</v>
      </c>
      <c r="EE263">
        <v>30852907</v>
      </c>
      <c r="EF263">
        <v>2</v>
      </c>
      <c r="EG263" t="s">
        <v>26</v>
      </c>
      <c r="EH263">
        <v>0</v>
      </c>
      <c r="EI263" t="s">
        <v>6</v>
      </c>
      <c r="EJ263">
        <v>1</v>
      </c>
      <c r="EK263">
        <v>11001</v>
      </c>
      <c r="EL263" t="s">
        <v>511</v>
      </c>
      <c r="EM263" t="s">
        <v>593</v>
      </c>
      <c r="EO263" t="s">
        <v>6</v>
      </c>
      <c r="EQ263">
        <v>131072</v>
      </c>
      <c r="ER263">
        <v>341.65</v>
      </c>
      <c r="ES263">
        <v>330.17</v>
      </c>
      <c r="ET263">
        <v>7.64</v>
      </c>
      <c r="EU263">
        <v>2.74</v>
      </c>
      <c r="EV263">
        <v>3.84</v>
      </c>
      <c r="EW263">
        <v>0.5</v>
      </c>
      <c r="EX263">
        <v>0.21</v>
      </c>
      <c r="EY263">
        <v>0</v>
      </c>
      <c r="FQ263">
        <v>0</v>
      </c>
      <c r="FR263">
        <f t="shared" si="301"/>
        <v>0</v>
      </c>
      <c r="FS263">
        <v>0</v>
      </c>
      <c r="FT263" t="s">
        <v>29</v>
      </c>
      <c r="FU263" t="s">
        <v>30</v>
      </c>
      <c r="FX263">
        <v>100.8</v>
      </c>
      <c r="FY263">
        <v>55.25</v>
      </c>
      <c r="GA263" t="s">
        <v>6</v>
      </c>
      <c r="GD263">
        <v>1</v>
      </c>
      <c r="GF263">
        <v>-1327822328</v>
      </c>
      <c r="GG263">
        <v>2</v>
      </c>
      <c r="GH263">
        <v>1</v>
      </c>
      <c r="GI263">
        <v>4</v>
      </c>
      <c r="GJ263">
        <v>0</v>
      </c>
      <c r="GK263">
        <v>0</v>
      </c>
      <c r="GL263">
        <f t="shared" si="302"/>
        <v>0</v>
      </c>
      <c r="GM263">
        <f t="shared" si="303"/>
        <v>-481.35</v>
      </c>
      <c r="GN263">
        <f t="shared" si="304"/>
        <v>-481.35</v>
      </c>
      <c r="GO263">
        <f t="shared" si="305"/>
        <v>0</v>
      </c>
      <c r="GP263">
        <f t="shared" si="306"/>
        <v>0</v>
      </c>
      <c r="GR263">
        <v>0</v>
      </c>
      <c r="GS263">
        <v>0</v>
      </c>
      <c r="GT263">
        <v>0</v>
      </c>
      <c r="GU263" t="s">
        <v>6</v>
      </c>
      <c r="GV263">
        <f t="shared" si="307"/>
        <v>0</v>
      </c>
      <c r="GW263">
        <v>1</v>
      </c>
      <c r="GX263">
        <f t="shared" si="308"/>
        <v>0</v>
      </c>
      <c r="HA263">
        <v>0</v>
      </c>
      <c r="HB263">
        <v>0</v>
      </c>
      <c r="HC263">
        <f t="shared" si="309"/>
        <v>0</v>
      </c>
      <c r="HE263" t="s">
        <v>6</v>
      </c>
      <c r="HF263" t="s">
        <v>6</v>
      </c>
      <c r="HI263">
        <f t="shared" si="310"/>
        <v>-127</v>
      </c>
      <c r="HJ263">
        <f t="shared" si="311"/>
        <v>-164</v>
      </c>
      <c r="HK263">
        <f t="shared" si="312"/>
        <v>-293</v>
      </c>
      <c r="HL263">
        <f t="shared" si="313"/>
        <v>-161</v>
      </c>
      <c r="HM263" t="s">
        <v>6</v>
      </c>
      <c r="HN263" t="s">
        <v>6</v>
      </c>
      <c r="HO263" t="s">
        <v>6</v>
      </c>
      <c r="HP263" t="s">
        <v>6</v>
      </c>
      <c r="HQ263" t="s">
        <v>6</v>
      </c>
      <c r="IK263">
        <v>0</v>
      </c>
    </row>
    <row r="264" spans="1:245">
      <c r="A264">
        <v>17</v>
      </c>
      <c r="B264">
        <v>1</v>
      </c>
      <c r="C264">
        <f>ROW(SmtRes!A629)</f>
        <v>629</v>
      </c>
      <c r="D264">
        <f>ROW(EtalonRes!A659)</f>
        <v>659</v>
      </c>
      <c r="E264" t="s">
        <v>605</v>
      </c>
      <c r="F264" t="s">
        <v>606</v>
      </c>
      <c r="G264" t="s">
        <v>607</v>
      </c>
      <c r="H264" t="s">
        <v>188</v>
      </c>
      <c r="I264">
        <f>ROUND(33.4*4/100,7)</f>
        <v>1.3360000000000001</v>
      </c>
      <c r="J264">
        <v>0</v>
      </c>
      <c r="K264">
        <f>ROUND(33.4*4/100,7)</f>
        <v>1.3360000000000001</v>
      </c>
      <c r="O264">
        <f t="shared" si="278"/>
        <v>16728.97</v>
      </c>
      <c r="P264">
        <f t="shared" si="314"/>
        <v>14653.46</v>
      </c>
      <c r="Q264">
        <f t="shared" si="279"/>
        <v>289.32</v>
      </c>
      <c r="R264">
        <f t="shared" si="280"/>
        <v>93.36</v>
      </c>
      <c r="S264">
        <f t="shared" si="281"/>
        <v>1786.19</v>
      </c>
      <c r="T264">
        <f t="shared" si="282"/>
        <v>0</v>
      </c>
      <c r="U264">
        <f t="shared" si="283"/>
        <v>211.63449080000001</v>
      </c>
      <c r="V264">
        <f t="shared" si="284"/>
        <v>8.1045099999999994</v>
      </c>
      <c r="W264">
        <f t="shared" si="285"/>
        <v>0</v>
      </c>
      <c r="X264">
        <f t="shared" si="286"/>
        <v>1894.59</v>
      </c>
      <c r="Y264">
        <f t="shared" si="287"/>
        <v>1038.45</v>
      </c>
      <c r="AA264">
        <v>31028412</v>
      </c>
      <c r="AB264">
        <f t="shared" si="288"/>
        <v>12521.687524999999</v>
      </c>
      <c r="AC264">
        <f t="shared" si="271"/>
        <v>10968.16</v>
      </c>
      <c r="AD264">
        <f t="shared" si="315"/>
        <v>216.55937499999999</v>
      </c>
      <c r="AE264">
        <f t="shared" si="316"/>
        <v>69.876874999999998</v>
      </c>
      <c r="AF264">
        <f t="shared" si="317"/>
        <v>1336.9681499999999</v>
      </c>
      <c r="AG264">
        <f t="shared" si="289"/>
        <v>0</v>
      </c>
      <c r="AH264">
        <f t="shared" si="318"/>
        <v>158.40905000000001</v>
      </c>
      <c r="AI264">
        <f t="shared" si="319"/>
        <v>6.0662499999999993</v>
      </c>
      <c r="AJ264">
        <f t="shared" si="290"/>
        <v>0</v>
      </c>
      <c r="AK264">
        <v>12129.75</v>
      </c>
      <c r="AL264">
        <v>10968.16</v>
      </c>
      <c r="AM264">
        <v>150.65</v>
      </c>
      <c r="AN264">
        <v>48.61</v>
      </c>
      <c r="AO264">
        <v>1010.94</v>
      </c>
      <c r="AP264">
        <v>0</v>
      </c>
      <c r="AQ264">
        <v>119.78</v>
      </c>
      <c r="AR264">
        <v>4.22</v>
      </c>
      <c r="AS264">
        <v>0</v>
      </c>
      <c r="AT264">
        <v>100.8</v>
      </c>
      <c r="AU264">
        <v>55.25</v>
      </c>
      <c r="AV264">
        <v>1</v>
      </c>
      <c r="AW264">
        <v>1</v>
      </c>
      <c r="AZ264">
        <v>1</v>
      </c>
      <c r="BA264">
        <v>24.22</v>
      </c>
      <c r="BB264">
        <v>1</v>
      </c>
      <c r="BC264">
        <v>1</v>
      </c>
      <c r="BD264" t="s">
        <v>6</v>
      </c>
      <c r="BE264" t="s">
        <v>6</v>
      </c>
      <c r="BF264" t="s">
        <v>6</v>
      </c>
      <c r="BG264" t="s">
        <v>6</v>
      </c>
      <c r="BH264">
        <v>0</v>
      </c>
      <c r="BI264">
        <v>1</v>
      </c>
      <c r="BJ264" t="s">
        <v>608</v>
      </c>
      <c r="BM264">
        <v>11001</v>
      </c>
      <c r="BN264">
        <v>0</v>
      </c>
      <c r="BO264" t="s">
        <v>1327</v>
      </c>
      <c r="BP264">
        <v>1</v>
      </c>
      <c r="BQ264">
        <v>2</v>
      </c>
      <c r="BR264">
        <v>0</v>
      </c>
      <c r="BS264">
        <v>24.22</v>
      </c>
      <c r="BT264">
        <v>1</v>
      </c>
      <c r="BU264">
        <v>1</v>
      </c>
      <c r="BV264">
        <v>1</v>
      </c>
      <c r="BW264">
        <v>1</v>
      </c>
      <c r="BX264">
        <v>1</v>
      </c>
      <c r="BY264" t="s">
        <v>6</v>
      </c>
      <c r="BZ264">
        <v>112</v>
      </c>
      <c r="CA264">
        <v>65</v>
      </c>
      <c r="CB264" t="s">
        <v>6</v>
      </c>
      <c r="CE264">
        <v>0</v>
      </c>
      <c r="CF264">
        <v>0</v>
      </c>
      <c r="CG264">
        <v>0</v>
      </c>
      <c r="CM264">
        <v>0</v>
      </c>
      <c r="CN264" t="s">
        <v>6</v>
      </c>
      <c r="CO264">
        <v>0</v>
      </c>
      <c r="CP264">
        <f t="shared" si="291"/>
        <v>16728.969999999998</v>
      </c>
      <c r="CQ264">
        <f t="shared" si="320"/>
        <v>10968.16</v>
      </c>
      <c r="CR264">
        <f t="shared" si="292"/>
        <v>216.55937499999999</v>
      </c>
      <c r="CS264">
        <f t="shared" si="293"/>
        <v>69.876874999999998</v>
      </c>
      <c r="CT264">
        <f t="shared" si="294"/>
        <v>1336.9681499999999</v>
      </c>
      <c r="CU264">
        <f t="shared" si="295"/>
        <v>0</v>
      </c>
      <c r="CV264">
        <f t="shared" si="296"/>
        <v>158.40905000000001</v>
      </c>
      <c r="CW264">
        <f t="shared" si="297"/>
        <v>6.0662499999999993</v>
      </c>
      <c r="CX264">
        <f t="shared" si="298"/>
        <v>0</v>
      </c>
      <c r="CY264">
        <f t="shared" si="299"/>
        <v>1894.5863999999999</v>
      </c>
      <c r="CZ264">
        <f t="shared" si="300"/>
        <v>1038.4513749999999</v>
      </c>
      <c r="DC264" t="s">
        <v>6</v>
      </c>
      <c r="DD264" t="s">
        <v>6</v>
      </c>
      <c r="DE264" t="s">
        <v>126</v>
      </c>
      <c r="DF264" t="s">
        <v>126</v>
      </c>
      <c r="DG264" t="s">
        <v>127</v>
      </c>
      <c r="DH264" t="s">
        <v>6</v>
      </c>
      <c r="DI264" t="s">
        <v>127</v>
      </c>
      <c r="DJ264" t="s">
        <v>126</v>
      </c>
      <c r="DK264" t="s">
        <v>6</v>
      </c>
      <c r="DL264" t="s">
        <v>6</v>
      </c>
      <c r="DM264" t="s">
        <v>6</v>
      </c>
      <c r="DN264">
        <v>0</v>
      </c>
      <c r="DO264">
        <v>0</v>
      </c>
      <c r="DP264">
        <v>1</v>
      </c>
      <c r="DQ264">
        <v>1</v>
      </c>
      <c r="DU264">
        <v>1013</v>
      </c>
      <c r="DV264" t="s">
        <v>188</v>
      </c>
      <c r="DW264" t="s">
        <v>188</v>
      </c>
      <c r="DX264">
        <v>1</v>
      </c>
      <c r="DZ264" t="s">
        <v>6</v>
      </c>
      <c r="EA264" t="s">
        <v>6</v>
      </c>
      <c r="EB264" t="s">
        <v>6</v>
      </c>
      <c r="EC264" t="s">
        <v>6</v>
      </c>
      <c r="EE264">
        <v>30852907</v>
      </c>
      <c r="EF264">
        <v>2</v>
      </c>
      <c r="EG264" t="s">
        <v>26</v>
      </c>
      <c r="EH264">
        <v>0</v>
      </c>
      <c r="EI264" t="s">
        <v>6</v>
      </c>
      <c r="EJ264">
        <v>1</v>
      </c>
      <c r="EK264">
        <v>11001</v>
      </c>
      <c r="EL264" t="s">
        <v>511</v>
      </c>
      <c r="EM264" t="s">
        <v>593</v>
      </c>
      <c r="EO264" t="s">
        <v>6</v>
      </c>
      <c r="EQ264">
        <v>131072</v>
      </c>
      <c r="ER264">
        <v>12129.75</v>
      </c>
      <c r="ES264">
        <v>10968.16</v>
      </c>
      <c r="ET264">
        <v>150.65</v>
      </c>
      <c r="EU264">
        <v>48.61</v>
      </c>
      <c r="EV264">
        <v>1010.94</v>
      </c>
      <c r="EW264">
        <v>119.78</v>
      </c>
      <c r="EX264">
        <v>4.22</v>
      </c>
      <c r="EY264">
        <v>0</v>
      </c>
      <c r="FQ264">
        <v>0</v>
      </c>
      <c r="FR264">
        <f t="shared" si="301"/>
        <v>0</v>
      </c>
      <c r="FS264">
        <v>0</v>
      </c>
      <c r="FT264" t="s">
        <v>29</v>
      </c>
      <c r="FU264" t="s">
        <v>30</v>
      </c>
      <c r="FX264">
        <v>100.8</v>
      </c>
      <c r="FY264">
        <v>55.25</v>
      </c>
      <c r="GA264" t="s">
        <v>6</v>
      </c>
      <c r="GD264">
        <v>1</v>
      </c>
      <c r="GF264">
        <v>270540077</v>
      </c>
      <c r="GG264">
        <v>2</v>
      </c>
      <c r="GH264">
        <v>1</v>
      </c>
      <c r="GI264">
        <v>4</v>
      </c>
      <c r="GJ264">
        <v>0</v>
      </c>
      <c r="GK264">
        <v>0</v>
      </c>
      <c r="GL264">
        <f t="shared" si="302"/>
        <v>0</v>
      </c>
      <c r="GM264">
        <f t="shared" si="303"/>
        <v>19662.009999999998</v>
      </c>
      <c r="GN264">
        <f t="shared" si="304"/>
        <v>19662.009999999998</v>
      </c>
      <c r="GO264">
        <f t="shared" si="305"/>
        <v>0</v>
      </c>
      <c r="GP264">
        <f t="shared" si="306"/>
        <v>0</v>
      </c>
      <c r="GR264">
        <v>0</v>
      </c>
      <c r="GS264">
        <v>0</v>
      </c>
      <c r="GT264">
        <v>0</v>
      </c>
      <c r="GU264" t="s">
        <v>6</v>
      </c>
      <c r="GV264">
        <f t="shared" si="307"/>
        <v>0</v>
      </c>
      <c r="GW264">
        <v>1</v>
      </c>
      <c r="GX264">
        <f t="shared" si="308"/>
        <v>0</v>
      </c>
      <c r="HA264">
        <v>0</v>
      </c>
      <c r="HB264">
        <v>0</v>
      </c>
      <c r="HC264">
        <f t="shared" si="309"/>
        <v>0</v>
      </c>
      <c r="HE264" t="s">
        <v>6</v>
      </c>
      <c r="HF264" t="s">
        <v>6</v>
      </c>
      <c r="HI264">
        <f t="shared" si="310"/>
        <v>2261</v>
      </c>
      <c r="HJ264">
        <f t="shared" si="311"/>
        <v>43262</v>
      </c>
      <c r="HK264">
        <f t="shared" si="312"/>
        <v>45887</v>
      </c>
      <c r="HL264">
        <f t="shared" si="313"/>
        <v>25151</v>
      </c>
      <c r="HM264" t="s">
        <v>6</v>
      </c>
      <c r="HN264" t="s">
        <v>6</v>
      </c>
      <c r="HO264" t="s">
        <v>6</v>
      </c>
      <c r="HP264" t="s">
        <v>6</v>
      </c>
      <c r="HQ264" t="s">
        <v>6</v>
      </c>
      <c r="IK264">
        <v>0</v>
      </c>
    </row>
    <row r="265" spans="1:245">
      <c r="A265">
        <v>17</v>
      </c>
      <c r="B265">
        <v>1</v>
      </c>
      <c r="E265" t="s">
        <v>609</v>
      </c>
      <c r="F265" t="s">
        <v>610</v>
      </c>
      <c r="G265" t="s">
        <v>611</v>
      </c>
      <c r="H265" t="s">
        <v>284</v>
      </c>
      <c r="I265">
        <f>ROUND(I264*-102,7)</f>
        <v>-136.27199999999999</v>
      </c>
      <c r="J265">
        <v>0</v>
      </c>
      <c r="K265">
        <f>ROUND(I264*-102,7)</f>
        <v>-136.27199999999999</v>
      </c>
      <c r="O265">
        <f t="shared" si="278"/>
        <v>-13290.61</v>
      </c>
      <c r="P265">
        <f t="shared" si="314"/>
        <v>-13290.61</v>
      </c>
      <c r="Q265">
        <f t="shared" si="279"/>
        <v>0</v>
      </c>
      <c r="R265">
        <f t="shared" si="280"/>
        <v>0</v>
      </c>
      <c r="S265">
        <f t="shared" si="281"/>
        <v>0</v>
      </c>
      <c r="T265">
        <f t="shared" si="282"/>
        <v>0</v>
      </c>
      <c r="U265">
        <f t="shared" si="283"/>
        <v>0</v>
      </c>
      <c r="V265">
        <f t="shared" si="284"/>
        <v>0</v>
      </c>
      <c r="W265">
        <f t="shared" si="285"/>
        <v>0</v>
      </c>
      <c r="X265">
        <f t="shared" si="286"/>
        <v>0</v>
      </c>
      <c r="Y265">
        <f t="shared" si="287"/>
        <v>0</v>
      </c>
      <c r="AA265">
        <v>31028412</v>
      </c>
      <c r="AB265">
        <f t="shared" si="288"/>
        <v>97.53</v>
      </c>
      <c r="AC265">
        <f t="shared" si="271"/>
        <v>97.53</v>
      </c>
      <c r="AD265">
        <f>ROUND((((ET265)-(EU265))+AE265),6)</f>
        <v>0</v>
      </c>
      <c r="AE265">
        <f>ROUND((EU265),6)</f>
        <v>0</v>
      </c>
      <c r="AF265">
        <f>ROUND((EV265),6)</f>
        <v>0</v>
      </c>
      <c r="AG265">
        <f t="shared" si="289"/>
        <v>0</v>
      </c>
      <c r="AH265">
        <f>(EW265)</f>
        <v>0</v>
      </c>
      <c r="AI265">
        <f>(EX265)</f>
        <v>0</v>
      </c>
      <c r="AJ265">
        <f t="shared" si="290"/>
        <v>0</v>
      </c>
      <c r="AK265">
        <v>97.53</v>
      </c>
      <c r="AL265">
        <v>97.53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1</v>
      </c>
      <c r="AW265">
        <v>1</v>
      </c>
      <c r="AZ265">
        <v>1</v>
      </c>
      <c r="BA265">
        <v>1</v>
      </c>
      <c r="BB265">
        <v>1</v>
      </c>
      <c r="BC265">
        <v>1</v>
      </c>
      <c r="BD265" t="s">
        <v>6</v>
      </c>
      <c r="BE265" t="s">
        <v>6</v>
      </c>
      <c r="BF265" t="s">
        <v>6</v>
      </c>
      <c r="BG265" t="s">
        <v>6</v>
      </c>
      <c r="BH265">
        <v>3</v>
      </c>
      <c r="BI265">
        <v>1</v>
      </c>
      <c r="BJ265" t="s">
        <v>612</v>
      </c>
      <c r="BM265">
        <v>500001</v>
      </c>
      <c r="BN265">
        <v>0</v>
      </c>
      <c r="BO265" t="s">
        <v>111</v>
      </c>
      <c r="BP265">
        <v>1</v>
      </c>
      <c r="BQ265">
        <v>8</v>
      </c>
      <c r="BR265">
        <v>1</v>
      </c>
      <c r="BS265">
        <v>1</v>
      </c>
      <c r="BT265">
        <v>1</v>
      </c>
      <c r="BU265">
        <v>1</v>
      </c>
      <c r="BV265">
        <v>1</v>
      </c>
      <c r="BW265">
        <v>1</v>
      </c>
      <c r="BX265">
        <v>1</v>
      </c>
      <c r="BY265" t="s">
        <v>6</v>
      </c>
      <c r="BZ265">
        <v>0</v>
      </c>
      <c r="CA265">
        <v>0</v>
      </c>
      <c r="CB265" t="s">
        <v>6</v>
      </c>
      <c r="CE265">
        <v>0</v>
      </c>
      <c r="CF265">
        <v>0</v>
      </c>
      <c r="CG265">
        <v>0</v>
      </c>
      <c r="CM265">
        <v>0</v>
      </c>
      <c r="CN265" t="s">
        <v>6</v>
      </c>
      <c r="CO265">
        <v>0</v>
      </c>
      <c r="CP265">
        <f t="shared" si="291"/>
        <v>-13290.61</v>
      </c>
      <c r="CQ265">
        <f t="shared" si="320"/>
        <v>97.53</v>
      </c>
      <c r="CR265">
        <f t="shared" si="292"/>
        <v>0</v>
      </c>
      <c r="CS265">
        <f t="shared" si="293"/>
        <v>0</v>
      </c>
      <c r="CT265">
        <f t="shared" si="294"/>
        <v>0</v>
      </c>
      <c r="CU265">
        <f t="shared" si="295"/>
        <v>0</v>
      </c>
      <c r="CV265">
        <f t="shared" si="296"/>
        <v>0</v>
      </c>
      <c r="CW265">
        <f t="shared" si="297"/>
        <v>0</v>
      </c>
      <c r="CX265">
        <f t="shared" si="298"/>
        <v>0</v>
      </c>
      <c r="CY265">
        <f t="shared" si="299"/>
        <v>0</v>
      </c>
      <c r="CZ265">
        <f t="shared" si="300"/>
        <v>0</v>
      </c>
      <c r="DC265" t="s">
        <v>6</v>
      </c>
      <c r="DD265" t="s">
        <v>6</v>
      </c>
      <c r="DE265" t="s">
        <v>6</v>
      </c>
      <c r="DF265" t="s">
        <v>6</v>
      </c>
      <c r="DG265" t="s">
        <v>6</v>
      </c>
      <c r="DH265" t="s">
        <v>6</v>
      </c>
      <c r="DI265" t="s">
        <v>6</v>
      </c>
      <c r="DJ265" t="s">
        <v>6</v>
      </c>
      <c r="DK265" t="s">
        <v>6</v>
      </c>
      <c r="DL265" t="s">
        <v>6</v>
      </c>
      <c r="DM265" t="s">
        <v>6</v>
      </c>
      <c r="DN265">
        <v>0</v>
      </c>
      <c r="DO265">
        <v>0</v>
      </c>
      <c r="DP265">
        <v>1</v>
      </c>
      <c r="DQ265">
        <v>1</v>
      </c>
      <c r="DU265">
        <v>1005</v>
      </c>
      <c r="DV265" t="s">
        <v>284</v>
      </c>
      <c r="DW265" t="s">
        <v>284</v>
      </c>
      <c r="DX265">
        <v>1</v>
      </c>
      <c r="DZ265" t="s">
        <v>6</v>
      </c>
      <c r="EA265" t="s">
        <v>6</v>
      </c>
      <c r="EB265" t="s">
        <v>6</v>
      </c>
      <c r="EC265" t="s">
        <v>6</v>
      </c>
      <c r="EE265">
        <v>30852824</v>
      </c>
      <c r="EF265">
        <v>8</v>
      </c>
      <c r="EG265" t="s">
        <v>112</v>
      </c>
      <c r="EH265">
        <v>0</v>
      </c>
      <c r="EI265" t="s">
        <v>6</v>
      </c>
      <c r="EJ265">
        <v>1</v>
      </c>
      <c r="EK265">
        <v>500001</v>
      </c>
      <c r="EL265" t="s">
        <v>113</v>
      </c>
      <c r="EM265" t="s">
        <v>114</v>
      </c>
      <c r="EO265" t="s">
        <v>6</v>
      </c>
      <c r="EQ265">
        <v>32768</v>
      </c>
      <c r="ER265">
        <v>97.53</v>
      </c>
      <c r="ES265">
        <v>97.53</v>
      </c>
      <c r="ET265">
        <v>0</v>
      </c>
      <c r="EU265">
        <v>0</v>
      </c>
      <c r="EV265">
        <v>0</v>
      </c>
      <c r="EW265">
        <v>0</v>
      </c>
      <c r="EX265">
        <v>0</v>
      </c>
      <c r="EY265">
        <v>0</v>
      </c>
      <c r="FQ265">
        <v>0</v>
      </c>
      <c r="FR265">
        <f t="shared" si="301"/>
        <v>0</v>
      </c>
      <c r="FS265">
        <v>0</v>
      </c>
      <c r="FX265">
        <v>0</v>
      </c>
      <c r="FY265">
        <v>0</v>
      </c>
      <c r="GA265" t="s">
        <v>6</v>
      </c>
      <c r="GD265">
        <v>1</v>
      </c>
      <c r="GF265">
        <v>-637662757</v>
      </c>
      <c r="GG265">
        <v>2</v>
      </c>
      <c r="GH265">
        <v>1</v>
      </c>
      <c r="GI265">
        <v>4</v>
      </c>
      <c r="GJ265">
        <v>0</v>
      </c>
      <c r="GK265">
        <v>0</v>
      </c>
      <c r="GL265">
        <f t="shared" si="302"/>
        <v>0</v>
      </c>
      <c r="GM265">
        <f t="shared" si="303"/>
        <v>-13290.61</v>
      </c>
      <c r="GN265">
        <f t="shared" si="304"/>
        <v>-13290.61</v>
      </c>
      <c r="GO265">
        <f t="shared" si="305"/>
        <v>0</v>
      </c>
      <c r="GP265">
        <f t="shared" si="306"/>
        <v>0</v>
      </c>
      <c r="GR265">
        <v>0</v>
      </c>
      <c r="GS265">
        <v>0</v>
      </c>
      <c r="GT265">
        <v>0</v>
      </c>
      <c r="GU265" t="s">
        <v>6</v>
      </c>
      <c r="GV265">
        <f t="shared" si="307"/>
        <v>0</v>
      </c>
      <c r="GW265">
        <v>1</v>
      </c>
      <c r="GX265">
        <f t="shared" si="308"/>
        <v>0</v>
      </c>
      <c r="HA265">
        <v>0</v>
      </c>
      <c r="HB265">
        <v>0</v>
      </c>
      <c r="HC265">
        <f t="shared" si="309"/>
        <v>0</v>
      </c>
      <c r="HE265" t="s">
        <v>6</v>
      </c>
      <c r="HF265" t="s">
        <v>6</v>
      </c>
      <c r="HI265">
        <f t="shared" si="310"/>
        <v>0</v>
      </c>
      <c r="HJ265">
        <f t="shared" si="311"/>
        <v>0</v>
      </c>
      <c r="HK265">
        <f t="shared" si="312"/>
        <v>0</v>
      </c>
      <c r="HL265">
        <f t="shared" si="313"/>
        <v>0</v>
      </c>
      <c r="HM265" t="s">
        <v>6</v>
      </c>
      <c r="HN265" t="s">
        <v>6</v>
      </c>
      <c r="HO265" t="s">
        <v>6</v>
      </c>
      <c r="HP265" t="s">
        <v>6</v>
      </c>
      <c r="HQ265" t="s">
        <v>6</v>
      </c>
      <c r="IK265">
        <v>0</v>
      </c>
    </row>
    <row r="266" spans="1:245">
      <c r="A266">
        <v>17</v>
      </c>
      <c r="B266">
        <v>1</v>
      </c>
      <c r="E266" t="s">
        <v>613</v>
      </c>
      <c r="F266" t="s">
        <v>614</v>
      </c>
      <c r="G266" t="s">
        <v>615</v>
      </c>
      <c r="H266" t="s">
        <v>284</v>
      </c>
      <c r="I266">
        <v>136.27199999999999</v>
      </c>
      <c r="J266">
        <v>0</v>
      </c>
      <c r="K266">
        <v>136.27199999999999</v>
      </c>
      <c r="O266">
        <f t="shared" si="278"/>
        <v>10480.68</v>
      </c>
      <c r="P266">
        <f t="shared" si="314"/>
        <v>10480.68</v>
      </c>
      <c r="Q266">
        <f t="shared" si="279"/>
        <v>0</v>
      </c>
      <c r="R266">
        <f t="shared" si="280"/>
        <v>0</v>
      </c>
      <c r="S266">
        <f t="shared" si="281"/>
        <v>0</v>
      </c>
      <c r="T266">
        <f t="shared" si="282"/>
        <v>0</v>
      </c>
      <c r="U266">
        <f t="shared" si="283"/>
        <v>0</v>
      </c>
      <c r="V266">
        <f t="shared" si="284"/>
        <v>0</v>
      </c>
      <c r="W266">
        <f t="shared" si="285"/>
        <v>0</v>
      </c>
      <c r="X266">
        <f t="shared" si="286"/>
        <v>0</v>
      </c>
      <c r="Y266">
        <f t="shared" si="287"/>
        <v>0</v>
      </c>
      <c r="AA266">
        <v>31028412</v>
      </c>
      <c r="AB266">
        <f t="shared" si="288"/>
        <v>76.91</v>
      </c>
      <c r="AC266">
        <f t="shared" si="271"/>
        <v>76.91</v>
      </c>
      <c r="AD266">
        <f>ROUND((((ET266)-(EU266))+AE266),6)</f>
        <v>0</v>
      </c>
      <c r="AE266">
        <f>ROUND((EU266),6)</f>
        <v>0</v>
      </c>
      <c r="AF266">
        <f>ROUND((EV266),6)</f>
        <v>0</v>
      </c>
      <c r="AG266">
        <f t="shared" si="289"/>
        <v>0</v>
      </c>
      <c r="AH266">
        <f>(EW266)</f>
        <v>0</v>
      </c>
      <c r="AI266">
        <f>(EX266)</f>
        <v>0</v>
      </c>
      <c r="AJ266">
        <f t="shared" si="290"/>
        <v>0</v>
      </c>
      <c r="AK266">
        <v>76.91</v>
      </c>
      <c r="AL266">
        <v>76.91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1</v>
      </c>
      <c r="AW266">
        <v>1</v>
      </c>
      <c r="AZ266">
        <v>1</v>
      </c>
      <c r="BA266">
        <v>1</v>
      </c>
      <c r="BB266">
        <v>1</v>
      </c>
      <c r="BC266">
        <v>1</v>
      </c>
      <c r="BD266" t="s">
        <v>6</v>
      </c>
      <c r="BE266" t="s">
        <v>6</v>
      </c>
      <c r="BF266" t="s">
        <v>6</v>
      </c>
      <c r="BG266" t="s">
        <v>6</v>
      </c>
      <c r="BH266">
        <v>3</v>
      </c>
      <c r="BI266">
        <v>1</v>
      </c>
      <c r="BJ266" t="s">
        <v>616</v>
      </c>
      <c r="BM266">
        <v>500001</v>
      </c>
      <c r="BN266">
        <v>0</v>
      </c>
      <c r="BO266" t="s">
        <v>111</v>
      </c>
      <c r="BP266">
        <v>1</v>
      </c>
      <c r="BQ266">
        <v>8</v>
      </c>
      <c r="BR266">
        <v>0</v>
      </c>
      <c r="BS266">
        <v>1</v>
      </c>
      <c r="BT266">
        <v>1</v>
      </c>
      <c r="BU266">
        <v>1</v>
      </c>
      <c r="BV266">
        <v>1</v>
      </c>
      <c r="BW266">
        <v>1</v>
      </c>
      <c r="BX266">
        <v>1</v>
      </c>
      <c r="BY266" t="s">
        <v>6</v>
      </c>
      <c r="BZ266">
        <v>0</v>
      </c>
      <c r="CA266">
        <v>0</v>
      </c>
      <c r="CB266" t="s">
        <v>6</v>
      </c>
      <c r="CE266">
        <v>0</v>
      </c>
      <c r="CF266">
        <v>0</v>
      </c>
      <c r="CG266">
        <v>0</v>
      </c>
      <c r="CM266">
        <v>0</v>
      </c>
      <c r="CN266" t="s">
        <v>6</v>
      </c>
      <c r="CO266">
        <v>0</v>
      </c>
      <c r="CP266">
        <f t="shared" si="291"/>
        <v>10480.68</v>
      </c>
      <c r="CQ266">
        <f t="shared" si="320"/>
        <v>76.91</v>
      </c>
      <c r="CR266">
        <f t="shared" si="292"/>
        <v>0</v>
      </c>
      <c r="CS266">
        <f t="shared" si="293"/>
        <v>0</v>
      </c>
      <c r="CT266">
        <f t="shared" si="294"/>
        <v>0</v>
      </c>
      <c r="CU266">
        <f t="shared" si="295"/>
        <v>0</v>
      </c>
      <c r="CV266">
        <f t="shared" si="296"/>
        <v>0</v>
      </c>
      <c r="CW266">
        <f t="shared" si="297"/>
        <v>0</v>
      </c>
      <c r="CX266">
        <f t="shared" si="298"/>
        <v>0</v>
      </c>
      <c r="CY266">
        <f t="shared" si="299"/>
        <v>0</v>
      </c>
      <c r="CZ266">
        <f t="shared" si="300"/>
        <v>0</v>
      </c>
      <c r="DC266" t="s">
        <v>6</v>
      </c>
      <c r="DD266" t="s">
        <v>6</v>
      </c>
      <c r="DE266" t="s">
        <v>6</v>
      </c>
      <c r="DF266" t="s">
        <v>6</v>
      </c>
      <c r="DG266" t="s">
        <v>6</v>
      </c>
      <c r="DH266" t="s">
        <v>6</v>
      </c>
      <c r="DI266" t="s">
        <v>6</v>
      </c>
      <c r="DJ266" t="s">
        <v>6</v>
      </c>
      <c r="DK266" t="s">
        <v>6</v>
      </c>
      <c r="DL266" t="s">
        <v>6</v>
      </c>
      <c r="DM266" t="s">
        <v>6</v>
      </c>
      <c r="DN266">
        <v>0</v>
      </c>
      <c r="DO266">
        <v>0</v>
      </c>
      <c r="DP266">
        <v>1</v>
      </c>
      <c r="DQ266">
        <v>1</v>
      </c>
      <c r="DU266">
        <v>1005</v>
      </c>
      <c r="DV266" t="s">
        <v>284</v>
      </c>
      <c r="DW266" t="s">
        <v>284</v>
      </c>
      <c r="DX266">
        <v>1</v>
      </c>
      <c r="DZ266" t="s">
        <v>6</v>
      </c>
      <c r="EA266" t="s">
        <v>6</v>
      </c>
      <c r="EB266" t="s">
        <v>6</v>
      </c>
      <c r="EC266" t="s">
        <v>6</v>
      </c>
      <c r="EE266">
        <v>30852824</v>
      </c>
      <c r="EF266">
        <v>8</v>
      </c>
      <c r="EG266" t="s">
        <v>112</v>
      </c>
      <c r="EH266">
        <v>0</v>
      </c>
      <c r="EI266" t="s">
        <v>6</v>
      </c>
      <c r="EJ266">
        <v>1</v>
      </c>
      <c r="EK266">
        <v>500001</v>
      </c>
      <c r="EL266" t="s">
        <v>113</v>
      </c>
      <c r="EM266" t="s">
        <v>114</v>
      </c>
      <c r="EO266" t="s">
        <v>6</v>
      </c>
      <c r="EQ266">
        <v>0</v>
      </c>
      <c r="ER266">
        <v>76.91</v>
      </c>
      <c r="ES266">
        <v>76.91</v>
      </c>
      <c r="ET266">
        <v>0</v>
      </c>
      <c r="EU266">
        <v>0</v>
      </c>
      <c r="EV266">
        <v>0</v>
      </c>
      <c r="EW266">
        <v>0</v>
      </c>
      <c r="EX266">
        <v>0</v>
      </c>
      <c r="EY266">
        <v>0</v>
      </c>
      <c r="FQ266">
        <v>0</v>
      </c>
      <c r="FR266">
        <f t="shared" si="301"/>
        <v>0</v>
      </c>
      <c r="FS266">
        <v>0</v>
      </c>
      <c r="FX266">
        <v>0</v>
      </c>
      <c r="FY266">
        <v>0</v>
      </c>
      <c r="GA266" t="s">
        <v>6</v>
      </c>
      <c r="GD266">
        <v>1</v>
      </c>
      <c r="GF266">
        <v>1142722384</v>
      </c>
      <c r="GG266">
        <v>2</v>
      </c>
      <c r="GH266">
        <v>1</v>
      </c>
      <c r="GI266">
        <v>4</v>
      </c>
      <c r="GJ266">
        <v>0</v>
      </c>
      <c r="GK266">
        <v>0</v>
      </c>
      <c r="GL266">
        <f t="shared" si="302"/>
        <v>0</v>
      </c>
      <c r="GM266">
        <f t="shared" si="303"/>
        <v>10480.68</v>
      </c>
      <c r="GN266">
        <f t="shared" si="304"/>
        <v>10480.68</v>
      </c>
      <c r="GO266">
        <f t="shared" si="305"/>
        <v>0</v>
      </c>
      <c r="GP266">
        <f t="shared" si="306"/>
        <v>0</v>
      </c>
      <c r="GR266">
        <v>0</v>
      </c>
      <c r="GS266">
        <v>3</v>
      </c>
      <c r="GT266">
        <v>0</v>
      </c>
      <c r="GU266" t="s">
        <v>6</v>
      </c>
      <c r="GV266">
        <f t="shared" si="307"/>
        <v>0</v>
      </c>
      <c r="GW266">
        <v>1</v>
      </c>
      <c r="GX266">
        <f t="shared" si="308"/>
        <v>0</v>
      </c>
      <c r="HA266">
        <v>0</v>
      </c>
      <c r="HB266">
        <v>0</v>
      </c>
      <c r="HC266">
        <f t="shared" si="309"/>
        <v>0</v>
      </c>
      <c r="HE266" t="s">
        <v>6</v>
      </c>
      <c r="HF266" t="s">
        <v>6</v>
      </c>
      <c r="HI266">
        <f t="shared" si="310"/>
        <v>0</v>
      </c>
      <c r="HJ266">
        <f t="shared" si="311"/>
        <v>0</v>
      </c>
      <c r="HK266">
        <f t="shared" si="312"/>
        <v>0</v>
      </c>
      <c r="HL266">
        <f t="shared" si="313"/>
        <v>0</v>
      </c>
      <c r="HM266" t="s">
        <v>6</v>
      </c>
      <c r="HN266" t="s">
        <v>6</v>
      </c>
      <c r="HO266" t="s">
        <v>6</v>
      </c>
      <c r="HP266" t="s">
        <v>6</v>
      </c>
      <c r="HQ266" t="s">
        <v>6</v>
      </c>
      <c r="IK266">
        <v>0</v>
      </c>
    </row>
    <row r="267" spans="1:245">
      <c r="A267">
        <v>17</v>
      </c>
      <c r="B267">
        <v>1</v>
      </c>
      <c r="C267">
        <f>ROW(SmtRes!A643)</f>
        <v>643</v>
      </c>
      <c r="D267">
        <f>ROW(EtalonRes!A673)</f>
        <v>673</v>
      </c>
      <c r="E267" t="s">
        <v>617</v>
      </c>
      <c r="F267" t="s">
        <v>618</v>
      </c>
      <c r="G267" t="s">
        <v>619</v>
      </c>
      <c r="H267" t="s">
        <v>620</v>
      </c>
      <c r="I267">
        <f>ROUND(10*4/100,7)</f>
        <v>0.4</v>
      </c>
      <c r="J267">
        <v>0</v>
      </c>
      <c r="K267">
        <f>ROUND(10*4/100,7)</f>
        <v>0.4</v>
      </c>
      <c r="O267">
        <f t="shared" si="278"/>
        <v>941.36</v>
      </c>
      <c r="P267">
        <f t="shared" si="314"/>
        <v>837.55</v>
      </c>
      <c r="Q267">
        <f t="shared" si="279"/>
        <v>28.55</v>
      </c>
      <c r="R267">
        <f t="shared" si="280"/>
        <v>0.82</v>
      </c>
      <c r="S267">
        <f t="shared" si="281"/>
        <v>75.260000000000005</v>
      </c>
      <c r="T267">
        <f t="shared" si="282"/>
        <v>0</v>
      </c>
      <c r="U267">
        <f t="shared" si="283"/>
        <v>8.5909600000000008</v>
      </c>
      <c r="V267">
        <f t="shared" si="284"/>
        <v>6.3250000000000001E-2</v>
      </c>
      <c r="W267">
        <f t="shared" si="285"/>
        <v>0</v>
      </c>
      <c r="X267">
        <f t="shared" si="286"/>
        <v>82.85</v>
      </c>
      <c r="Y267">
        <f t="shared" si="287"/>
        <v>46.56</v>
      </c>
      <c r="AA267">
        <v>31028412</v>
      </c>
      <c r="AB267">
        <f t="shared" si="288"/>
        <v>2353.3951000000002</v>
      </c>
      <c r="AC267">
        <f t="shared" si="271"/>
        <v>2093.87</v>
      </c>
      <c r="AD267">
        <f>ROUND(((((ET267*ROUND((1.25*1.15),7)))-((EU267*ROUND((1.25*1.15),7))))+AE267),6)</f>
        <v>71.386250000000004</v>
      </c>
      <c r="AE267">
        <f>ROUND(((EU267*ROUND((1.25*1.15),7))),6)</f>
        <v>2.055625</v>
      </c>
      <c r="AF267">
        <f>ROUND(((EV267*ROUND((1.15*1.15),7))),6)</f>
        <v>188.13884999999999</v>
      </c>
      <c r="AG267">
        <f t="shared" si="289"/>
        <v>0</v>
      </c>
      <c r="AH267">
        <f>((EW267*ROUND((1.15*1.15),7)))</f>
        <v>21.477399999999999</v>
      </c>
      <c r="AI267">
        <f>((EX267*ROUND((1.25*1.15),7)))</f>
        <v>0.15812499999999999</v>
      </c>
      <c r="AJ267">
        <f t="shared" si="290"/>
        <v>0</v>
      </c>
      <c r="AK267">
        <v>2285.79</v>
      </c>
      <c r="AL267">
        <v>2093.87</v>
      </c>
      <c r="AM267">
        <v>49.66</v>
      </c>
      <c r="AN267">
        <v>1.43</v>
      </c>
      <c r="AO267">
        <v>142.26</v>
      </c>
      <c r="AP267">
        <v>0</v>
      </c>
      <c r="AQ267">
        <v>16.239999999999998</v>
      </c>
      <c r="AR267">
        <v>0.11</v>
      </c>
      <c r="AS267">
        <v>0</v>
      </c>
      <c r="AT267">
        <v>108.9</v>
      </c>
      <c r="AU267">
        <v>61.2</v>
      </c>
      <c r="AV267">
        <v>1</v>
      </c>
      <c r="AW267">
        <v>1</v>
      </c>
      <c r="AZ267">
        <v>1</v>
      </c>
      <c r="BA267">
        <v>24.22</v>
      </c>
      <c r="BB267">
        <v>1</v>
      </c>
      <c r="BC267">
        <v>1</v>
      </c>
      <c r="BD267" t="s">
        <v>6</v>
      </c>
      <c r="BE267" t="s">
        <v>6</v>
      </c>
      <c r="BF267" t="s">
        <v>6</v>
      </c>
      <c r="BG267" t="s">
        <v>6</v>
      </c>
      <c r="BH267">
        <v>0</v>
      </c>
      <c r="BI267">
        <v>1</v>
      </c>
      <c r="BJ267" t="s">
        <v>621</v>
      </c>
      <c r="BM267">
        <v>18001</v>
      </c>
      <c r="BN267">
        <v>0</v>
      </c>
      <c r="BO267" t="s">
        <v>1327</v>
      </c>
      <c r="BP267">
        <v>1</v>
      </c>
      <c r="BQ267">
        <v>2</v>
      </c>
      <c r="BR267">
        <v>0</v>
      </c>
      <c r="BS267">
        <v>24.22</v>
      </c>
      <c r="BT267">
        <v>1</v>
      </c>
      <c r="BU267">
        <v>1</v>
      </c>
      <c r="BV267">
        <v>1</v>
      </c>
      <c r="BW267">
        <v>1</v>
      </c>
      <c r="BX267">
        <v>1</v>
      </c>
      <c r="BY267" t="s">
        <v>6</v>
      </c>
      <c r="BZ267">
        <v>121</v>
      </c>
      <c r="CA267">
        <v>72</v>
      </c>
      <c r="CB267" t="s">
        <v>6</v>
      </c>
      <c r="CE267">
        <v>0</v>
      </c>
      <c r="CF267">
        <v>0</v>
      </c>
      <c r="CG267">
        <v>0</v>
      </c>
      <c r="CM267">
        <v>0</v>
      </c>
      <c r="CN267" t="s">
        <v>6</v>
      </c>
      <c r="CO267">
        <v>0</v>
      </c>
      <c r="CP267">
        <f t="shared" si="291"/>
        <v>941.3599999999999</v>
      </c>
      <c r="CQ267">
        <f t="shared" si="320"/>
        <v>2093.87</v>
      </c>
      <c r="CR267">
        <f t="shared" si="292"/>
        <v>71.386250000000004</v>
      </c>
      <c r="CS267">
        <f t="shared" si="293"/>
        <v>2.055625</v>
      </c>
      <c r="CT267">
        <f t="shared" si="294"/>
        <v>188.13884999999999</v>
      </c>
      <c r="CU267">
        <f t="shared" si="295"/>
        <v>0</v>
      </c>
      <c r="CV267">
        <f t="shared" si="296"/>
        <v>21.477399999999999</v>
      </c>
      <c r="CW267">
        <f t="shared" si="297"/>
        <v>0.15812499999999999</v>
      </c>
      <c r="CX267">
        <f t="shared" si="298"/>
        <v>0</v>
      </c>
      <c r="CY267">
        <f t="shared" si="299"/>
        <v>82.851120000000009</v>
      </c>
      <c r="CZ267">
        <f t="shared" si="300"/>
        <v>46.560960000000001</v>
      </c>
      <c r="DC267" t="s">
        <v>6</v>
      </c>
      <c r="DD267" t="s">
        <v>6</v>
      </c>
      <c r="DE267" t="s">
        <v>126</v>
      </c>
      <c r="DF267" t="s">
        <v>126</v>
      </c>
      <c r="DG267" t="s">
        <v>127</v>
      </c>
      <c r="DH267" t="s">
        <v>6</v>
      </c>
      <c r="DI267" t="s">
        <v>127</v>
      </c>
      <c r="DJ267" t="s">
        <v>126</v>
      </c>
      <c r="DK267" t="s">
        <v>6</v>
      </c>
      <c r="DL267" t="s">
        <v>6</v>
      </c>
      <c r="DM267" t="s">
        <v>6</v>
      </c>
      <c r="DN267">
        <v>0</v>
      </c>
      <c r="DO267">
        <v>0</v>
      </c>
      <c r="DP267">
        <v>1</v>
      </c>
      <c r="DQ267">
        <v>1</v>
      </c>
      <c r="DU267">
        <v>1013</v>
      </c>
      <c r="DV267" t="s">
        <v>620</v>
      </c>
      <c r="DW267" t="s">
        <v>620</v>
      </c>
      <c r="DX267">
        <v>1</v>
      </c>
      <c r="DZ267" t="s">
        <v>6</v>
      </c>
      <c r="EA267" t="s">
        <v>6</v>
      </c>
      <c r="EB267" t="s">
        <v>6</v>
      </c>
      <c r="EC267" t="s">
        <v>6</v>
      </c>
      <c r="EE267">
        <v>30852941</v>
      </c>
      <c r="EF267">
        <v>2</v>
      </c>
      <c r="EG267" t="s">
        <v>26</v>
      </c>
      <c r="EH267">
        <v>0</v>
      </c>
      <c r="EI267" t="s">
        <v>6</v>
      </c>
      <c r="EJ267">
        <v>1</v>
      </c>
      <c r="EK267">
        <v>18001</v>
      </c>
      <c r="EL267" t="s">
        <v>622</v>
      </c>
      <c r="EM267" t="s">
        <v>623</v>
      </c>
      <c r="EO267" t="s">
        <v>6</v>
      </c>
      <c r="EQ267">
        <v>131072</v>
      </c>
      <c r="ER267">
        <v>2285.79</v>
      </c>
      <c r="ES267">
        <v>2093.87</v>
      </c>
      <c r="ET267">
        <v>49.66</v>
      </c>
      <c r="EU267">
        <v>1.43</v>
      </c>
      <c r="EV267">
        <v>142.26</v>
      </c>
      <c r="EW267">
        <v>16.239999999999998</v>
      </c>
      <c r="EX267">
        <v>0.11</v>
      </c>
      <c r="EY267">
        <v>0</v>
      </c>
      <c r="FQ267">
        <v>0</v>
      </c>
      <c r="FR267">
        <f t="shared" si="301"/>
        <v>0</v>
      </c>
      <c r="FS267">
        <v>0</v>
      </c>
      <c r="FT267" t="s">
        <v>29</v>
      </c>
      <c r="FU267" t="s">
        <v>30</v>
      </c>
      <c r="FX267">
        <v>108.9</v>
      </c>
      <c r="FY267">
        <v>61.2</v>
      </c>
      <c r="GA267" t="s">
        <v>6</v>
      </c>
      <c r="GD267">
        <v>1</v>
      </c>
      <c r="GF267">
        <v>2120917582</v>
      </c>
      <c r="GG267">
        <v>2</v>
      </c>
      <c r="GH267">
        <v>1</v>
      </c>
      <c r="GI267">
        <v>4</v>
      </c>
      <c r="GJ267">
        <v>0</v>
      </c>
      <c r="GK267">
        <v>0</v>
      </c>
      <c r="GL267">
        <f t="shared" si="302"/>
        <v>0</v>
      </c>
      <c r="GM267">
        <f t="shared" si="303"/>
        <v>1070.77</v>
      </c>
      <c r="GN267">
        <f t="shared" si="304"/>
        <v>1070.77</v>
      </c>
      <c r="GO267">
        <f t="shared" si="305"/>
        <v>0</v>
      </c>
      <c r="GP267">
        <f t="shared" si="306"/>
        <v>0</v>
      </c>
      <c r="GR267">
        <v>0</v>
      </c>
      <c r="GS267">
        <v>0</v>
      </c>
      <c r="GT267">
        <v>0</v>
      </c>
      <c r="GU267" t="s">
        <v>6</v>
      </c>
      <c r="GV267">
        <f t="shared" si="307"/>
        <v>0</v>
      </c>
      <c r="GW267">
        <v>1</v>
      </c>
      <c r="GX267">
        <f t="shared" si="308"/>
        <v>0</v>
      </c>
      <c r="HA267">
        <v>0</v>
      </c>
      <c r="HB267">
        <v>0</v>
      </c>
      <c r="HC267">
        <f t="shared" si="309"/>
        <v>0</v>
      </c>
      <c r="HE267" t="s">
        <v>6</v>
      </c>
      <c r="HF267" t="s">
        <v>6</v>
      </c>
      <c r="HI267">
        <f t="shared" si="310"/>
        <v>20</v>
      </c>
      <c r="HJ267">
        <f t="shared" si="311"/>
        <v>1823</v>
      </c>
      <c r="HK267">
        <f t="shared" si="312"/>
        <v>2007</v>
      </c>
      <c r="HL267">
        <f t="shared" si="313"/>
        <v>1128</v>
      </c>
      <c r="HM267" t="s">
        <v>6</v>
      </c>
      <c r="HN267" t="s">
        <v>6</v>
      </c>
      <c r="HO267" t="s">
        <v>6</v>
      </c>
      <c r="HP267" t="s">
        <v>6</v>
      </c>
      <c r="HQ267" t="s">
        <v>6</v>
      </c>
      <c r="IK267">
        <v>0</v>
      </c>
    </row>
    <row r="268" spans="1:245">
      <c r="A268">
        <v>17</v>
      </c>
      <c r="B268">
        <v>1</v>
      </c>
      <c r="C268">
        <f>ROW(SmtRes!A659)</f>
        <v>659</v>
      </c>
      <c r="D268">
        <f>ROW(EtalonRes!A690)</f>
        <v>690</v>
      </c>
      <c r="E268" t="s">
        <v>624</v>
      </c>
      <c r="F268" t="s">
        <v>488</v>
      </c>
      <c r="G268" t="s">
        <v>625</v>
      </c>
      <c r="H268" t="s">
        <v>490</v>
      </c>
      <c r="I268">
        <f>ROUND(90*4/100,7)</f>
        <v>3.6</v>
      </c>
      <c r="J268">
        <v>0</v>
      </c>
      <c r="K268">
        <f>ROUND(90*4/100,7)</f>
        <v>3.6</v>
      </c>
      <c r="O268">
        <f t="shared" si="278"/>
        <v>12773.9</v>
      </c>
      <c r="P268">
        <f t="shared" si="314"/>
        <v>1774.3</v>
      </c>
      <c r="Q268">
        <f t="shared" si="279"/>
        <v>4181.6099999999997</v>
      </c>
      <c r="R268">
        <f t="shared" si="280"/>
        <v>552.95000000000005</v>
      </c>
      <c r="S268">
        <f t="shared" si="281"/>
        <v>6817.99</v>
      </c>
      <c r="T268">
        <f t="shared" si="282"/>
        <v>0</v>
      </c>
      <c r="U268">
        <f t="shared" si="283"/>
        <v>712.43603999999993</v>
      </c>
      <c r="V268">
        <f t="shared" si="284"/>
        <v>42.435000000000002</v>
      </c>
      <c r="W268">
        <f t="shared" si="285"/>
        <v>0</v>
      </c>
      <c r="X268">
        <f t="shared" si="286"/>
        <v>8026.95</v>
      </c>
      <c r="Y268">
        <f t="shared" si="287"/>
        <v>4511.0200000000004</v>
      </c>
      <c r="AA268">
        <v>31028412</v>
      </c>
      <c r="AB268">
        <f t="shared" si="288"/>
        <v>3548.303625</v>
      </c>
      <c r="AC268">
        <f t="shared" si="271"/>
        <v>492.86</v>
      </c>
      <c r="AD268">
        <f>ROUND(((((ET268*ROUND((1.25*1.15),7)))-((EU268*ROUND((1.25*1.15),7))))+AE268),6)</f>
        <v>1161.5574999999999</v>
      </c>
      <c r="AE268">
        <f>ROUND(((EU268*ROUND((1.25*1.15),7))),6)</f>
        <v>153.59687500000001</v>
      </c>
      <c r="AF268">
        <f>ROUND(((EV268*ROUND((1.15*1.15),7))),6)</f>
        <v>1893.886125</v>
      </c>
      <c r="AG268">
        <f t="shared" si="289"/>
        <v>0</v>
      </c>
      <c r="AH268">
        <f>((EW268*ROUND((1.15*1.15),7)))</f>
        <v>197.89889999999997</v>
      </c>
      <c r="AI268">
        <f>((EX268*ROUND((1.25*1.15),7)))</f>
        <v>11.7875</v>
      </c>
      <c r="AJ268">
        <f t="shared" si="290"/>
        <v>0</v>
      </c>
      <c r="AK268">
        <v>2732.95</v>
      </c>
      <c r="AL268">
        <v>492.86</v>
      </c>
      <c r="AM268">
        <v>808.04</v>
      </c>
      <c r="AN268">
        <v>106.85</v>
      </c>
      <c r="AO268">
        <v>1432.05</v>
      </c>
      <c r="AP268">
        <v>0</v>
      </c>
      <c r="AQ268">
        <v>149.63999999999999</v>
      </c>
      <c r="AR268">
        <v>8.1999999999999993</v>
      </c>
      <c r="AS268">
        <v>0</v>
      </c>
      <c r="AT268">
        <v>108.9</v>
      </c>
      <c r="AU268">
        <v>61.2</v>
      </c>
      <c r="AV268">
        <v>1</v>
      </c>
      <c r="AW268">
        <v>1</v>
      </c>
      <c r="AZ268">
        <v>1</v>
      </c>
      <c r="BA268">
        <v>24.22</v>
      </c>
      <c r="BB268">
        <v>1</v>
      </c>
      <c r="BC268">
        <v>1</v>
      </c>
      <c r="BD268" t="s">
        <v>6</v>
      </c>
      <c r="BE268" t="s">
        <v>6</v>
      </c>
      <c r="BF268" t="s">
        <v>6</v>
      </c>
      <c r="BG268" t="s">
        <v>6</v>
      </c>
      <c r="BH268">
        <v>0</v>
      </c>
      <c r="BI268">
        <v>1</v>
      </c>
      <c r="BJ268" t="s">
        <v>491</v>
      </c>
      <c r="BM268">
        <v>16001</v>
      </c>
      <c r="BN268">
        <v>0</v>
      </c>
      <c r="BO268" t="s">
        <v>1327</v>
      </c>
      <c r="BP268">
        <v>1</v>
      </c>
      <c r="BQ268">
        <v>2</v>
      </c>
      <c r="BR268">
        <v>0</v>
      </c>
      <c r="BS268">
        <v>24.22</v>
      </c>
      <c r="BT268">
        <v>1</v>
      </c>
      <c r="BU268">
        <v>1</v>
      </c>
      <c r="BV268">
        <v>1</v>
      </c>
      <c r="BW268">
        <v>1</v>
      </c>
      <c r="BX268">
        <v>1</v>
      </c>
      <c r="BY268" t="s">
        <v>6</v>
      </c>
      <c r="BZ268">
        <v>121</v>
      </c>
      <c r="CA268">
        <v>72</v>
      </c>
      <c r="CB268" t="s">
        <v>6</v>
      </c>
      <c r="CE268">
        <v>0</v>
      </c>
      <c r="CF268">
        <v>0</v>
      </c>
      <c r="CG268">
        <v>0</v>
      </c>
      <c r="CM268">
        <v>0</v>
      </c>
      <c r="CN268" t="s">
        <v>6</v>
      </c>
      <c r="CO268">
        <v>0</v>
      </c>
      <c r="CP268">
        <f t="shared" si="291"/>
        <v>12773.9</v>
      </c>
      <c r="CQ268">
        <f t="shared" si="320"/>
        <v>492.86</v>
      </c>
      <c r="CR268">
        <f t="shared" si="292"/>
        <v>1161.5574999999999</v>
      </c>
      <c r="CS268">
        <f t="shared" si="293"/>
        <v>153.59687500000001</v>
      </c>
      <c r="CT268">
        <f t="shared" si="294"/>
        <v>1893.886125</v>
      </c>
      <c r="CU268">
        <f t="shared" si="295"/>
        <v>0</v>
      </c>
      <c r="CV268">
        <f t="shared" si="296"/>
        <v>197.89889999999997</v>
      </c>
      <c r="CW268">
        <f t="shared" si="297"/>
        <v>11.7875</v>
      </c>
      <c r="CX268">
        <f t="shared" si="298"/>
        <v>0</v>
      </c>
      <c r="CY268">
        <f t="shared" si="299"/>
        <v>8026.9536600000001</v>
      </c>
      <c r="CZ268">
        <f t="shared" si="300"/>
        <v>4511.0152799999996</v>
      </c>
      <c r="DC268" t="s">
        <v>6</v>
      </c>
      <c r="DD268" t="s">
        <v>6</v>
      </c>
      <c r="DE268" t="s">
        <v>126</v>
      </c>
      <c r="DF268" t="s">
        <v>126</v>
      </c>
      <c r="DG268" t="s">
        <v>127</v>
      </c>
      <c r="DH268" t="s">
        <v>6</v>
      </c>
      <c r="DI268" t="s">
        <v>127</v>
      </c>
      <c r="DJ268" t="s">
        <v>126</v>
      </c>
      <c r="DK268" t="s">
        <v>6</v>
      </c>
      <c r="DL268" t="s">
        <v>6</v>
      </c>
      <c r="DM268" t="s">
        <v>6</v>
      </c>
      <c r="DN268">
        <v>0</v>
      </c>
      <c r="DO268">
        <v>0</v>
      </c>
      <c r="DP268">
        <v>1</v>
      </c>
      <c r="DQ268">
        <v>1</v>
      </c>
      <c r="DU268">
        <v>1013</v>
      </c>
      <c r="DV268" t="s">
        <v>490</v>
      </c>
      <c r="DW268" t="s">
        <v>490</v>
      </c>
      <c r="DX268">
        <v>1</v>
      </c>
      <c r="DZ268" t="s">
        <v>6</v>
      </c>
      <c r="EA268" t="s">
        <v>6</v>
      </c>
      <c r="EB268" t="s">
        <v>6</v>
      </c>
      <c r="EC268" t="s">
        <v>6</v>
      </c>
      <c r="EE268">
        <v>30852938</v>
      </c>
      <c r="EF268">
        <v>2</v>
      </c>
      <c r="EG268" t="s">
        <v>26</v>
      </c>
      <c r="EH268">
        <v>0</v>
      </c>
      <c r="EI268" t="s">
        <v>6</v>
      </c>
      <c r="EJ268">
        <v>1</v>
      </c>
      <c r="EK268">
        <v>16001</v>
      </c>
      <c r="EL268" t="s">
        <v>493</v>
      </c>
      <c r="EM268" t="s">
        <v>494</v>
      </c>
      <c r="EO268" t="s">
        <v>6</v>
      </c>
      <c r="EQ268">
        <v>131072</v>
      </c>
      <c r="ER268">
        <v>2732.95</v>
      </c>
      <c r="ES268">
        <v>492.86</v>
      </c>
      <c r="ET268">
        <v>808.04</v>
      </c>
      <c r="EU268">
        <v>106.85</v>
      </c>
      <c r="EV268">
        <v>1432.05</v>
      </c>
      <c r="EW268">
        <v>149.63999999999999</v>
      </c>
      <c r="EX268">
        <v>8.1999999999999993</v>
      </c>
      <c r="EY268">
        <v>0</v>
      </c>
      <c r="FQ268">
        <v>0</v>
      </c>
      <c r="FR268">
        <f t="shared" si="301"/>
        <v>0</v>
      </c>
      <c r="FS268">
        <v>0</v>
      </c>
      <c r="FT268" t="s">
        <v>29</v>
      </c>
      <c r="FU268" t="s">
        <v>30</v>
      </c>
      <c r="FX268">
        <v>108.9</v>
      </c>
      <c r="FY268">
        <v>61.2</v>
      </c>
      <c r="GA268" t="s">
        <v>6</v>
      </c>
      <c r="GD268">
        <v>1</v>
      </c>
      <c r="GF268">
        <v>-966061150</v>
      </c>
      <c r="GG268">
        <v>2</v>
      </c>
      <c r="GH268">
        <v>1</v>
      </c>
      <c r="GI268">
        <v>4</v>
      </c>
      <c r="GJ268">
        <v>0</v>
      </c>
      <c r="GK268">
        <v>0</v>
      </c>
      <c r="GL268">
        <f t="shared" si="302"/>
        <v>0</v>
      </c>
      <c r="GM268">
        <f t="shared" si="303"/>
        <v>25311.87</v>
      </c>
      <c r="GN268">
        <f t="shared" si="304"/>
        <v>25311.87</v>
      </c>
      <c r="GO268">
        <f t="shared" si="305"/>
        <v>0</v>
      </c>
      <c r="GP268">
        <f t="shared" si="306"/>
        <v>0</v>
      </c>
      <c r="GR268">
        <v>0</v>
      </c>
      <c r="GS268">
        <v>0</v>
      </c>
      <c r="GT268">
        <v>0</v>
      </c>
      <c r="GU268" t="s">
        <v>6</v>
      </c>
      <c r="GV268">
        <f t="shared" si="307"/>
        <v>0</v>
      </c>
      <c r="GW268">
        <v>1</v>
      </c>
      <c r="GX268">
        <f t="shared" si="308"/>
        <v>0</v>
      </c>
      <c r="HA268">
        <v>0</v>
      </c>
      <c r="HB268">
        <v>0</v>
      </c>
      <c r="HC268">
        <f t="shared" si="309"/>
        <v>0</v>
      </c>
      <c r="HE268" t="s">
        <v>6</v>
      </c>
      <c r="HF268" t="s">
        <v>6</v>
      </c>
      <c r="HI268">
        <f t="shared" si="310"/>
        <v>13392</v>
      </c>
      <c r="HJ268">
        <f t="shared" si="311"/>
        <v>165132</v>
      </c>
      <c r="HK268">
        <f t="shared" si="312"/>
        <v>194413</v>
      </c>
      <c r="HL268">
        <f t="shared" si="313"/>
        <v>109257</v>
      </c>
      <c r="HM268" t="s">
        <v>6</v>
      </c>
      <c r="HN268" t="s">
        <v>6</v>
      </c>
      <c r="HO268" t="s">
        <v>6</v>
      </c>
      <c r="HP268" t="s">
        <v>6</v>
      </c>
      <c r="HQ268" t="s">
        <v>6</v>
      </c>
      <c r="IK268">
        <v>0</v>
      </c>
    </row>
    <row r="269" spans="1:245">
      <c r="A269">
        <v>17</v>
      </c>
      <c r="B269">
        <v>1</v>
      </c>
      <c r="E269" t="s">
        <v>626</v>
      </c>
      <c r="F269" t="s">
        <v>627</v>
      </c>
      <c r="G269" t="s">
        <v>628</v>
      </c>
      <c r="H269" t="s">
        <v>629</v>
      </c>
      <c r="I269">
        <f>ROUND(I268*-9.29,7)</f>
        <v>-33.444000000000003</v>
      </c>
      <c r="J269">
        <v>0</v>
      </c>
      <c r="K269">
        <f>ROUND(I268*-9.29,7)</f>
        <v>-33.444000000000003</v>
      </c>
      <c r="O269">
        <f t="shared" si="278"/>
        <v>-1603.64</v>
      </c>
      <c r="P269">
        <f t="shared" si="314"/>
        <v>-1603.64</v>
      </c>
      <c r="Q269">
        <f t="shared" si="279"/>
        <v>0</v>
      </c>
      <c r="R269">
        <f t="shared" si="280"/>
        <v>0</v>
      </c>
      <c r="S269">
        <f t="shared" si="281"/>
        <v>0</v>
      </c>
      <c r="T269">
        <f t="shared" si="282"/>
        <v>0</v>
      </c>
      <c r="U269">
        <f t="shared" si="283"/>
        <v>0</v>
      </c>
      <c r="V269">
        <f t="shared" si="284"/>
        <v>0</v>
      </c>
      <c r="W269">
        <f t="shared" si="285"/>
        <v>0</v>
      </c>
      <c r="X269">
        <f t="shared" si="286"/>
        <v>0</v>
      </c>
      <c r="Y269">
        <f t="shared" si="287"/>
        <v>0</v>
      </c>
      <c r="AA269">
        <v>31028412</v>
      </c>
      <c r="AB269">
        <f t="shared" si="288"/>
        <v>47.95</v>
      </c>
      <c r="AC269">
        <f t="shared" si="271"/>
        <v>47.95</v>
      </c>
      <c r="AD269">
        <f>ROUND((((ET269)-(EU269))+AE269),6)</f>
        <v>0</v>
      </c>
      <c r="AE269">
        <f>ROUND((EU269),6)</f>
        <v>0</v>
      </c>
      <c r="AF269">
        <f>ROUND((EV269),6)</f>
        <v>0</v>
      </c>
      <c r="AG269">
        <f t="shared" si="289"/>
        <v>0</v>
      </c>
      <c r="AH269">
        <f>(EW269)</f>
        <v>0</v>
      </c>
      <c r="AI269">
        <f>(EX269)</f>
        <v>0</v>
      </c>
      <c r="AJ269">
        <f t="shared" si="290"/>
        <v>0</v>
      </c>
      <c r="AK269">
        <v>47.95</v>
      </c>
      <c r="AL269">
        <v>47.95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1</v>
      </c>
      <c r="AW269">
        <v>1</v>
      </c>
      <c r="AZ269">
        <v>1</v>
      </c>
      <c r="BA269">
        <v>1</v>
      </c>
      <c r="BB269">
        <v>1</v>
      </c>
      <c r="BC269">
        <v>1</v>
      </c>
      <c r="BD269" t="s">
        <v>6</v>
      </c>
      <c r="BE269" t="s">
        <v>6</v>
      </c>
      <c r="BF269" t="s">
        <v>6</v>
      </c>
      <c r="BG269" t="s">
        <v>6</v>
      </c>
      <c r="BH269">
        <v>3</v>
      </c>
      <c r="BI269">
        <v>2</v>
      </c>
      <c r="BJ269" t="s">
        <v>630</v>
      </c>
      <c r="BM269">
        <v>500002</v>
      </c>
      <c r="BN269">
        <v>0</v>
      </c>
      <c r="BO269" t="s">
        <v>111</v>
      </c>
      <c r="BP269">
        <v>1</v>
      </c>
      <c r="BQ269">
        <v>12</v>
      </c>
      <c r="BR269">
        <v>1</v>
      </c>
      <c r="BS269">
        <v>1</v>
      </c>
      <c r="BT269">
        <v>1</v>
      </c>
      <c r="BU269">
        <v>1</v>
      </c>
      <c r="BV269">
        <v>1</v>
      </c>
      <c r="BW269">
        <v>1</v>
      </c>
      <c r="BX269">
        <v>1</v>
      </c>
      <c r="BY269" t="s">
        <v>6</v>
      </c>
      <c r="BZ269">
        <v>0</v>
      </c>
      <c r="CA269">
        <v>0</v>
      </c>
      <c r="CB269" t="s">
        <v>6</v>
      </c>
      <c r="CE269">
        <v>0</v>
      </c>
      <c r="CF269">
        <v>0</v>
      </c>
      <c r="CG269">
        <v>0</v>
      </c>
      <c r="CM269">
        <v>0</v>
      </c>
      <c r="CN269" t="s">
        <v>6</v>
      </c>
      <c r="CO269">
        <v>0</v>
      </c>
      <c r="CP269">
        <f t="shared" si="291"/>
        <v>-1603.64</v>
      </c>
      <c r="CQ269">
        <f t="shared" si="320"/>
        <v>47.95</v>
      </c>
      <c r="CR269">
        <f t="shared" si="292"/>
        <v>0</v>
      </c>
      <c r="CS269">
        <f t="shared" si="293"/>
        <v>0</v>
      </c>
      <c r="CT269">
        <f t="shared" si="294"/>
        <v>0</v>
      </c>
      <c r="CU269">
        <f t="shared" si="295"/>
        <v>0</v>
      </c>
      <c r="CV269">
        <f t="shared" si="296"/>
        <v>0</v>
      </c>
      <c r="CW269">
        <f t="shared" si="297"/>
        <v>0</v>
      </c>
      <c r="CX269">
        <f t="shared" si="298"/>
        <v>0</v>
      </c>
      <c r="CY269">
        <f t="shared" si="299"/>
        <v>0</v>
      </c>
      <c r="CZ269">
        <f t="shared" si="300"/>
        <v>0</v>
      </c>
      <c r="DC269" t="s">
        <v>6</v>
      </c>
      <c r="DD269" t="s">
        <v>6</v>
      </c>
      <c r="DE269" t="s">
        <v>6</v>
      </c>
      <c r="DF269" t="s">
        <v>6</v>
      </c>
      <c r="DG269" t="s">
        <v>6</v>
      </c>
      <c r="DH269" t="s">
        <v>6</v>
      </c>
      <c r="DI269" t="s">
        <v>6</v>
      </c>
      <c r="DJ269" t="s">
        <v>6</v>
      </c>
      <c r="DK269" t="s">
        <v>6</v>
      </c>
      <c r="DL269" t="s">
        <v>6</v>
      </c>
      <c r="DM269" t="s">
        <v>6</v>
      </c>
      <c r="DN269">
        <v>0</v>
      </c>
      <c r="DO269">
        <v>0</v>
      </c>
      <c r="DP269">
        <v>1</v>
      </c>
      <c r="DQ269">
        <v>1</v>
      </c>
      <c r="DU269">
        <v>1003</v>
      </c>
      <c r="DV269" t="s">
        <v>629</v>
      </c>
      <c r="DW269" t="s">
        <v>629</v>
      </c>
      <c r="DX269">
        <v>10</v>
      </c>
      <c r="DZ269" t="s">
        <v>6</v>
      </c>
      <c r="EA269" t="s">
        <v>6</v>
      </c>
      <c r="EB269" t="s">
        <v>6</v>
      </c>
      <c r="EC269" t="s">
        <v>6</v>
      </c>
      <c r="EE269">
        <v>30852825</v>
      </c>
      <c r="EF269">
        <v>12</v>
      </c>
      <c r="EG269" t="s">
        <v>631</v>
      </c>
      <c r="EH269">
        <v>0</v>
      </c>
      <c r="EI269" t="s">
        <v>6</v>
      </c>
      <c r="EJ269">
        <v>2</v>
      </c>
      <c r="EK269">
        <v>500002</v>
      </c>
      <c r="EL269" t="s">
        <v>632</v>
      </c>
      <c r="EM269" t="s">
        <v>633</v>
      </c>
      <c r="EO269" t="s">
        <v>6</v>
      </c>
      <c r="EQ269">
        <v>32768</v>
      </c>
      <c r="ER269">
        <v>47.95</v>
      </c>
      <c r="ES269">
        <v>47.95</v>
      </c>
      <c r="ET269">
        <v>0</v>
      </c>
      <c r="EU269">
        <v>0</v>
      </c>
      <c r="EV269">
        <v>0</v>
      </c>
      <c r="EW269">
        <v>0</v>
      </c>
      <c r="EX269">
        <v>0</v>
      </c>
      <c r="EY269">
        <v>0</v>
      </c>
      <c r="FQ269">
        <v>0</v>
      </c>
      <c r="FR269">
        <f t="shared" si="301"/>
        <v>0</v>
      </c>
      <c r="FS269">
        <v>0</v>
      </c>
      <c r="FX269">
        <v>0</v>
      </c>
      <c r="FY269">
        <v>0</v>
      </c>
      <c r="GA269" t="s">
        <v>6</v>
      </c>
      <c r="GD269">
        <v>1</v>
      </c>
      <c r="GF269">
        <v>-1961691766</v>
      </c>
      <c r="GG269">
        <v>2</v>
      </c>
      <c r="GH269">
        <v>1</v>
      </c>
      <c r="GI269">
        <v>4</v>
      </c>
      <c r="GJ269">
        <v>0</v>
      </c>
      <c r="GK269">
        <v>0</v>
      </c>
      <c r="GL269">
        <f t="shared" si="302"/>
        <v>0</v>
      </c>
      <c r="GM269">
        <f t="shared" si="303"/>
        <v>-1603.64</v>
      </c>
      <c r="GN269">
        <f t="shared" si="304"/>
        <v>0</v>
      </c>
      <c r="GO269">
        <f t="shared" si="305"/>
        <v>-1603.64</v>
      </c>
      <c r="GP269">
        <f t="shared" si="306"/>
        <v>0</v>
      </c>
      <c r="GR269">
        <v>0</v>
      </c>
      <c r="GS269">
        <v>3</v>
      </c>
      <c r="GT269">
        <v>0</v>
      </c>
      <c r="GU269" t="s">
        <v>6</v>
      </c>
      <c r="GV269">
        <f t="shared" si="307"/>
        <v>0</v>
      </c>
      <c r="GW269">
        <v>1</v>
      </c>
      <c r="GX269">
        <f t="shared" si="308"/>
        <v>0</v>
      </c>
      <c r="HA269">
        <v>0</v>
      </c>
      <c r="HB269">
        <v>0</v>
      </c>
      <c r="HC269">
        <f t="shared" si="309"/>
        <v>0</v>
      </c>
      <c r="HE269" t="s">
        <v>6</v>
      </c>
      <c r="HF269" t="s">
        <v>6</v>
      </c>
      <c r="HI269">
        <f t="shared" si="310"/>
        <v>0</v>
      </c>
      <c r="HJ269">
        <f t="shared" si="311"/>
        <v>0</v>
      </c>
      <c r="HK269">
        <f t="shared" si="312"/>
        <v>0</v>
      </c>
      <c r="HL269">
        <f t="shared" si="313"/>
        <v>0</v>
      </c>
      <c r="HM269" t="s">
        <v>6</v>
      </c>
      <c r="HN269" t="s">
        <v>6</v>
      </c>
      <c r="HO269" t="s">
        <v>6</v>
      </c>
      <c r="HP269" t="s">
        <v>6</v>
      </c>
      <c r="HQ269" t="s">
        <v>6</v>
      </c>
      <c r="IK269">
        <v>0</v>
      </c>
    </row>
    <row r="270" spans="1:245">
      <c r="A270">
        <v>17</v>
      </c>
      <c r="B270">
        <v>1</v>
      </c>
      <c r="E270" t="s">
        <v>634</v>
      </c>
      <c r="F270" t="s">
        <v>635</v>
      </c>
      <c r="G270" t="s">
        <v>636</v>
      </c>
      <c r="H270" t="s">
        <v>315</v>
      </c>
      <c r="I270">
        <v>334.44</v>
      </c>
      <c r="J270">
        <v>0</v>
      </c>
      <c r="K270">
        <v>334.44</v>
      </c>
      <c r="O270">
        <f t="shared" si="278"/>
        <v>6354.36</v>
      </c>
      <c r="P270">
        <f t="shared" si="314"/>
        <v>6354.36</v>
      </c>
      <c r="Q270">
        <f t="shared" si="279"/>
        <v>0</v>
      </c>
      <c r="R270">
        <f t="shared" si="280"/>
        <v>0</v>
      </c>
      <c r="S270">
        <f t="shared" si="281"/>
        <v>0</v>
      </c>
      <c r="T270">
        <f t="shared" si="282"/>
        <v>0</v>
      </c>
      <c r="U270">
        <f t="shared" si="283"/>
        <v>0</v>
      </c>
      <c r="V270">
        <f t="shared" si="284"/>
        <v>0</v>
      </c>
      <c r="W270">
        <f t="shared" si="285"/>
        <v>0</v>
      </c>
      <c r="X270">
        <f t="shared" si="286"/>
        <v>0</v>
      </c>
      <c r="Y270">
        <f t="shared" si="287"/>
        <v>0</v>
      </c>
      <c r="AA270">
        <v>31028412</v>
      </c>
      <c r="AB270">
        <f t="shared" si="288"/>
        <v>19</v>
      </c>
      <c r="AC270">
        <f t="shared" si="271"/>
        <v>19</v>
      </c>
      <c r="AD270">
        <f>ROUND((((ET270)-(EU270))+AE270),6)</f>
        <v>0</v>
      </c>
      <c r="AE270">
        <f>ROUND((EU270),6)</f>
        <v>0</v>
      </c>
      <c r="AF270">
        <f>ROUND((EV270),6)</f>
        <v>0</v>
      </c>
      <c r="AG270">
        <f t="shared" si="289"/>
        <v>0</v>
      </c>
      <c r="AH270">
        <f>(EW270)</f>
        <v>0</v>
      </c>
      <c r="AI270">
        <f>(EX270)</f>
        <v>0</v>
      </c>
      <c r="AJ270">
        <f t="shared" si="290"/>
        <v>0</v>
      </c>
      <c r="AK270">
        <v>19</v>
      </c>
      <c r="AL270">
        <v>19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1</v>
      </c>
      <c r="AW270">
        <v>1</v>
      </c>
      <c r="AZ270">
        <v>1</v>
      </c>
      <c r="BA270">
        <v>1</v>
      </c>
      <c r="BB270">
        <v>1</v>
      </c>
      <c r="BC270">
        <v>1</v>
      </c>
      <c r="BD270" t="s">
        <v>6</v>
      </c>
      <c r="BE270" t="s">
        <v>6</v>
      </c>
      <c r="BF270" t="s">
        <v>6</v>
      </c>
      <c r="BG270" t="s">
        <v>6</v>
      </c>
      <c r="BH270">
        <v>3</v>
      </c>
      <c r="BI270">
        <v>2</v>
      </c>
      <c r="BJ270" t="s">
        <v>637</v>
      </c>
      <c r="BM270">
        <v>500002</v>
      </c>
      <c r="BN270">
        <v>0</v>
      </c>
      <c r="BO270" t="s">
        <v>111</v>
      </c>
      <c r="BP270">
        <v>1</v>
      </c>
      <c r="BQ270">
        <v>12</v>
      </c>
      <c r="BR270">
        <v>0</v>
      </c>
      <c r="BS270">
        <v>1</v>
      </c>
      <c r="BT270">
        <v>1</v>
      </c>
      <c r="BU270">
        <v>1</v>
      </c>
      <c r="BV270">
        <v>1</v>
      </c>
      <c r="BW270">
        <v>1</v>
      </c>
      <c r="BX270">
        <v>1</v>
      </c>
      <c r="BY270" t="s">
        <v>6</v>
      </c>
      <c r="BZ270">
        <v>0</v>
      </c>
      <c r="CA270">
        <v>0</v>
      </c>
      <c r="CB270" t="s">
        <v>6</v>
      </c>
      <c r="CE270">
        <v>0</v>
      </c>
      <c r="CF270">
        <v>0</v>
      </c>
      <c r="CG270">
        <v>0</v>
      </c>
      <c r="CM270">
        <v>0</v>
      </c>
      <c r="CN270" t="s">
        <v>6</v>
      </c>
      <c r="CO270">
        <v>0</v>
      </c>
      <c r="CP270">
        <f t="shared" si="291"/>
        <v>6354.36</v>
      </c>
      <c r="CQ270">
        <f t="shared" si="320"/>
        <v>19</v>
      </c>
      <c r="CR270">
        <f t="shared" si="292"/>
        <v>0</v>
      </c>
      <c r="CS270">
        <f t="shared" si="293"/>
        <v>0</v>
      </c>
      <c r="CT270">
        <f t="shared" si="294"/>
        <v>0</v>
      </c>
      <c r="CU270">
        <f t="shared" si="295"/>
        <v>0</v>
      </c>
      <c r="CV270">
        <f t="shared" si="296"/>
        <v>0</v>
      </c>
      <c r="CW270">
        <f t="shared" si="297"/>
        <v>0</v>
      </c>
      <c r="CX270">
        <f t="shared" si="298"/>
        <v>0</v>
      </c>
      <c r="CY270">
        <f t="shared" si="299"/>
        <v>0</v>
      </c>
      <c r="CZ270">
        <f t="shared" si="300"/>
        <v>0</v>
      </c>
      <c r="DC270" t="s">
        <v>6</v>
      </c>
      <c r="DD270" t="s">
        <v>6</v>
      </c>
      <c r="DE270" t="s">
        <v>6</v>
      </c>
      <c r="DF270" t="s">
        <v>6</v>
      </c>
      <c r="DG270" t="s">
        <v>6</v>
      </c>
      <c r="DH270" t="s">
        <v>6</v>
      </c>
      <c r="DI270" t="s">
        <v>6</v>
      </c>
      <c r="DJ270" t="s">
        <v>6</v>
      </c>
      <c r="DK270" t="s">
        <v>6</v>
      </c>
      <c r="DL270" t="s">
        <v>6</v>
      </c>
      <c r="DM270" t="s">
        <v>6</v>
      </c>
      <c r="DN270">
        <v>0</v>
      </c>
      <c r="DO270">
        <v>0</v>
      </c>
      <c r="DP270">
        <v>1</v>
      </c>
      <c r="DQ270">
        <v>1</v>
      </c>
      <c r="DU270">
        <v>1003</v>
      </c>
      <c r="DV270" t="s">
        <v>315</v>
      </c>
      <c r="DW270" t="s">
        <v>315</v>
      </c>
      <c r="DX270">
        <v>1</v>
      </c>
      <c r="DZ270" t="s">
        <v>6</v>
      </c>
      <c r="EA270" t="s">
        <v>6</v>
      </c>
      <c r="EB270" t="s">
        <v>6</v>
      </c>
      <c r="EC270" t="s">
        <v>6</v>
      </c>
      <c r="EE270">
        <v>30852825</v>
      </c>
      <c r="EF270">
        <v>12</v>
      </c>
      <c r="EG270" t="s">
        <v>631</v>
      </c>
      <c r="EH270">
        <v>0</v>
      </c>
      <c r="EI270" t="s">
        <v>6</v>
      </c>
      <c r="EJ270">
        <v>2</v>
      </c>
      <c r="EK270">
        <v>500002</v>
      </c>
      <c r="EL270" t="s">
        <v>632</v>
      </c>
      <c r="EM270" t="s">
        <v>633</v>
      </c>
      <c r="EO270" t="s">
        <v>6</v>
      </c>
      <c r="EQ270">
        <v>0</v>
      </c>
      <c r="ER270">
        <v>19</v>
      </c>
      <c r="ES270">
        <v>19</v>
      </c>
      <c r="ET270">
        <v>0</v>
      </c>
      <c r="EU270">
        <v>0</v>
      </c>
      <c r="EV270">
        <v>0</v>
      </c>
      <c r="EW270">
        <v>0</v>
      </c>
      <c r="EX270">
        <v>0</v>
      </c>
      <c r="EY270">
        <v>0</v>
      </c>
      <c r="FQ270">
        <v>0</v>
      </c>
      <c r="FR270">
        <f t="shared" si="301"/>
        <v>0</v>
      </c>
      <c r="FS270">
        <v>0</v>
      </c>
      <c r="FX270">
        <v>0</v>
      </c>
      <c r="FY270">
        <v>0</v>
      </c>
      <c r="GA270" t="s">
        <v>6</v>
      </c>
      <c r="GD270">
        <v>1</v>
      </c>
      <c r="GF270">
        <v>2079989495</v>
      </c>
      <c r="GG270">
        <v>2</v>
      </c>
      <c r="GH270">
        <v>1</v>
      </c>
      <c r="GI270">
        <v>4</v>
      </c>
      <c r="GJ270">
        <v>0</v>
      </c>
      <c r="GK270">
        <v>0</v>
      </c>
      <c r="GL270">
        <f t="shared" si="302"/>
        <v>0</v>
      </c>
      <c r="GM270">
        <f t="shared" si="303"/>
        <v>6354.36</v>
      </c>
      <c r="GN270">
        <f t="shared" si="304"/>
        <v>0</v>
      </c>
      <c r="GO270">
        <f t="shared" si="305"/>
        <v>6354.36</v>
      </c>
      <c r="GP270">
        <f t="shared" si="306"/>
        <v>0</v>
      </c>
      <c r="GR270">
        <v>0</v>
      </c>
      <c r="GS270">
        <v>3</v>
      </c>
      <c r="GT270">
        <v>0</v>
      </c>
      <c r="GU270" t="s">
        <v>6</v>
      </c>
      <c r="GV270">
        <f t="shared" si="307"/>
        <v>0</v>
      </c>
      <c r="GW270">
        <v>1</v>
      </c>
      <c r="GX270">
        <f t="shared" si="308"/>
        <v>0</v>
      </c>
      <c r="HA270">
        <v>0</v>
      </c>
      <c r="HB270">
        <v>0</v>
      </c>
      <c r="HC270">
        <f t="shared" si="309"/>
        <v>0</v>
      </c>
      <c r="HE270" t="s">
        <v>6</v>
      </c>
      <c r="HF270" t="s">
        <v>6</v>
      </c>
      <c r="HI270">
        <f t="shared" si="310"/>
        <v>0</v>
      </c>
      <c r="HJ270">
        <f t="shared" si="311"/>
        <v>0</v>
      </c>
      <c r="HK270">
        <f t="shared" si="312"/>
        <v>0</v>
      </c>
      <c r="HL270">
        <f t="shared" si="313"/>
        <v>0</v>
      </c>
      <c r="HM270" t="s">
        <v>6</v>
      </c>
      <c r="HN270" t="s">
        <v>6</v>
      </c>
      <c r="HO270" t="s">
        <v>6</v>
      </c>
      <c r="HP270" t="s">
        <v>6</v>
      </c>
      <c r="HQ270" t="s">
        <v>6</v>
      </c>
      <c r="IK270">
        <v>0</v>
      </c>
    </row>
    <row r="271" spans="1:245">
      <c r="A271">
        <v>17</v>
      </c>
      <c r="B271">
        <v>1</v>
      </c>
      <c r="C271">
        <f>ROW(SmtRes!A670)</f>
        <v>670</v>
      </c>
      <c r="D271">
        <f>ROW(EtalonRes!A701)</f>
        <v>701</v>
      </c>
      <c r="E271" t="s">
        <v>638</v>
      </c>
      <c r="F271" t="s">
        <v>496</v>
      </c>
      <c r="G271" t="s">
        <v>639</v>
      </c>
      <c r="H271" t="s">
        <v>490</v>
      </c>
      <c r="I271">
        <f>ROUND(180/100,7)</f>
        <v>1.8</v>
      </c>
      <c r="J271">
        <v>0</v>
      </c>
      <c r="K271">
        <f>ROUND(180/100,7)</f>
        <v>1.8</v>
      </c>
      <c r="O271">
        <f t="shared" si="278"/>
        <v>8624.1</v>
      </c>
      <c r="P271">
        <f t="shared" si="314"/>
        <v>7153.22</v>
      </c>
      <c r="Q271">
        <f t="shared" si="279"/>
        <v>7.4</v>
      </c>
      <c r="R271">
        <f t="shared" si="280"/>
        <v>0.67</v>
      </c>
      <c r="S271">
        <f t="shared" si="281"/>
        <v>1463.48</v>
      </c>
      <c r="T271">
        <f t="shared" si="282"/>
        <v>0</v>
      </c>
      <c r="U271">
        <f t="shared" si="283"/>
        <v>152.92331999999999</v>
      </c>
      <c r="V271">
        <f t="shared" si="284"/>
        <v>5.1750000000000004E-2</v>
      </c>
      <c r="W271">
        <f t="shared" si="285"/>
        <v>0</v>
      </c>
      <c r="X271">
        <f t="shared" si="286"/>
        <v>1594.46</v>
      </c>
      <c r="Y271">
        <f t="shared" si="287"/>
        <v>896.06</v>
      </c>
      <c r="AA271">
        <v>31028412</v>
      </c>
      <c r="AB271">
        <f t="shared" si="288"/>
        <v>4791.1678000000002</v>
      </c>
      <c r="AC271">
        <f t="shared" si="271"/>
        <v>3974.01</v>
      </c>
      <c r="AD271">
        <f>ROUND(((((ET271*ROUND((1.25*1.15),7)))-((EU271*ROUND((1.25*1.15),7))))+AE271),6)</f>
        <v>4.1112500000000001</v>
      </c>
      <c r="AE271">
        <f>ROUND(((EU271*ROUND((1.25*1.15),7))),6)</f>
        <v>0.37375000000000003</v>
      </c>
      <c r="AF271">
        <f>ROUND(((EV271*ROUND((1.15*1.15),7))),6)</f>
        <v>813.04655000000002</v>
      </c>
      <c r="AG271">
        <f t="shared" si="289"/>
        <v>0</v>
      </c>
      <c r="AH271">
        <f>((EW271*ROUND((1.15*1.15),7)))</f>
        <v>84.957399999999993</v>
      </c>
      <c r="AI271">
        <f>((EX271*ROUND((1.25*1.15),7)))</f>
        <v>2.8750000000000001E-2</v>
      </c>
      <c r="AJ271">
        <f t="shared" si="290"/>
        <v>0</v>
      </c>
      <c r="AK271">
        <v>4591.6499999999996</v>
      </c>
      <c r="AL271">
        <v>3974.01</v>
      </c>
      <c r="AM271">
        <v>2.86</v>
      </c>
      <c r="AN271">
        <v>0.26</v>
      </c>
      <c r="AO271">
        <v>614.78</v>
      </c>
      <c r="AP271">
        <v>0</v>
      </c>
      <c r="AQ271">
        <v>64.239999999999995</v>
      </c>
      <c r="AR271">
        <v>0.02</v>
      </c>
      <c r="AS271">
        <v>0</v>
      </c>
      <c r="AT271">
        <v>108.9</v>
      </c>
      <c r="AU271">
        <v>61.2</v>
      </c>
      <c r="AV271">
        <v>1</v>
      </c>
      <c r="AW271">
        <v>1</v>
      </c>
      <c r="AZ271">
        <v>1</v>
      </c>
      <c r="BA271">
        <v>24.22</v>
      </c>
      <c r="BB271">
        <v>1</v>
      </c>
      <c r="BC271">
        <v>1</v>
      </c>
      <c r="BD271" t="s">
        <v>6</v>
      </c>
      <c r="BE271" t="s">
        <v>6</v>
      </c>
      <c r="BF271" t="s">
        <v>6</v>
      </c>
      <c r="BG271" t="s">
        <v>6</v>
      </c>
      <c r="BH271">
        <v>0</v>
      </c>
      <c r="BI271">
        <v>1</v>
      </c>
      <c r="BJ271" t="s">
        <v>498</v>
      </c>
      <c r="BM271">
        <v>16001</v>
      </c>
      <c r="BN271">
        <v>0</v>
      </c>
      <c r="BO271" t="s">
        <v>1327</v>
      </c>
      <c r="BP271">
        <v>1</v>
      </c>
      <c r="BQ271">
        <v>2</v>
      </c>
      <c r="BR271">
        <v>0</v>
      </c>
      <c r="BS271">
        <v>24.22</v>
      </c>
      <c r="BT271">
        <v>1</v>
      </c>
      <c r="BU271">
        <v>1</v>
      </c>
      <c r="BV271">
        <v>1</v>
      </c>
      <c r="BW271">
        <v>1</v>
      </c>
      <c r="BX271">
        <v>1</v>
      </c>
      <c r="BY271" t="s">
        <v>6</v>
      </c>
      <c r="BZ271">
        <v>121</v>
      </c>
      <c r="CA271">
        <v>72</v>
      </c>
      <c r="CB271" t="s">
        <v>6</v>
      </c>
      <c r="CE271">
        <v>0</v>
      </c>
      <c r="CF271">
        <v>0</v>
      </c>
      <c r="CG271">
        <v>0</v>
      </c>
      <c r="CM271">
        <v>0</v>
      </c>
      <c r="CN271" t="s">
        <v>6</v>
      </c>
      <c r="CO271">
        <v>0</v>
      </c>
      <c r="CP271">
        <f t="shared" si="291"/>
        <v>8624.1</v>
      </c>
      <c r="CQ271">
        <f t="shared" si="320"/>
        <v>3974.01</v>
      </c>
      <c r="CR271">
        <f t="shared" si="292"/>
        <v>4.1112500000000001</v>
      </c>
      <c r="CS271">
        <f t="shared" si="293"/>
        <v>0.37375000000000003</v>
      </c>
      <c r="CT271">
        <f t="shared" si="294"/>
        <v>813.04655000000002</v>
      </c>
      <c r="CU271">
        <f t="shared" si="295"/>
        <v>0</v>
      </c>
      <c r="CV271">
        <f t="shared" si="296"/>
        <v>84.957399999999993</v>
      </c>
      <c r="CW271">
        <f t="shared" si="297"/>
        <v>2.8750000000000001E-2</v>
      </c>
      <c r="CX271">
        <f t="shared" si="298"/>
        <v>0</v>
      </c>
      <c r="CY271">
        <f t="shared" si="299"/>
        <v>1594.4593500000003</v>
      </c>
      <c r="CZ271">
        <f t="shared" si="300"/>
        <v>896.05980000000011</v>
      </c>
      <c r="DC271" t="s">
        <v>6</v>
      </c>
      <c r="DD271" t="s">
        <v>6</v>
      </c>
      <c r="DE271" t="s">
        <v>126</v>
      </c>
      <c r="DF271" t="s">
        <v>126</v>
      </c>
      <c r="DG271" t="s">
        <v>127</v>
      </c>
      <c r="DH271" t="s">
        <v>6</v>
      </c>
      <c r="DI271" t="s">
        <v>127</v>
      </c>
      <c r="DJ271" t="s">
        <v>126</v>
      </c>
      <c r="DK271" t="s">
        <v>6</v>
      </c>
      <c r="DL271" t="s">
        <v>6</v>
      </c>
      <c r="DM271" t="s">
        <v>6</v>
      </c>
      <c r="DN271">
        <v>0</v>
      </c>
      <c r="DO271">
        <v>0</v>
      </c>
      <c r="DP271">
        <v>1</v>
      </c>
      <c r="DQ271">
        <v>1</v>
      </c>
      <c r="DU271">
        <v>1013</v>
      </c>
      <c r="DV271" t="s">
        <v>490</v>
      </c>
      <c r="DW271" t="s">
        <v>490</v>
      </c>
      <c r="DX271">
        <v>1</v>
      </c>
      <c r="DZ271" t="s">
        <v>6</v>
      </c>
      <c r="EA271" t="s">
        <v>6</v>
      </c>
      <c r="EB271" t="s">
        <v>6</v>
      </c>
      <c r="EC271" t="s">
        <v>6</v>
      </c>
      <c r="EE271">
        <v>30852938</v>
      </c>
      <c r="EF271">
        <v>2</v>
      </c>
      <c r="EG271" t="s">
        <v>26</v>
      </c>
      <c r="EH271">
        <v>0</v>
      </c>
      <c r="EI271" t="s">
        <v>6</v>
      </c>
      <c r="EJ271">
        <v>1</v>
      </c>
      <c r="EK271">
        <v>16001</v>
      </c>
      <c r="EL271" t="s">
        <v>493</v>
      </c>
      <c r="EM271" t="s">
        <v>494</v>
      </c>
      <c r="EO271" t="s">
        <v>6</v>
      </c>
      <c r="EQ271">
        <v>131072</v>
      </c>
      <c r="ER271">
        <v>4591.6499999999996</v>
      </c>
      <c r="ES271">
        <v>3974.01</v>
      </c>
      <c r="ET271">
        <v>2.86</v>
      </c>
      <c r="EU271">
        <v>0.26</v>
      </c>
      <c r="EV271">
        <v>614.78</v>
      </c>
      <c r="EW271">
        <v>64.239999999999995</v>
      </c>
      <c r="EX271">
        <v>0.02</v>
      </c>
      <c r="EY271">
        <v>0</v>
      </c>
      <c r="FQ271">
        <v>0</v>
      </c>
      <c r="FR271">
        <f t="shared" si="301"/>
        <v>0</v>
      </c>
      <c r="FS271">
        <v>0</v>
      </c>
      <c r="FT271" t="s">
        <v>29</v>
      </c>
      <c r="FU271" t="s">
        <v>30</v>
      </c>
      <c r="FX271">
        <v>108.9</v>
      </c>
      <c r="FY271">
        <v>61.2</v>
      </c>
      <c r="GA271" t="s">
        <v>6</v>
      </c>
      <c r="GD271">
        <v>1</v>
      </c>
      <c r="GF271">
        <v>1900480355</v>
      </c>
      <c r="GG271">
        <v>2</v>
      </c>
      <c r="GH271">
        <v>1</v>
      </c>
      <c r="GI271">
        <v>4</v>
      </c>
      <c r="GJ271">
        <v>0</v>
      </c>
      <c r="GK271">
        <v>0</v>
      </c>
      <c r="GL271">
        <f t="shared" si="302"/>
        <v>0</v>
      </c>
      <c r="GM271">
        <f t="shared" si="303"/>
        <v>11114.62</v>
      </c>
      <c r="GN271">
        <f t="shared" si="304"/>
        <v>11114.62</v>
      </c>
      <c r="GO271">
        <f t="shared" si="305"/>
        <v>0</v>
      </c>
      <c r="GP271">
        <f t="shared" si="306"/>
        <v>0</v>
      </c>
      <c r="GR271">
        <v>0</v>
      </c>
      <c r="GS271">
        <v>0</v>
      </c>
      <c r="GT271">
        <v>0</v>
      </c>
      <c r="GU271" t="s">
        <v>6</v>
      </c>
      <c r="GV271">
        <f t="shared" si="307"/>
        <v>0</v>
      </c>
      <c r="GW271">
        <v>1</v>
      </c>
      <c r="GX271">
        <f t="shared" si="308"/>
        <v>0</v>
      </c>
      <c r="HA271">
        <v>0</v>
      </c>
      <c r="HB271">
        <v>0</v>
      </c>
      <c r="HC271">
        <f t="shared" si="309"/>
        <v>0</v>
      </c>
      <c r="HE271" t="s">
        <v>6</v>
      </c>
      <c r="HF271" t="s">
        <v>6</v>
      </c>
      <c r="HI271">
        <f t="shared" si="310"/>
        <v>16</v>
      </c>
      <c r="HJ271">
        <f t="shared" si="311"/>
        <v>35445</v>
      </c>
      <c r="HK271">
        <f t="shared" si="312"/>
        <v>38617</v>
      </c>
      <c r="HL271">
        <f t="shared" si="313"/>
        <v>21702</v>
      </c>
      <c r="HM271" t="s">
        <v>6</v>
      </c>
      <c r="HN271" t="s">
        <v>6</v>
      </c>
      <c r="HO271" t="s">
        <v>6</v>
      </c>
      <c r="HP271" t="s">
        <v>6</v>
      </c>
      <c r="HQ271" t="s">
        <v>6</v>
      </c>
      <c r="IK271">
        <v>0</v>
      </c>
    </row>
    <row r="272" spans="1:245">
      <c r="A272">
        <v>17</v>
      </c>
      <c r="B272">
        <v>1</v>
      </c>
      <c r="C272">
        <f>ROW(SmtRes!A681)</f>
        <v>681</v>
      </c>
      <c r="D272">
        <f>ROW(EtalonRes!A712)</f>
        <v>712</v>
      </c>
      <c r="E272" t="s">
        <v>640</v>
      </c>
      <c r="F272" t="s">
        <v>500</v>
      </c>
      <c r="G272" t="s">
        <v>641</v>
      </c>
      <c r="H272" t="s">
        <v>490</v>
      </c>
      <c r="I272">
        <f>ROUND(50*4/100,7)</f>
        <v>2</v>
      </c>
      <c r="J272">
        <v>0</v>
      </c>
      <c r="K272">
        <f>ROUND(50*4/100,7)</f>
        <v>2</v>
      </c>
      <c r="O272">
        <f t="shared" si="278"/>
        <v>14698.91</v>
      </c>
      <c r="P272">
        <f t="shared" si="314"/>
        <v>13120.74</v>
      </c>
      <c r="Q272">
        <f t="shared" si="279"/>
        <v>18.920000000000002</v>
      </c>
      <c r="R272">
        <f t="shared" si="280"/>
        <v>1.87</v>
      </c>
      <c r="S272">
        <f t="shared" si="281"/>
        <v>1559.25</v>
      </c>
      <c r="T272">
        <f t="shared" si="282"/>
        <v>0</v>
      </c>
      <c r="U272">
        <f t="shared" si="283"/>
        <v>162.93200000000002</v>
      </c>
      <c r="V272">
        <f t="shared" si="284"/>
        <v>0.14375000000000002</v>
      </c>
      <c r="W272">
        <f t="shared" si="285"/>
        <v>0</v>
      </c>
      <c r="X272">
        <f t="shared" si="286"/>
        <v>1700.06</v>
      </c>
      <c r="Y272">
        <f t="shared" si="287"/>
        <v>955.41</v>
      </c>
      <c r="AA272">
        <v>31028412</v>
      </c>
      <c r="AB272">
        <f t="shared" si="288"/>
        <v>7349.4557249999998</v>
      </c>
      <c r="AC272">
        <f t="shared" si="271"/>
        <v>6560.37</v>
      </c>
      <c r="AD272">
        <f>ROUND(((((ET272*ROUND((1.25*1.15),7)))-((EU272*ROUND((1.25*1.15),7))))+AE272),6)</f>
        <v>9.4587500000000002</v>
      </c>
      <c r="AE272">
        <f>ROUND(((EU272*ROUND((1.25*1.15),7))),6)</f>
        <v>0.93437499999999996</v>
      </c>
      <c r="AF272">
        <f>ROUND(((EV272*ROUND((1.15*1.15),7))),6)</f>
        <v>779.62697500000002</v>
      </c>
      <c r="AG272">
        <f t="shared" si="289"/>
        <v>0</v>
      </c>
      <c r="AH272">
        <f>((EW272*ROUND((1.15*1.15),7)))</f>
        <v>81.466000000000008</v>
      </c>
      <c r="AI272">
        <f>((EX272*ROUND((1.25*1.15),7)))</f>
        <v>7.1875000000000008E-2</v>
      </c>
      <c r="AJ272">
        <f t="shared" si="290"/>
        <v>0</v>
      </c>
      <c r="AK272">
        <v>7156.46</v>
      </c>
      <c r="AL272">
        <v>6560.37</v>
      </c>
      <c r="AM272">
        <v>6.58</v>
      </c>
      <c r="AN272">
        <v>0.65</v>
      </c>
      <c r="AO272">
        <v>589.51</v>
      </c>
      <c r="AP272">
        <v>0</v>
      </c>
      <c r="AQ272">
        <v>61.6</v>
      </c>
      <c r="AR272">
        <v>0.05</v>
      </c>
      <c r="AS272">
        <v>0</v>
      </c>
      <c r="AT272">
        <v>108.9</v>
      </c>
      <c r="AU272">
        <v>61.2</v>
      </c>
      <c r="AV272">
        <v>1</v>
      </c>
      <c r="AW272">
        <v>1</v>
      </c>
      <c r="AZ272">
        <v>1</v>
      </c>
      <c r="BA272">
        <v>24.22</v>
      </c>
      <c r="BB272">
        <v>1</v>
      </c>
      <c r="BC272">
        <v>1</v>
      </c>
      <c r="BD272" t="s">
        <v>6</v>
      </c>
      <c r="BE272" t="s">
        <v>6</v>
      </c>
      <c r="BF272" t="s">
        <v>6</v>
      </c>
      <c r="BG272" t="s">
        <v>6</v>
      </c>
      <c r="BH272">
        <v>0</v>
      </c>
      <c r="BI272">
        <v>1</v>
      </c>
      <c r="BJ272" t="s">
        <v>502</v>
      </c>
      <c r="BM272">
        <v>16001</v>
      </c>
      <c r="BN272">
        <v>0</v>
      </c>
      <c r="BO272" t="s">
        <v>1327</v>
      </c>
      <c r="BP272">
        <v>1</v>
      </c>
      <c r="BQ272">
        <v>2</v>
      </c>
      <c r="BR272">
        <v>0</v>
      </c>
      <c r="BS272">
        <v>24.22</v>
      </c>
      <c r="BT272">
        <v>1</v>
      </c>
      <c r="BU272">
        <v>1</v>
      </c>
      <c r="BV272">
        <v>1</v>
      </c>
      <c r="BW272">
        <v>1</v>
      </c>
      <c r="BX272">
        <v>1</v>
      </c>
      <c r="BY272" t="s">
        <v>6</v>
      </c>
      <c r="BZ272">
        <v>121</v>
      </c>
      <c r="CA272">
        <v>72</v>
      </c>
      <c r="CB272" t="s">
        <v>6</v>
      </c>
      <c r="CE272">
        <v>0</v>
      </c>
      <c r="CF272">
        <v>0</v>
      </c>
      <c r="CG272">
        <v>0</v>
      </c>
      <c r="CM272">
        <v>0</v>
      </c>
      <c r="CN272" t="s">
        <v>6</v>
      </c>
      <c r="CO272">
        <v>0</v>
      </c>
      <c r="CP272">
        <f t="shared" si="291"/>
        <v>14698.91</v>
      </c>
      <c r="CQ272">
        <f t="shared" si="320"/>
        <v>6560.37</v>
      </c>
      <c r="CR272">
        <f t="shared" si="292"/>
        <v>9.4587500000000002</v>
      </c>
      <c r="CS272">
        <f t="shared" si="293"/>
        <v>0.93437499999999996</v>
      </c>
      <c r="CT272">
        <f t="shared" si="294"/>
        <v>779.62697500000002</v>
      </c>
      <c r="CU272">
        <f t="shared" si="295"/>
        <v>0</v>
      </c>
      <c r="CV272">
        <f t="shared" si="296"/>
        <v>81.466000000000008</v>
      </c>
      <c r="CW272">
        <f t="shared" si="297"/>
        <v>7.1875000000000008E-2</v>
      </c>
      <c r="CX272">
        <f t="shared" si="298"/>
        <v>0</v>
      </c>
      <c r="CY272">
        <f t="shared" si="299"/>
        <v>1700.0596799999998</v>
      </c>
      <c r="CZ272">
        <f t="shared" si="300"/>
        <v>955.40544</v>
      </c>
      <c r="DC272" t="s">
        <v>6</v>
      </c>
      <c r="DD272" t="s">
        <v>6</v>
      </c>
      <c r="DE272" t="s">
        <v>126</v>
      </c>
      <c r="DF272" t="s">
        <v>126</v>
      </c>
      <c r="DG272" t="s">
        <v>127</v>
      </c>
      <c r="DH272" t="s">
        <v>6</v>
      </c>
      <c r="DI272" t="s">
        <v>127</v>
      </c>
      <c r="DJ272" t="s">
        <v>126</v>
      </c>
      <c r="DK272" t="s">
        <v>6</v>
      </c>
      <c r="DL272" t="s">
        <v>6</v>
      </c>
      <c r="DM272" t="s">
        <v>6</v>
      </c>
      <c r="DN272">
        <v>0</v>
      </c>
      <c r="DO272">
        <v>0</v>
      </c>
      <c r="DP272">
        <v>1</v>
      </c>
      <c r="DQ272">
        <v>1</v>
      </c>
      <c r="DU272">
        <v>1013</v>
      </c>
      <c r="DV272" t="s">
        <v>490</v>
      </c>
      <c r="DW272" t="s">
        <v>490</v>
      </c>
      <c r="DX272">
        <v>1</v>
      </c>
      <c r="DZ272" t="s">
        <v>6</v>
      </c>
      <c r="EA272" t="s">
        <v>6</v>
      </c>
      <c r="EB272" t="s">
        <v>6</v>
      </c>
      <c r="EC272" t="s">
        <v>6</v>
      </c>
      <c r="EE272">
        <v>30852938</v>
      </c>
      <c r="EF272">
        <v>2</v>
      </c>
      <c r="EG272" t="s">
        <v>26</v>
      </c>
      <c r="EH272">
        <v>0</v>
      </c>
      <c r="EI272" t="s">
        <v>6</v>
      </c>
      <c r="EJ272">
        <v>1</v>
      </c>
      <c r="EK272">
        <v>16001</v>
      </c>
      <c r="EL272" t="s">
        <v>493</v>
      </c>
      <c r="EM272" t="s">
        <v>494</v>
      </c>
      <c r="EO272" t="s">
        <v>6</v>
      </c>
      <c r="EQ272">
        <v>131072</v>
      </c>
      <c r="ER272">
        <v>7156.46</v>
      </c>
      <c r="ES272">
        <v>6560.37</v>
      </c>
      <c r="ET272">
        <v>6.58</v>
      </c>
      <c r="EU272">
        <v>0.65</v>
      </c>
      <c r="EV272">
        <v>589.51</v>
      </c>
      <c r="EW272">
        <v>61.6</v>
      </c>
      <c r="EX272">
        <v>0.05</v>
      </c>
      <c r="EY272">
        <v>0</v>
      </c>
      <c r="FQ272">
        <v>0</v>
      </c>
      <c r="FR272">
        <f t="shared" si="301"/>
        <v>0</v>
      </c>
      <c r="FS272">
        <v>0</v>
      </c>
      <c r="FT272" t="s">
        <v>29</v>
      </c>
      <c r="FU272" t="s">
        <v>30</v>
      </c>
      <c r="FX272">
        <v>108.9</v>
      </c>
      <c r="FY272">
        <v>61.2</v>
      </c>
      <c r="GA272" t="s">
        <v>6</v>
      </c>
      <c r="GD272">
        <v>1</v>
      </c>
      <c r="GF272">
        <v>1238199205</v>
      </c>
      <c r="GG272">
        <v>2</v>
      </c>
      <c r="GH272">
        <v>1</v>
      </c>
      <c r="GI272">
        <v>4</v>
      </c>
      <c r="GJ272">
        <v>0</v>
      </c>
      <c r="GK272">
        <v>0</v>
      </c>
      <c r="GL272">
        <f t="shared" si="302"/>
        <v>0</v>
      </c>
      <c r="GM272">
        <f t="shared" si="303"/>
        <v>17354.38</v>
      </c>
      <c r="GN272">
        <f t="shared" si="304"/>
        <v>17354.38</v>
      </c>
      <c r="GO272">
        <f t="shared" si="305"/>
        <v>0</v>
      </c>
      <c r="GP272">
        <f t="shared" si="306"/>
        <v>0</v>
      </c>
      <c r="GR272">
        <v>0</v>
      </c>
      <c r="GS272">
        <v>0</v>
      </c>
      <c r="GT272">
        <v>0</v>
      </c>
      <c r="GU272" t="s">
        <v>6</v>
      </c>
      <c r="GV272">
        <f t="shared" si="307"/>
        <v>0</v>
      </c>
      <c r="GW272">
        <v>1</v>
      </c>
      <c r="GX272">
        <f t="shared" si="308"/>
        <v>0</v>
      </c>
      <c r="HA272">
        <v>0</v>
      </c>
      <c r="HB272">
        <v>0</v>
      </c>
      <c r="HC272">
        <f t="shared" si="309"/>
        <v>0</v>
      </c>
      <c r="HE272" t="s">
        <v>6</v>
      </c>
      <c r="HF272" t="s">
        <v>6</v>
      </c>
      <c r="HI272">
        <f t="shared" si="310"/>
        <v>45</v>
      </c>
      <c r="HJ272">
        <f t="shared" si="311"/>
        <v>37765</v>
      </c>
      <c r="HK272">
        <f t="shared" si="312"/>
        <v>41175</v>
      </c>
      <c r="HL272">
        <f t="shared" si="313"/>
        <v>23140</v>
      </c>
      <c r="HM272" t="s">
        <v>6</v>
      </c>
      <c r="HN272" t="s">
        <v>6</v>
      </c>
      <c r="HO272" t="s">
        <v>6</v>
      </c>
      <c r="HP272" t="s">
        <v>6</v>
      </c>
      <c r="HQ272" t="s">
        <v>6</v>
      </c>
      <c r="IK272">
        <v>0</v>
      </c>
    </row>
    <row r="273" spans="1:245">
      <c r="A273">
        <v>17</v>
      </c>
      <c r="B273">
        <v>1</v>
      </c>
      <c r="C273">
        <f>ROW(SmtRes!A697)</f>
        <v>697</v>
      </c>
      <c r="D273">
        <f>ROW(EtalonRes!A728)</f>
        <v>728</v>
      </c>
      <c r="E273" t="s">
        <v>642</v>
      </c>
      <c r="F273" t="s">
        <v>643</v>
      </c>
      <c r="G273" t="s">
        <v>644</v>
      </c>
      <c r="H273" t="s">
        <v>645</v>
      </c>
      <c r="I273">
        <f>ROUND(3*4*2/10,7)</f>
        <v>2.4</v>
      </c>
      <c r="J273">
        <v>0</v>
      </c>
      <c r="K273">
        <f>ROUND(3*4*2/10,7)</f>
        <v>2.4</v>
      </c>
      <c r="O273">
        <f t="shared" si="278"/>
        <v>9750.25</v>
      </c>
      <c r="P273">
        <f t="shared" si="314"/>
        <v>8873.6200000000008</v>
      </c>
      <c r="Q273">
        <f t="shared" si="279"/>
        <v>158.66999999999999</v>
      </c>
      <c r="R273">
        <f t="shared" si="280"/>
        <v>14.39</v>
      </c>
      <c r="S273">
        <f t="shared" si="281"/>
        <v>717.96</v>
      </c>
      <c r="T273">
        <f t="shared" si="282"/>
        <v>0</v>
      </c>
      <c r="U273">
        <f t="shared" si="283"/>
        <v>78.207359999999994</v>
      </c>
      <c r="V273">
        <f t="shared" si="284"/>
        <v>1.1040000000000001</v>
      </c>
      <c r="W273">
        <f t="shared" si="285"/>
        <v>0</v>
      </c>
      <c r="X273">
        <f t="shared" si="286"/>
        <v>797.53</v>
      </c>
      <c r="Y273">
        <f t="shared" si="287"/>
        <v>448.2</v>
      </c>
      <c r="AA273">
        <v>31028412</v>
      </c>
      <c r="AB273">
        <f t="shared" si="288"/>
        <v>4062.6001249999999</v>
      </c>
      <c r="AC273">
        <f t="shared" si="271"/>
        <v>3697.34</v>
      </c>
      <c r="AD273">
        <f>ROUND(((((ET273*ROUND((1.25*1.15),7)))-((EU273*ROUND((1.25*1.15),7))))+AE273),6)</f>
        <v>66.110624999999999</v>
      </c>
      <c r="AE273">
        <f>ROUND(((EU273*ROUND((1.25*1.15),7))),6)</f>
        <v>5.9943749999999998</v>
      </c>
      <c r="AF273">
        <f>ROUND(((EV273*ROUND((1.15*1.15),7))),6)</f>
        <v>299.14949999999999</v>
      </c>
      <c r="AG273">
        <f t="shared" si="289"/>
        <v>0</v>
      </c>
      <c r="AH273">
        <f>((EW273*ROUND((1.15*1.15),7)))</f>
        <v>32.586399999999998</v>
      </c>
      <c r="AI273">
        <f>((EX273*ROUND((1.25*1.15),7)))</f>
        <v>0.46</v>
      </c>
      <c r="AJ273">
        <f t="shared" si="290"/>
        <v>0</v>
      </c>
      <c r="AK273">
        <v>3969.53</v>
      </c>
      <c r="AL273">
        <v>3697.34</v>
      </c>
      <c r="AM273">
        <v>45.99</v>
      </c>
      <c r="AN273">
        <v>4.17</v>
      </c>
      <c r="AO273">
        <v>226.2</v>
      </c>
      <c r="AP273">
        <v>0</v>
      </c>
      <c r="AQ273">
        <v>24.64</v>
      </c>
      <c r="AR273">
        <v>0.32</v>
      </c>
      <c r="AS273">
        <v>0</v>
      </c>
      <c r="AT273">
        <v>108.9</v>
      </c>
      <c r="AU273">
        <v>61.2</v>
      </c>
      <c r="AV273">
        <v>1</v>
      </c>
      <c r="AW273">
        <v>1</v>
      </c>
      <c r="AZ273">
        <v>1</v>
      </c>
      <c r="BA273">
        <v>24.22</v>
      </c>
      <c r="BB273">
        <v>1</v>
      </c>
      <c r="BC273">
        <v>1</v>
      </c>
      <c r="BD273" t="s">
        <v>6</v>
      </c>
      <c r="BE273" t="s">
        <v>6</v>
      </c>
      <c r="BF273" t="s">
        <v>6</v>
      </c>
      <c r="BG273" t="s">
        <v>6</v>
      </c>
      <c r="BH273">
        <v>0</v>
      </c>
      <c r="BI273">
        <v>1</v>
      </c>
      <c r="BJ273" t="s">
        <v>646</v>
      </c>
      <c r="BM273">
        <v>17001</v>
      </c>
      <c r="BN273">
        <v>0</v>
      </c>
      <c r="BO273" t="s">
        <v>1327</v>
      </c>
      <c r="BP273">
        <v>1</v>
      </c>
      <c r="BQ273">
        <v>2</v>
      </c>
      <c r="BR273">
        <v>0</v>
      </c>
      <c r="BS273">
        <v>24.22</v>
      </c>
      <c r="BT273">
        <v>1</v>
      </c>
      <c r="BU273">
        <v>1</v>
      </c>
      <c r="BV273">
        <v>1</v>
      </c>
      <c r="BW273">
        <v>1</v>
      </c>
      <c r="BX273">
        <v>1</v>
      </c>
      <c r="BY273" t="s">
        <v>6</v>
      </c>
      <c r="BZ273">
        <v>121</v>
      </c>
      <c r="CA273">
        <v>72</v>
      </c>
      <c r="CB273" t="s">
        <v>6</v>
      </c>
      <c r="CE273">
        <v>0</v>
      </c>
      <c r="CF273">
        <v>0</v>
      </c>
      <c r="CG273">
        <v>0</v>
      </c>
      <c r="CM273">
        <v>0</v>
      </c>
      <c r="CN273" t="s">
        <v>6</v>
      </c>
      <c r="CO273">
        <v>0</v>
      </c>
      <c r="CP273">
        <f t="shared" si="291"/>
        <v>9750.25</v>
      </c>
      <c r="CQ273">
        <f t="shared" si="320"/>
        <v>3697.34</v>
      </c>
      <c r="CR273">
        <f t="shared" si="292"/>
        <v>66.110624999999999</v>
      </c>
      <c r="CS273">
        <f t="shared" si="293"/>
        <v>5.9943749999999998</v>
      </c>
      <c r="CT273">
        <f t="shared" si="294"/>
        <v>299.14949999999999</v>
      </c>
      <c r="CU273">
        <f t="shared" si="295"/>
        <v>0</v>
      </c>
      <c r="CV273">
        <f t="shared" si="296"/>
        <v>32.586399999999998</v>
      </c>
      <c r="CW273">
        <f t="shared" si="297"/>
        <v>0.46</v>
      </c>
      <c r="CX273">
        <f t="shared" si="298"/>
        <v>0</v>
      </c>
      <c r="CY273">
        <f t="shared" si="299"/>
        <v>797.52915000000007</v>
      </c>
      <c r="CZ273">
        <f t="shared" si="300"/>
        <v>448.19820000000004</v>
      </c>
      <c r="DC273" t="s">
        <v>6</v>
      </c>
      <c r="DD273" t="s">
        <v>6</v>
      </c>
      <c r="DE273" t="s">
        <v>126</v>
      </c>
      <c r="DF273" t="s">
        <v>126</v>
      </c>
      <c r="DG273" t="s">
        <v>127</v>
      </c>
      <c r="DH273" t="s">
        <v>6</v>
      </c>
      <c r="DI273" t="s">
        <v>127</v>
      </c>
      <c r="DJ273" t="s">
        <v>126</v>
      </c>
      <c r="DK273" t="s">
        <v>6</v>
      </c>
      <c r="DL273" t="s">
        <v>6</v>
      </c>
      <c r="DM273" t="s">
        <v>6</v>
      </c>
      <c r="DN273">
        <v>0</v>
      </c>
      <c r="DO273">
        <v>0</v>
      </c>
      <c r="DP273">
        <v>1</v>
      </c>
      <c r="DQ273">
        <v>1</v>
      </c>
      <c r="DU273">
        <v>1013</v>
      </c>
      <c r="DV273" t="s">
        <v>645</v>
      </c>
      <c r="DW273" t="s">
        <v>645</v>
      </c>
      <c r="DX273">
        <v>1</v>
      </c>
      <c r="DZ273" t="s">
        <v>6</v>
      </c>
      <c r="EA273" t="s">
        <v>6</v>
      </c>
      <c r="EB273" t="s">
        <v>6</v>
      </c>
      <c r="EC273" t="s">
        <v>6</v>
      </c>
      <c r="EE273">
        <v>30852940</v>
      </c>
      <c r="EF273">
        <v>2</v>
      </c>
      <c r="EG273" t="s">
        <v>26</v>
      </c>
      <c r="EH273">
        <v>0</v>
      </c>
      <c r="EI273" t="s">
        <v>6</v>
      </c>
      <c r="EJ273">
        <v>1</v>
      </c>
      <c r="EK273">
        <v>17001</v>
      </c>
      <c r="EL273" t="s">
        <v>647</v>
      </c>
      <c r="EM273" t="s">
        <v>648</v>
      </c>
      <c r="EO273" t="s">
        <v>6</v>
      </c>
      <c r="EQ273">
        <v>131072</v>
      </c>
      <c r="ER273">
        <v>3969.53</v>
      </c>
      <c r="ES273">
        <v>3697.34</v>
      </c>
      <c r="ET273">
        <v>45.99</v>
      </c>
      <c r="EU273">
        <v>4.17</v>
      </c>
      <c r="EV273">
        <v>226.2</v>
      </c>
      <c r="EW273">
        <v>24.64</v>
      </c>
      <c r="EX273">
        <v>0.32</v>
      </c>
      <c r="EY273">
        <v>0</v>
      </c>
      <c r="FQ273">
        <v>0</v>
      </c>
      <c r="FR273">
        <f t="shared" si="301"/>
        <v>0</v>
      </c>
      <c r="FS273">
        <v>0</v>
      </c>
      <c r="FT273" t="s">
        <v>29</v>
      </c>
      <c r="FU273" t="s">
        <v>30</v>
      </c>
      <c r="FX273">
        <v>108.9</v>
      </c>
      <c r="FY273">
        <v>61.2</v>
      </c>
      <c r="GA273" t="s">
        <v>6</v>
      </c>
      <c r="GD273">
        <v>1</v>
      </c>
      <c r="GF273">
        <v>-634702889</v>
      </c>
      <c r="GG273">
        <v>2</v>
      </c>
      <c r="GH273">
        <v>1</v>
      </c>
      <c r="GI273">
        <v>4</v>
      </c>
      <c r="GJ273">
        <v>0</v>
      </c>
      <c r="GK273">
        <v>0</v>
      </c>
      <c r="GL273">
        <f t="shared" si="302"/>
        <v>0</v>
      </c>
      <c r="GM273">
        <f t="shared" si="303"/>
        <v>10995.98</v>
      </c>
      <c r="GN273">
        <f t="shared" si="304"/>
        <v>10995.98</v>
      </c>
      <c r="GO273">
        <f t="shared" si="305"/>
        <v>0</v>
      </c>
      <c r="GP273">
        <f t="shared" si="306"/>
        <v>0</v>
      </c>
      <c r="GR273">
        <v>0</v>
      </c>
      <c r="GS273">
        <v>0</v>
      </c>
      <c r="GT273">
        <v>0</v>
      </c>
      <c r="GU273" t="s">
        <v>6</v>
      </c>
      <c r="GV273">
        <f t="shared" si="307"/>
        <v>0</v>
      </c>
      <c r="GW273">
        <v>1</v>
      </c>
      <c r="GX273">
        <f t="shared" si="308"/>
        <v>0</v>
      </c>
      <c r="HA273">
        <v>0</v>
      </c>
      <c r="HB273">
        <v>0</v>
      </c>
      <c r="HC273">
        <f t="shared" si="309"/>
        <v>0</v>
      </c>
      <c r="HE273" t="s">
        <v>6</v>
      </c>
      <c r="HF273" t="s">
        <v>6</v>
      </c>
      <c r="HI273">
        <f t="shared" si="310"/>
        <v>349</v>
      </c>
      <c r="HJ273">
        <f t="shared" si="311"/>
        <v>17389</v>
      </c>
      <c r="HK273">
        <f t="shared" si="312"/>
        <v>19317</v>
      </c>
      <c r="HL273">
        <f t="shared" si="313"/>
        <v>10856</v>
      </c>
      <c r="HM273" t="s">
        <v>6</v>
      </c>
      <c r="HN273" t="s">
        <v>6</v>
      </c>
      <c r="HO273" t="s">
        <v>6</v>
      </c>
      <c r="HP273" t="s">
        <v>6</v>
      </c>
      <c r="HQ273" t="s">
        <v>6</v>
      </c>
      <c r="IK273">
        <v>0</v>
      </c>
    </row>
    <row r="274" spans="1:245">
      <c r="A274">
        <v>17</v>
      </c>
      <c r="B274">
        <v>1</v>
      </c>
      <c r="C274">
        <f>ROW(SmtRes!A710)</f>
        <v>710</v>
      </c>
      <c r="D274">
        <f>ROW(EtalonRes!A741)</f>
        <v>741</v>
      </c>
      <c r="E274" t="s">
        <v>649</v>
      </c>
      <c r="F274" t="s">
        <v>650</v>
      </c>
      <c r="G274" t="s">
        <v>651</v>
      </c>
      <c r="H274" t="s">
        <v>645</v>
      </c>
      <c r="I274">
        <f>ROUND(8*4/10,7)</f>
        <v>3.2</v>
      </c>
      <c r="J274">
        <v>0</v>
      </c>
      <c r="K274">
        <f>ROUND(8*4/10,7)</f>
        <v>3.2</v>
      </c>
      <c r="O274">
        <f t="shared" si="278"/>
        <v>5692.22</v>
      </c>
      <c r="P274">
        <f t="shared" si="314"/>
        <v>4728.0600000000004</v>
      </c>
      <c r="Q274">
        <f t="shared" si="279"/>
        <v>112.98</v>
      </c>
      <c r="R274">
        <f t="shared" si="280"/>
        <v>7.77</v>
      </c>
      <c r="S274">
        <f t="shared" si="281"/>
        <v>851.18</v>
      </c>
      <c r="T274">
        <f t="shared" si="282"/>
        <v>0</v>
      </c>
      <c r="U274">
        <f t="shared" si="283"/>
        <v>91.622799999999998</v>
      </c>
      <c r="V274">
        <f t="shared" si="284"/>
        <v>0.59800000000000009</v>
      </c>
      <c r="W274">
        <f t="shared" si="285"/>
        <v>0</v>
      </c>
      <c r="X274">
        <f t="shared" si="286"/>
        <v>935.4</v>
      </c>
      <c r="Y274">
        <f t="shared" si="287"/>
        <v>525.67999999999995</v>
      </c>
      <c r="AA274">
        <v>31028412</v>
      </c>
      <c r="AB274">
        <f t="shared" si="288"/>
        <v>1778.8194249999999</v>
      </c>
      <c r="AC274">
        <f t="shared" si="271"/>
        <v>1477.52</v>
      </c>
      <c r="AD274">
        <f>ROUND(((((ET274*ROUND((1.25*1.15),7)))-((EU274*ROUND((1.25*1.15),7))))+AE274),6)</f>
        <v>35.305</v>
      </c>
      <c r="AE274">
        <f>ROUND(((EU274*ROUND((1.25*1.15),7))),6)</f>
        <v>2.4293749999999998</v>
      </c>
      <c r="AF274">
        <f>ROUND(((EV274*ROUND((1.15*1.15),7))),6)</f>
        <v>265.99442499999998</v>
      </c>
      <c r="AG274">
        <f t="shared" si="289"/>
        <v>0</v>
      </c>
      <c r="AH274">
        <f>((EW274*ROUND((1.15*1.15),7)))</f>
        <v>28.632124999999998</v>
      </c>
      <c r="AI274">
        <f>((EX274*ROUND((1.25*1.15),7)))</f>
        <v>0.18687500000000001</v>
      </c>
      <c r="AJ274">
        <f t="shared" si="290"/>
        <v>0</v>
      </c>
      <c r="AK274">
        <v>1703.21</v>
      </c>
      <c r="AL274">
        <v>1477.52</v>
      </c>
      <c r="AM274">
        <v>24.56</v>
      </c>
      <c r="AN274">
        <v>1.69</v>
      </c>
      <c r="AO274">
        <v>201.13</v>
      </c>
      <c r="AP274">
        <v>0</v>
      </c>
      <c r="AQ274">
        <v>21.65</v>
      </c>
      <c r="AR274">
        <v>0.13</v>
      </c>
      <c r="AS274">
        <v>0</v>
      </c>
      <c r="AT274">
        <v>108.9</v>
      </c>
      <c r="AU274">
        <v>61.2</v>
      </c>
      <c r="AV274">
        <v>1</v>
      </c>
      <c r="AW274">
        <v>1</v>
      </c>
      <c r="AZ274">
        <v>1</v>
      </c>
      <c r="BA274">
        <v>24.22</v>
      </c>
      <c r="BB274">
        <v>1</v>
      </c>
      <c r="BC274">
        <v>1</v>
      </c>
      <c r="BD274" t="s">
        <v>6</v>
      </c>
      <c r="BE274" t="s">
        <v>6</v>
      </c>
      <c r="BF274" t="s">
        <v>6</v>
      </c>
      <c r="BG274" t="s">
        <v>6</v>
      </c>
      <c r="BH274">
        <v>0</v>
      </c>
      <c r="BI274">
        <v>1</v>
      </c>
      <c r="BJ274" t="s">
        <v>652</v>
      </c>
      <c r="BM274">
        <v>17001</v>
      </c>
      <c r="BN274">
        <v>0</v>
      </c>
      <c r="BO274" t="s">
        <v>1327</v>
      </c>
      <c r="BP274">
        <v>1</v>
      </c>
      <c r="BQ274">
        <v>2</v>
      </c>
      <c r="BR274">
        <v>0</v>
      </c>
      <c r="BS274">
        <v>24.22</v>
      </c>
      <c r="BT274">
        <v>1</v>
      </c>
      <c r="BU274">
        <v>1</v>
      </c>
      <c r="BV274">
        <v>1</v>
      </c>
      <c r="BW274">
        <v>1</v>
      </c>
      <c r="BX274">
        <v>1</v>
      </c>
      <c r="BY274" t="s">
        <v>6</v>
      </c>
      <c r="BZ274">
        <v>121</v>
      </c>
      <c r="CA274">
        <v>72</v>
      </c>
      <c r="CB274" t="s">
        <v>6</v>
      </c>
      <c r="CE274">
        <v>0</v>
      </c>
      <c r="CF274">
        <v>0</v>
      </c>
      <c r="CG274">
        <v>0</v>
      </c>
      <c r="CM274">
        <v>0</v>
      </c>
      <c r="CN274" t="s">
        <v>6</v>
      </c>
      <c r="CO274">
        <v>0</v>
      </c>
      <c r="CP274">
        <f t="shared" si="291"/>
        <v>5692.22</v>
      </c>
      <c r="CQ274">
        <f t="shared" si="320"/>
        <v>1477.52</v>
      </c>
      <c r="CR274">
        <f t="shared" si="292"/>
        <v>35.305</v>
      </c>
      <c r="CS274">
        <f t="shared" si="293"/>
        <v>2.4293749999999998</v>
      </c>
      <c r="CT274">
        <f t="shared" si="294"/>
        <v>265.99442499999998</v>
      </c>
      <c r="CU274">
        <f t="shared" si="295"/>
        <v>0</v>
      </c>
      <c r="CV274">
        <f t="shared" si="296"/>
        <v>28.632124999999998</v>
      </c>
      <c r="CW274">
        <f t="shared" si="297"/>
        <v>0.18687500000000001</v>
      </c>
      <c r="CX274">
        <f t="shared" si="298"/>
        <v>0</v>
      </c>
      <c r="CY274">
        <f t="shared" si="299"/>
        <v>935.39654999999993</v>
      </c>
      <c r="CZ274">
        <f t="shared" si="300"/>
        <v>525.67740000000003</v>
      </c>
      <c r="DC274" t="s">
        <v>6</v>
      </c>
      <c r="DD274" t="s">
        <v>6</v>
      </c>
      <c r="DE274" t="s">
        <v>126</v>
      </c>
      <c r="DF274" t="s">
        <v>126</v>
      </c>
      <c r="DG274" t="s">
        <v>127</v>
      </c>
      <c r="DH274" t="s">
        <v>6</v>
      </c>
      <c r="DI274" t="s">
        <v>127</v>
      </c>
      <c r="DJ274" t="s">
        <v>126</v>
      </c>
      <c r="DK274" t="s">
        <v>6</v>
      </c>
      <c r="DL274" t="s">
        <v>6</v>
      </c>
      <c r="DM274" t="s">
        <v>6</v>
      </c>
      <c r="DN274">
        <v>0</v>
      </c>
      <c r="DO274">
        <v>0</v>
      </c>
      <c r="DP274">
        <v>1</v>
      </c>
      <c r="DQ274">
        <v>1</v>
      </c>
      <c r="DU274">
        <v>1013</v>
      </c>
      <c r="DV274" t="s">
        <v>645</v>
      </c>
      <c r="DW274" t="s">
        <v>645</v>
      </c>
      <c r="DX274">
        <v>1</v>
      </c>
      <c r="DZ274" t="s">
        <v>6</v>
      </c>
      <c r="EA274" t="s">
        <v>6</v>
      </c>
      <c r="EB274" t="s">
        <v>6</v>
      </c>
      <c r="EC274" t="s">
        <v>6</v>
      </c>
      <c r="EE274">
        <v>30852940</v>
      </c>
      <c r="EF274">
        <v>2</v>
      </c>
      <c r="EG274" t="s">
        <v>26</v>
      </c>
      <c r="EH274">
        <v>0</v>
      </c>
      <c r="EI274" t="s">
        <v>6</v>
      </c>
      <c r="EJ274">
        <v>1</v>
      </c>
      <c r="EK274">
        <v>17001</v>
      </c>
      <c r="EL274" t="s">
        <v>647</v>
      </c>
      <c r="EM274" t="s">
        <v>648</v>
      </c>
      <c r="EO274" t="s">
        <v>6</v>
      </c>
      <c r="EQ274">
        <v>131072</v>
      </c>
      <c r="ER274">
        <v>1703.21</v>
      </c>
      <c r="ES274">
        <v>1477.52</v>
      </c>
      <c r="ET274">
        <v>24.56</v>
      </c>
      <c r="EU274">
        <v>1.69</v>
      </c>
      <c r="EV274">
        <v>201.13</v>
      </c>
      <c r="EW274">
        <v>21.65</v>
      </c>
      <c r="EX274">
        <v>0.13</v>
      </c>
      <c r="EY274">
        <v>0</v>
      </c>
      <c r="FQ274">
        <v>0</v>
      </c>
      <c r="FR274">
        <f t="shared" si="301"/>
        <v>0</v>
      </c>
      <c r="FS274">
        <v>0</v>
      </c>
      <c r="FT274" t="s">
        <v>29</v>
      </c>
      <c r="FU274" t="s">
        <v>30</v>
      </c>
      <c r="FX274">
        <v>108.9</v>
      </c>
      <c r="FY274">
        <v>61.2</v>
      </c>
      <c r="GA274" t="s">
        <v>6</v>
      </c>
      <c r="GD274">
        <v>1</v>
      </c>
      <c r="GF274">
        <v>-2026908924</v>
      </c>
      <c r="GG274">
        <v>2</v>
      </c>
      <c r="GH274">
        <v>1</v>
      </c>
      <c r="GI274">
        <v>4</v>
      </c>
      <c r="GJ274">
        <v>0</v>
      </c>
      <c r="GK274">
        <v>0</v>
      </c>
      <c r="GL274">
        <f t="shared" si="302"/>
        <v>0</v>
      </c>
      <c r="GM274">
        <f t="shared" si="303"/>
        <v>7153.3</v>
      </c>
      <c r="GN274">
        <f t="shared" si="304"/>
        <v>7153.3</v>
      </c>
      <c r="GO274">
        <f t="shared" si="305"/>
        <v>0</v>
      </c>
      <c r="GP274">
        <f t="shared" si="306"/>
        <v>0</v>
      </c>
      <c r="GR274">
        <v>0</v>
      </c>
      <c r="GS274">
        <v>0</v>
      </c>
      <c r="GT274">
        <v>0</v>
      </c>
      <c r="GU274" t="s">
        <v>6</v>
      </c>
      <c r="GV274">
        <f t="shared" si="307"/>
        <v>0</v>
      </c>
      <c r="GW274">
        <v>1</v>
      </c>
      <c r="GX274">
        <f t="shared" si="308"/>
        <v>0</v>
      </c>
      <c r="HA274">
        <v>0</v>
      </c>
      <c r="HB274">
        <v>0</v>
      </c>
      <c r="HC274">
        <f t="shared" si="309"/>
        <v>0</v>
      </c>
      <c r="HE274" t="s">
        <v>6</v>
      </c>
      <c r="HF274" t="s">
        <v>6</v>
      </c>
      <c r="HI274">
        <f t="shared" si="310"/>
        <v>188</v>
      </c>
      <c r="HJ274">
        <f t="shared" si="311"/>
        <v>20616</v>
      </c>
      <c r="HK274">
        <f t="shared" si="312"/>
        <v>22656</v>
      </c>
      <c r="HL274">
        <f t="shared" si="313"/>
        <v>12732</v>
      </c>
      <c r="HM274" t="s">
        <v>6</v>
      </c>
      <c r="HN274" t="s">
        <v>6</v>
      </c>
      <c r="HO274" t="s">
        <v>6</v>
      </c>
      <c r="HP274" t="s">
        <v>6</v>
      </c>
      <c r="HQ274" t="s">
        <v>6</v>
      </c>
      <c r="IK274">
        <v>0</v>
      </c>
    </row>
    <row r="275" spans="1:245">
      <c r="A275">
        <v>17</v>
      </c>
      <c r="B275">
        <v>1</v>
      </c>
      <c r="E275" t="s">
        <v>653</v>
      </c>
      <c r="F275" t="s">
        <v>654</v>
      </c>
      <c r="G275" t="s">
        <v>655</v>
      </c>
      <c r="H275" t="s">
        <v>292</v>
      </c>
      <c r="I275">
        <v>32</v>
      </c>
      <c r="J275">
        <v>0</v>
      </c>
      <c r="K275">
        <v>32</v>
      </c>
      <c r="O275">
        <f t="shared" si="278"/>
        <v>10889.6</v>
      </c>
      <c r="P275">
        <f t="shared" si="314"/>
        <v>10889.6</v>
      </c>
      <c r="Q275">
        <f t="shared" si="279"/>
        <v>0</v>
      </c>
      <c r="R275">
        <f t="shared" si="280"/>
        <v>0</v>
      </c>
      <c r="S275">
        <f t="shared" si="281"/>
        <v>0</v>
      </c>
      <c r="T275">
        <f t="shared" si="282"/>
        <v>0</v>
      </c>
      <c r="U275">
        <f t="shared" si="283"/>
        <v>0</v>
      </c>
      <c r="V275">
        <f t="shared" si="284"/>
        <v>0</v>
      </c>
      <c r="W275">
        <f t="shared" si="285"/>
        <v>0</v>
      </c>
      <c r="X275">
        <f t="shared" si="286"/>
        <v>0</v>
      </c>
      <c r="Y275">
        <f t="shared" si="287"/>
        <v>0</v>
      </c>
      <c r="AA275">
        <v>31028412</v>
      </c>
      <c r="AB275">
        <f t="shared" si="288"/>
        <v>340.3</v>
      </c>
      <c r="AC275">
        <f t="shared" si="271"/>
        <v>340.3</v>
      </c>
      <c r="AD275">
        <f>ROUND((((ET275)-(EU275))+AE275),6)</f>
        <v>0</v>
      </c>
      <c r="AE275">
        <f>ROUND((EU275),6)</f>
        <v>0</v>
      </c>
      <c r="AF275">
        <f>ROUND((EV275),6)</f>
        <v>0</v>
      </c>
      <c r="AG275">
        <f t="shared" si="289"/>
        <v>0</v>
      </c>
      <c r="AH275">
        <f>(EW275)</f>
        <v>0</v>
      </c>
      <c r="AI275">
        <f>(EX275)</f>
        <v>0</v>
      </c>
      <c r="AJ275">
        <f t="shared" si="290"/>
        <v>0</v>
      </c>
      <c r="AK275">
        <v>340.3</v>
      </c>
      <c r="AL275">
        <v>340.3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1</v>
      </c>
      <c r="AW275">
        <v>1</v>
      </c>
      <c r="AZ275">
        <v>1</v>
      </c>
      <c r="BA275">
        <v>1</v>
      </c>
      <c r="BB275">
        <v>1</v>
      </c>
      <c r="BC275">
        <v>1</v>
      </c>
      <c r="BD275" t="s">
        <v>6</v>
      </c>
      <c r="BE275" t="s">
        <v>6</v>
      </c>
      <c r="BF275" t="s">
        <v>6</v>
      </c>
      <c r="BG275" t="s">
        <v>6</v>
      </c>
      <c r="BH275">
        <v>3</v>
      </c>
      <c r="BI275">
        <v>1</v>
      </c>
      <c r="BJ275" t="s">
        <v>656</v>
      </c>
      <c r="BM275">
        <v>500001</v>
      </c>
      <c r="BN275">
        <v>0</v>
      </c>
      <c r="BO275" t="s">
        <v>111</v>
      </c>
      <c r="BP275">
        <v>1</v>
      </c>
      <c r="BQ275">
        <v>8</v>
      </c>
      <c r="BR275">
        <v>0</v>
      </c>
      <c r="BS275">
        <v>1</v>
      </c>
      <c r="BT275">
        <v>1</v>
      </c>
      <c r="BU275">
        <v>1</v>
      </c>
      <c r="BV275">
        <v>1</v>
      </c>
      <c r="BW275">
        <v>1</v>
      </c>
      <c r="BX275">
        <v>1</v>
      </c>
      <c r="BY275" t="s">
        <v>6</v>
      </c>
      <c r="BZ275">
        <v>0</v>
      </c>
      <c r="CA275">
        <v>0</v>
      </c>
      <c r="CB275" t="s">
        <v>6</v>
      </c>
      <c r="CE275">
        <v>0</v>
      </c>
      <c r="CF275">
        <v>0</v>
      </c>
      <c r="CG275">
        <v>0</v>
      </c>
      <c r="CM275">
        <v>0</v>
      </c>
      <c r="CN275" t="s">
        <v>6</v>
      </c>
      <c r="CO275">
        <v>0</v>
      </c>
      <c r="CP275">
        <f t="shared" si="291"/>
        <v>10889.6</v>
      </c>
      <c r="CQ275">
        <f t="shared" si="320"/>
        <v>340.3</v>
      </c>
      <c r="CR275">
        <f t="shared" si="292"/>
        <v>0</v>
      </c>
      <c r="CS275">
        <f t="shared" si="293"/>
        <v>0</v>
      </c>
      <c r="CT275">
        <f t="shared" si="294"/>
        <v>0</v>
      </c>
      <c r="CU275">
        <f t="shared" si="295"/>
        <v>0</v>
      </c>
      <c r="CV275">
        <f t="shared" si="296"/>
        <v>0</v>
      </c>
      <c r="CW275">
        <f t="shared" si="297"/>
        <v>0</v>
      </c>
      <c r="CX275">
        <f t="shared" si="298"/>
        <v>0</v>
      </c>
      <c r="CY275">
        <f t="shared" si="299"/>
        <v>0</v>
      </c>
      <c r="CZ275">
        <f t="shared" si="300"/>
        <v>0</v>
      </c>
      <c r="DC275" t="s">
        <v>6</v>
      </c>
      <c r="DD275" t="s">
        <v>6</v>
      </c>
      <c r="DE275" t="s">
        <v>6</v>
      </c>
      <c r="DF275" t="s">
        <v>6</v>
      </c>
      <c r="DG275" t="s">
        <v>6</v>
      </c>
      <c r="DH275" t="s">
        <v>6</v>
      </c>
      <c r="DI275" t="s">
        <v>6</v>
      </c>
      <c r="DJ275" t="s">
        <v>6</v>
      </c>
      <c r="DK275" t="s">
        <v>6</v>
      </c>
      <c r="DL275" t="s">
        <v>6</v>
      </c>
      <c r="DM275" t="s">
        <v>6</v>
      </c>
      <c r="DN275">
        <v>0</v>
      </c>
      <c r="DO275">
        <v>0</v>
      </c>
      <c r="DP275">
        <v>1</v>
      </c>
      <c r="DQ275">
        <v>1</v>
      </c>
      <c r="DU275">
        <v>1013</v>
      </c>
      <c r="DV275" t="s">
        <v>292</v>
      </c>
      <c r="DW275" t="s">
        <v>292</v>
      </c>
      <c r="DX275">
        <v>1</v>
      </c>
      <c r="DZ275" t="s">
        <v>6</v>
      </c>
      <c r="EA275" t="s">
        <v>6</v>
      </c>
      <c r="EB275" t="s">
        <v>6</v>
      </c>
      <c r="EC275" t="s">
        <v>6</v>
      </c>
      <c r="EE275">
        <v>30852824</v>
      </c>
      <c r="EF275">
        <v>8</v>
      </c>
      <c r="EG275" t="s">
        <v>112</v>
      </c>
      <c r="EH275">
        <v>0</v>
      </c>
      <c r="EI275" t="s">
        <v>6</v>
      </c>
      <c r="EJ275">
        <v>1</v>
      </c>
      <c r="EK275">
        <v>500001</v>
      </c>
      <c r="EL275" t="s">
        <v>113</v>
      </c>
      <c r="EM275" t="s">
        <v>114</v>
      </c>
      <c r="EO275" t="s">
        <v>6</v>
      </c>
      <c r="EQ275">
        <v>0</v>
      </c>
      <c r="ER275">
        <v>340.3</v>
      </c>
      <c r="ES275">
        <v>340.3</v>
      </c>
      <c r="ET275">
        <v>0</v>
      </c>
      <c r="EU275">
        <v>0</v>
      </c>
      <c r="EV275">
        <v>0</v>
      </c>
      <c r="EW275">
        <v>0</v>
      </c>
      <c r="EX275">
        <v>0</v>
      </c>
      <c r="EY275">
        <v>0</v>
      </c>
      <c r="FQ275">
        <v>0</v>
      </c>
      <c r="FR275">
        <f t="shared" si="301"/>
        <v>0</v>
      </c>
      <c r="FS275">
        <v>0</v>
      </c>
      <c r="FX275">
        <v>0</v>
      </c>
      <c r="FY275">
        <v>0</v>
      </c>
      <c r="GA275" t="s">
        <v>6</v>
      </c>
      <c r="GD275">
        <v>1</v>
      </c>
      <c r="GF275">
        <v>111391483</v>
      </c>
      <c r="GG275">
        <v>2</v>
      </c>
      <c r="GH275">
        <v>1</v>
      </c>
      <c r="GI275">
        <v>4</v>
      </c>
      <c r="GJ275">
        <v>0</v>
      </c>
      <c r="GK275">
        <v>0</v>
      </c>
      <c r="GL275">
        <f t="shared" si="302"/>
        <v>0</v>
      </c>
      <c r="GM275">
        <f t="shared" si="303"/>
        <v>10889.6</v>
      </c>
      <c r="GN275">
        <f t="shared" si="304"/>
        <v>10889.6</v>
      </c>
      <c r="GO275">
        <f t="shared" si="305"/>
        <v>0</v>
      </c>
      <c r="GP275">
        <f t="shared" si="306"/>
        <v>0</v>
      </c>
      <c r="GR275">
        <v>0</v>
      </c>
      <c r="GS275">
        <v>3</v>
      </c>
      <c r="GT275">
        <v>0</v>
      </c>
      <c r="GU275" t="s">
        <v>6</v>
      </c>
      <c r="GV275">
        <f t="shared" si="307"/>
        <v>0</v>
      </c>
      <c r="GW275">
        <v>1</v>
      </c>
      <c r="GX275">
        <f t="shared" si="308"/>
        <v>0</v>
      </c>
      <c r="HA275">
        <v>0</v>
      </c>
      <c r="HB275">
        <v>0</v>
      </c>
      <c r="HC275">
        <f t="shared" si="309"/>
        <v>0</v>
      </c>
      <c r="HE275" t="s">
        <v>6</v>
      </c>
      <c r="HF275" t="s">
        <v>6</v>
      </c>
      <c r="HI275">
        <f t="shared" si="310"/>
        <v>0</v>
      </c>
      <c r="HJ275">
        <f t="shared" si="311"/>
        <v>0</v>
      </c>
      <c r="HK275">
        <f t="shared" si="312"/>
        <v>0</v>
      </c>
      <c r="HL275">
        <f t="shared" si="313"/>
        <v>0</v>
      </c>
      <c r="HM275" t="s">
        <v>6</v>
      </c>
      <c r="HN275" t="s">
        <v>6</v>
      </c>
      <c r="HO275" t="s">
        <v>6</v>
      </c>
      <c r="HP275" t="s">
        <v>6</v>
      </c>
      <c r="HQ275" t="s">
        <v>6</v>
      </c>
      <c r="IK275">
        <v>0</v>
      </c>
    </row>
    <row r="276" spans="1:245">
      <c r="A276">
        <v>17</v>
      </c>
      <c r="B276">
        <v>1</v>
      </c>
      <c r="C276">
        <f>ROW(SmtRes!A722)</f>
        <v>722</v>
      </c>
      <c r="D276">
        <f>ROW(EtalonRes!A753)</f>
        <v>753</v>
      </c>
      <c r="E276" t="s">
        <v>657</v>
      </c>
      <c r="F276" t="s">
        <v>658</v>
      </c>
      <c r="G276" t="s">
        <v>659</v>
      </c>
      <c r="H276" t="s">
        <v>645</v>
      </c>
      <c r="I276">
        <f>ROUND(2*4/10,7)</f>
        <v>0.8</v>
      </c>
      <c r="J276">
        <v>0</v>
      </c>
      <c r="K276">
        <f>ROUND(2*4/10,7)</f>
        <v>0.8</v>
      </c>
      <c r="O276">
        <f t="shared" si="278"/>
        <v>45951.22</v>
      </c>
      <c r="P276">
        <f t="shared" si="314"/>
        <v>45251.74</v>
      </c>
      <c r="Q276">
        <f t="shared" si="279"/>
        <v>98.35</v>
      </c>
      <c r="R276">
        <f t="shared" si="280"/>
        <v>9.14</v>
      </c>
      <c r="S276">
        <f t="shared" si="281"/>
        <v>601.13</v>
      </c>
      <c r="T276">
        <f t="shared" si="282"/>
        <v>0</v>
      </c>
      <c r="U276">
        <f t="shared" si="283"/>
        <v>64.707279999999997</v>
      </c>
      <c r="V276">
        <f t="shared" si="284"/>
        <v>0.70150000000000001</v>
      </c>
      <c r="W276">
        <f t="shared" si="285"/>
        <v>0</v>
      </c>
      <c r="X276">
        <f t="shared" si="286"/>
        <v>664.58</v>
      </c>
      <c r="Y276">
        <f t="shared" si="287"/>
        <v>373.49</v>
      </c>
      <c r="AA276">
        <v>31028412</v>
      </c>
      <c r="AB276">
        <f t="shared" si="288"/>
        <v>57439.033049999998</v>
      </c>
      <c r="AC276">
        <f t="shared" si="271"/>
        <v>56564.68</v>
      </c>
      <c r="AD276">
        <f>ROUND(((((ET276*ROUND((1.25*1.15),7)))-((EU276*ROUND((1.25*1.15),7))))+AE276),6)</f>
        <v>122.935</v>
      </c>
      <c r="AE276">
        <f>ROUND(((EU276*ROUND((1.25*1.15),7))),6)</f>
        <v>11.428125</v>
      </c>
      <c r="AF276">
        <f>ROUND(((EV276*ROUND((1.15*1.15),7))),6)</f>
        <v>751.41804999999999</v>
      </c>
      <c r="AG276">
        <f t="shared" si="289"/>
        <v>0</v>
      </c>
      <c r="AH276">
        <f>((EW276*ROUND((1.15*1.15),7)))</f>
        <v>80.884099999999989</v>
      </c>
      <c r="AI276">
        <f>((EX276*ROUND((1.25*1.15),7)))</f>
        <v>0.87687499999999996</v>
      </c>
      <c r="AJ276">
        <f t="shared" si="290"/>
        <v>0</v>
      </c>
      <c r="AK276">
        <v>57218.38</v>
      </c>
      <c r="AL276">
        <v>56564.68</v>
      </c>
      <c r="AM276">
        <v>85.52</v>
      </c>
      <c r="AN276">
        <v>7.95</v>
      </c>
      <c r="AO276">
        <v>568.17999999999995</v>
      </c>
      <c r="AP276">
        <v>0</v>
      </c>
      <c r="AQ276">
        <v>61.16</v>
      </c>
      <c r="AR276">
        <v>0.61</v>
      </c>
      <c r="AS276">
        <v>0</v>
      </c>
      <c r="AT276">
        <v>108.9</v>
      </c>
      <c r="AU276">
        <v>61.2</v>
      </c>
      <c r="AV276">
        <v>1</v>
      </c>
      <c r="AW276">
        <v>1</v>
      </c>
      <c r="AZ276">
        <v>1</v>
      </c>
      <c r="BA276">
        <v>24.22</v>
      </c>
      <c r="BB276">
        <v>1</v>
      </c>
      <c r="BC276">
        <v>1</v>
      </c>
      <c r="BD276" t="s">
        <v>6</v>
      </c>
      <c r="BE276" t="s">
        <v>6</v>
      </c>
      <c r="BF276" t="s">
        <v>6</v>
      </c>
      <c r="BG276" t="s">
        <v>6</v>
      </c>
      <c r="BH276">
        <v>0</v>
      </c>
      <c r="BI276">
        <v>1</v>
      </c>
      <c r="BJ276" t="s">
        <v>660</v>
      </c>
      <c r="BM276">
        <v>17001</v>
      </c>
      <c r="BN276">
        <v>0</v>
      </c>
      <c r="BO276" t="s">
        <v>1327</v>
      </c>
      <c r="BP276">
        <v>1</v>
      </c>
      <c r="BQ276">
        <v>2</v>
      </c>
      <c r="BR276">
        <v>0</v>
      </c>
      <c r="BS276">
        <v>24.22</v>
      </c>
      <c r="BT276">
        <v>1</v>
      </c>
      <c r="BU276">
        <v>1</v>
      </c>
      <c r="BV276">
        <v>1</v>
      </c>
      <c r="BW276">
        <v>1</v>
      </c>
      <c r="BX276">
        <v>1</v>
      </c>
      <c r="BY276" t="s">
        <v>6</v>
      </c>
      <c r="BZ276">
        <v>121</v>
      </c>
      <c r="CA276">
        <v>72</v>
      </c>
      <c r="CB276" t="s">
        <v>6</v>
      </c>
      <c r="CE276">
        <v>0</v>
      </c>
      <c r="CF276">
        <v>0</v>
      </c>
      <c r="CG276">
        <v>0</v>
      </c>
      <c r="CM276">
        <v>0</v>
      </c>
      <c r="CN276" t="s">
        <v>6</v>
      </c>
      <c r="CO276">
        <v>0</v>
      </c>
      <c r="CP276">
        <f t="shared" si="291"/>
        <v>45951.219999999994</v>
      </c>
      <c r="CQ276">
        <f t="shared" si="320"/>
        <v>56564.68</v>
      </c>
      <c r="CR276">
        <f t="shared" si="292"/>
        <v>122.935</v>
      </c>
      <c r="CS276">
        <f t="shared" si="293"/>
        <v>11.428125</v>
      </c>
      <c r="CT276">
        <f t="shared" si="294"/>
        <v>751.41804999999999</v>
      </c>
      <c r="CU276">
        <f t="shared" si="295"/>
        <v>0</v>
      </c>
      <c r="CV276">
        <f t="shared" si="296"/>
        <v>80.884099999999989</v>
      </c>
      <c r="CW276">
        <f t="shared" si="297"/>
        <v>0.87687499999999996</v>
      </c>
      <c r="CX276">
        <f t="shared" si="298"/>
        <v>0</v>
      </c>
      <c r="CY276">
        <f t="shared" si="299"/>
        <v>664.5840300000001</v>
      </c>
      <c r="CZ276">
        <f t="shared" si="300"/>
        <v>373.48523999999998</v>
      </c>
      <c r="DC276" t="s">
        <v>6</v>
      </c>
      <c r="DD276" t="s">
        <v>6</v>
      </c>
      <c r="DE276" t="s">
        <v>126</v>
      </c>
      <c r="DF276" t="s">
        <v>126</v>
      </c>
      <c r="DG276" t="s">
        <v>127</v>
      </c>
      <c r="DH276" t="s">
        <v>6</v>
      </c>
      <c r="DI276" t="s">
        <v>127</v>
      </c>
      <c r="DJ276" t="s">
        <v>126</v>
      </c>
      <c r="DK276" t="s">
        <v>6</v>
      </c>
      <c r="DL276" t="s">
        <v>6</v>
      </c>
      <c r="DM276" t="s">
        <v>6</v>
      </c>
      <c r="DN276">
        <v>0</v>
      </c>
      <c r="DO276">
        <v>0</v>
      </c>
      <c r="DP276">
        <v>1</v>
      </c>
      <c r="DQ276">
        <v>1</v>
      </c>
      <c r="DU276">
        <v>1013</v>
      </c>
      <c r="DV276" t="s">
        <v>645</v>
      </c>
      <c r="DW276" t="s">
        <v>645</v>
      </c>
      <c r="DX276">
        <v>1</v>
      </c>
      <c r="DZ276" t="s">
        <v>6</v>
      </c>
      <c r="EA276" t="s">
        <v>6</v>
      </c>
      <c r="EB276" t="s">
        <v>6</v>
      </c>
      <c r="EC276" t="s">
        <v>6</v>
      </c>
      <c r="EE276">
        <v>30852940</v>
      </c>
      <c r="EF276">
        <v>2</v>
      </c>
      <c r="EG276" t="s">
        <v>26</v>
      </c>
      <c r="EH276">
        <v>0</v>
      </c>
      <c r="EI276" t="s">
        <v>6</v>
      </c>
      <c r="EJ276">
        <v>1</v>
      </c>
      <c r="EK276">
        <v>17001</v>
      </c>
      <c r="EL276" t="s">
        <v>647</v>
      </c>
      <c r="EM276" t="s">
        <v>648</v>
      </c>
      <c r="EO276" t="s">
        <v>6</v>
      </c>
      <c r="EQ276">
        <v>131072</v>
      </c>
      <c r="ER276">
        <v>57218.38</v>
      </c>
      <c r="ES276">
        <v>56564.68</v>
      </c>
      <c r="ET276">
        <v>85.52</v>
      </c>
      <c r="EU276">
        <v>7.95</v>
      </c>
      <c r="EV276">
        <v>568.17999999999995</v>
      </c>
      <c r="EW276">
        <v>61.16</v>
      </c>
      <c r="EX276">
        <v>0.61</v>
      </c>
      <c r="EY276">
        <v>0</v>
      </c>
      <c r="FQ276">
        <v>0</v>
      </c>
      <c r="FR276">
        <f t="shared" si="301"/>
        <v>0</v>
      </c>
      <c r="FS276">
        <v>0</v>
      </c>
      <c r="FT276" t="s">
        <v>29</v>
      </c>
      <c r="FU276" t="s">
        <v>30</v>
      </c>
      <c r="FX276">
        <v>108.9</v>
      </c>
      <c r="FY276">
        <v>61.2</v>
      </c>
      <c r="GA276" t="s">
        <v>6</v>
      </c>
      <c r="GD276">
        <v>1</v>
      </c>
      <c r="GF276">
        <v>308615389</v>
      </c>
      <c r="GG276">
        <v>2</v>
      </c>
      <c r="GH276">
        <v>1</v>
      </c>
      <c r="GI276">
        <v>4</v>
      </c>
      <c r="GJ276">
        <v>0</v>
      </c>
      <c r="GK276">
        <v>0</v>
      </c>
      <c r="GL276">
        <f t="shared" si="302"/>
        <v>0</v>
      </c>
      <c r="GM276">
        <f t="shared" si="303"/>
        <v>46989.29</v>
      </c>
      <c r="GN276">
        <f t="shared" si="304"/>
        <v>46989.29</v>
      </c>
      <c r="GO276">
        <f t="shared" si="305"/>
        <v>0</v>
      </c>
      <c r="GP276">
        <f t="shared" si="306"/>
        <v>0</v>
      </c>
      <c r="GR276">
        <v>0</v>
      </c>
      <c r="GS276">
        <v>0</v>
      </c>
      <c r="GT276">
        <v>0</v>
      </c>
      <c r="GU276" t="s">
        <v>6</v>
      </c>
      <c r="GV276">
        <f t="shared" si="307"/>
        <v>0</v>
      </c>
      <c r="GW276">
        <v>1</v>
      </c>
      <c r="GX276">
        <f t="shared" si="308"/>
        <v>0</v>
      </c>
      <c r="HA276">
        <v>0</v>
      </c>
      <c r="HB276">
        <v>0</v>
      </c>
      <c r="HC276">
        <f t="shared" si="309"/>
        <v>0</v>
      </c>
      <c r="HE276" t="s">
        <v>6</v>
      </c>
      <c r="HF276" t="s">
        <v>6</v>
      </c>
      <c r="HI276">
        <f t="shared" si="310"/>
        <v>221</v>
      </c>
      <c r="HJ276">
        <f t="shared" si="311"/>
        <v>14559</v>
      </c>
      <c r="HK276">
        <f t="shared" si="312"/>
        <v>16095</v>
      </c>
      <c r="HL276">
        <f t="shared" si="313"/>
        <v>9045</v>
      </c>
      <c r="HM276" t="s">
        <v>6</v>
      </c>
      <c r="HN276" t="s">
        <v>6</v>
      </c>
      <c r="HO276" t="s">
        <v>6</v>
      </c>
      <c r="HP276" t="s">
        <v>6</v>
      </c>
      <c r="HQ276" t="s">
        <v>6</v>
      </c>
      <c r="IK276">
        <v>0</v>
      </c>
    </row>
    <row r="277" spans="1:245">
      <c r="A277">
        <v>17</v>
      </c>
      <c r="B277">
        <v>1</v>
      </c>
      <c r="E277" t="s">
        <v>661</v>
      </c>
      <c r="F277" t="s">
        <v>662</v>
      </c>
      <c r="G277" t="s">
        <v>663</v>
      </c>
      <c r="H277" t="s">
        <v>292</v>
      </c>
      <c r="I277">
        <v>8</v>
      </c>
      <c r="J277">
        <v>0</v>
      </c>
      <c r="K277">
        <v>8</v>
      </c>
      <c r="O277">
        <f t="shared" si="278"/>
        <v>838.88</v>
      </c>
      <c r="P277">
        <f t="shared" si="314"/>
        <v>838.88</v>
      </c>
      <c r="Q277">
        <f t="shared" si="279"/>
        <v>0</v>
      </c>
      <c r="R277">
        <f t="shared" si="280"/>
        <v>0</v>
      </c>
      <c r="S277">
        <f t="shared" si="281"/>
        <v>0</v>
      </c>
      <c r="T277">
        <f t="shared" si="282"/>
        <v>0</v>
      </c>
      <c r="U277">
        <f t="shared" si="283"/>
        <v>0</v>
      </c>
      <c r="V277">
        <f t="shared" si="284"/>
        <v>0</v>
      </c>
      <c r="W277">
        <f t="shared" si="285"/>
        <v>0</v>
      </c>
      <c r="X277">
        <f t="shared" si="286"/>
        <v>0</v>
      </c>
      <c r="Y277">
        <f t="shared" si="287"/>
        <v>0</v>
      </c>
      <c r="AA277">
        <v>31028412</v>
      </c>
      <c r="AB277">
        <f t="shared" si="288"/>
        <v>104.86</v>
      </c>
      <c r="AC277">
        <f t="shared" si="271"/>
        <v>104.86</v>
      </c>
      <c r="AD277">
        <f>ROUND((((ET277)-(EU277))+AE277),6)</f>
        <v>0</v>
      </c>
      <c r="AE277">
        <f>ROUND((EU277),6)</f>
        <v>0</v>
      </c>
      <c r="AF277">
        <f>ROUND((EV277),6)</f>
        <v>0</v>
      </c>
      <c r="AG277">
        <f t="shared" si="289"/>
        <v>0</v>
      </c>
      <c r="AH277">
        <f>(EW277)</f>
        <v>0</v>
      </c>
      <c r="AI277">
        <f>(EX277)</f>
        <v>0</v>
      </c>
      <c r="AJ277">
        <f t="shared" si="290"/>
        <v>0</v>
      </c>
      <c r="AK277">
        <v>104.86</v>
      </c>
      <c r="AL277">
        <v>104.86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1</v>
      </c>
      <c r="AW277">
        <v>1</v>
      </c>
      <c r="AZ277">
        <v>1</v>
      </c>
      <c r="BA277">
        <v>1</v>
      </c>
      <c r="BB277">
        <v>1</v>
      </c>
      <c r="BC277">
        <v>1</v>
      </c>
      <c r="BD277" t="s">
        <v>6</v>
      </c>
      <c r="BE277" t="s">
        <v>6</v>
      </c>
      <c r="BF277" t="s">
        <v>6</v>
      </c>
      <c r="BG277" t="s">
        <v>6</v>
      </c>
      <c r="BH277">
        <v>3</v>
      </c>
      <c r="BI277">
        <v>1</v>
      </c>
      <c r="BJ277" t="s">
        <v>664</v>
      </c>
      <c r="BM277">
        <v>500001</v>
      </c>
      <c r="BN277">
        <v>0</v>
      </c>
      <c r="BO277" t="s">
        <v>111</v>
      </c>
      <c r="BP277">
        <v>1</v>
      </c>
      <c r="BQ277">
        <v>8</v>
      </c>
      <c r="BR277">
        <v>0</v>
      </c>
      <c r="BS277">
        <v>1</v>
      </c>
      <c r="BT277">
        <v>1</v>
      </c>
      <c r="BU277">
        <v>1</v>
      </c>
      <c r="BV277">
        <v>1</v>
      </c>
      <c r="BW277">
        <v>1</v>
      </c>
      <c r="BX277">
        <v>1</v>
      </c>
      <c r="BY277" t="s">
        <v>6</v>
      </c>
      <c r="BZ277">
        <v>0</v>
      </c>
      <c r="CA277">
        <v>0</v>
      </c>
      <c r="CB277" t="s">
        <v>6</v>
      </c>
      <c r="CE277">
        <v>0</v>
      </c>
      <c r="CF277">
        <v>0</v>
      </c>
      <c r="CG277">
        <v>0</v>
      </c>
      <c r="CM277">
        <v>0</v>
      </c>
      <c r="CN277" t="s">
        <v>6</v>
      </c>
      <c r="CO277">
        <v>0</v>
      </c>
      <c r="CP277">
        <f t="shared" si="291"/>
        <v>838.88</v>
      </c>
      <c r="CQ277">
        <f t="shared" si="320"/>
        <v>104.86</v>
      </c>
      <c r="CR277">
        <f t="shared" si="292"/>
        <v>0</v>
      </c>
      <c r="CS277">
        <f t="shared" si="293"/>
        <v>0</v>
      </c>
      <c r="CT277">
        <f t="shared" si="294"/>
        <v>0</v>
      </c>
      <c r="CU277">
        <f t="shared" si="295"/>
        <v>0</v>
      </c>
      <c r="CV277">
        <f t="shared" si="296"/>
        <v>0</v>
      </c>
      <c r="CW277">
        <f t="shared" si="297"/>
        <v>0</v>
      </c>
      <c r="CX277">
        <f t="shared" si="298"/>
        <v>0</v>
      </c>
      <c r="CY277">
        <f t="shared" si="299"/>
        <v>0</v>
      </c>
      <c r="CZ277">
        <f t="shared" si="300"/>
        <v>0</v>
      </c>
      <c r="DC277" t="s">
        <v>6</v>
      </c>
      <c r="DD277" t="s">
        <v>6</v>
      </c>
      <c r="DE277" t="s">
        <v>6</v>
      </c>
      <c r="DF277" t="s">
        <v>6</v>
      </c>
      <c r="DG277" t="s">
        <v>6</v>
      </c>
      <c r="DH277" t="s">
        <v>6</v>
      </c>
      <c r="DI277" t="s">
        <v>6</v>
      </c>
      <c r="DJ277" t="s">
        <v>6</v>
      </c>
      <c r="DK277" t="s">
        <v>6</v>
      </c>
      <c r="DL277" t="s">
        <v>6</v>
      </c>
      <c r="DM277" t="s">
        <v>6</v>
      </c>
      <c r="DN277">
        <v>0</v>
      </c>
      <c r="DO277">
        <v>0</v>
      </c>
      <c r="DP277">
        <v>1</v>
      </c>
      <c r="DQ277">
        <v>1</v>
      </c>
      <c r="DU277">
        <v>1013</v>
      </c>
      <c r="DV277" t="s">
        <v>292</v>
      </c>
      <c r="DW277" t="s">
        <v>292</v>
      </c>
      <c r="DX277">
        <v>1</v>
      </c>
      <c r="DZ277" t="s">
        <v>6</v>
      </c>
      <c r="EA277" t="s">
        <v>6</v>
      </c>
      <c r="EB277" t="s">
        <v>6</v>
      </c>
      <c r="EC277" t="s">
        <v>6</v>
      </c>
      <c r="EE277">
        <v>30852824</v>
      </c>
      <c r="EF277">
        <v>8</v>
      </c>
      <c r="EG277" t="s">
        <v>112</v>
      </c>
      <c r="EH277">
        <v>0</v>
      </c>
      <c r="EI277" t="s">
        <v>6</v>
      </c>
      <c r="EJ277">
        <v>1</v>
      </c>
      <c r="EK277">
        <v>500001</v>
      </c>
      <c r="EL277" t="s">
        <v>113</v>
      </c>
      <c r="EM277" t="s">
        <v>114</v>
      </c>
      <c r="EO277" t="s">
        <v>6</v>
      </c>
      <c r="EQ277">
        <v>0</v>
      </c>
      <c r="ER277">
        <v>104.86</v>
      </c>
      <c r="ES277">
        <v>104.86</v>
      </c>
      <c r="ET277">
        <v>0</v>
      </c>
      <c r="EU277">
        <v>0</v>
      </c>
      <c r="EV277">
        <v>0</v>
      </c>
      <c r="EW277">
        <v>0</v>
      </c>
      <c r="EX277">
        <v>0</v>
      </c>
      <c r="EY277">
        <v>0</v>
      </c>
      <c r="FQ277">
        <v>0</v>
      </c>
      <c r="FR277">
        <f t="shared" si="301"/>
        <v>0</v>
      </c>
      <c r="FS277">
        <v>0</v>
      </c>
      <c r="FX277">
        <v>0</v>
      </c>
      <c r="FY277">
        <v>0</v>
      </c>
      <c r="GA277" t="s">
        <v>6</v>
      </c>
      <c r="GD277">
        <v>1</v>
      </c>
      <c r="GF277">
        <v>97998260</v>
      </c>
      <c r="GG277">
        <v>2</v>
      </c>
      <c r="GH277">
        <v>1</v>
      </c>
      <c r="GI277">
        <v>4</v>
      </c>
      <c r="GJ277">
        <v>0</v>
      </c>
      <c r="GK277">
        <v>0</v>
      </c>
      <c r="GL277">
        <f t="shared" si="302"/>
        <v>0</v>
      </c>
      <c r="GM277">
        <f t="shared" si="303"/>
        <v>838.88</v>
      </c>
      <c r="GN277">
        <f t="shared" si="304"/>
        <v>838.88</v>
      </c>
      <c r="GO277">
        <f t="shared" si="305"/>
        <v>0</v>
      </c>
      <c r="GP277">
        <f t="shared" si="306"/>
        <v>0</v>
      </c>
      <c r="GR277">
        <v>0</v>
      </c>
      <c r="GS277">
        <v>3</v>
      </c>
      <c r="GT277">
        <v>0</v>
      </c>
      <c r="GU277" t="s">
        <v>6</v>
      </c>
      <c r="GV277">
        <f t="shared" si="307"/>
        <v>0</v>
      </c>
      <c r="GW277">
        <v>1</v>
      </c>
      <c r="GX277">
        <f t="shared" si="308"/>
        <v>0</v>
      </c>
      <c r="HA277">
        <v>0</v>
      </c>
      <c r="HB277">
        <v>0</v>
      </c>
      <c r="HC277">
        <f t="shared" si="309"/>
        <v>0</v>
      </c>
      <c r="HE277" t="s">
        <v>6</v>
      </c>
      <c r="HF277" t="s">
        <v>6</v>
      </c>
      <c r="HI277">
        <f t="shared" si="310"/>
        <v>0</v>
      </c>
      <c r="HJ277">
        <f t="shared" si="311"/>
        <v>0</v>
      </c>
      <c r="HK277">
        <f t="shared" si="312"/>
        <v>0</v>
      </c>
      <c r="HL277">
        <f t="shared" si="313"/>
        <v>0</v>
      </c>
      <c r="HM277" t="s">
        <v>6</v>
      </c>
      <c r="HN277" t="s">
        <v>6</v>
      </c>
      <c r="HO277" t="s">
        <v>6</v>
      </c>
      <c r="HP277" t="s">
        <v>6</v>
      </c>
      <c r="HQ277" t="s">
        <v>6</v>
      </c>
      <c r="IK277">
        <v>0</v>
      </c>
    </row>
    <row r="278" spans="1:245">
      <c r="A278">
        <v>19</v>
      </c>
      <c r="B278">
        <v>1</v>
      </c>
      <c r="F278" t="s">
        <v>6</v>
      </c>
      <c r="G278" t="s">
        <v>485</v>
      </c>
      <c r="H278" t="s">
        <v>6</v>
      </c>
      <c r="AA278">
        <v>1</v>
      </c>
      <c r="IK278">
        <v>0</v>
      </c>
    </row>
    <row r="279" spans="1:245">
      <c r="A279">
        <v>17</v>
      </c>
      <c r="B279">
        <v>1</v>
      </c>
      <c r="C279">
        <f>ROW(SmtRes!A729)</f>
        <v>729</v>
      </c>
      <c r="D279">
        <f>ROW(EtalonRes!A760)</f>
        <v>760</v>
      </c>
      <c r="E279" t="s">
        <v>665</v>
      </c>
      <c r="F279" t="s">
        <v>666</v>
      </c>
      <c r="G279" t="s">
        <v>667</v>
      </c>
      <c r="H279" t="s">
        <v>483</v>
      </c>
      <c r="I279">
        <f>ROUND(200*4/100,7)</f>
        <v>8</v>
      </c>
      <c r="J279">
        <v>0</v>
      </c>
      <c r="K279">
        <f>ROUND(200*4/100,7)</f>
        <v>8</v>
      </c>
      <c r="O279">
        <f>ROUND(CP279,2)</f>
        <v>1642.17</v>
      </c>
      <c r="P279">
        <f>ROUND(CQ279*I279,2)</f>
        <v>283.2</v>
      </c>
      <c r="Q279">
        <f>ROUND(CR279*I279,2)</f>
        <v>33.979999999999997</v>
      </c>
      <c r="R279">
        <f>ROUND(CS279*I279,2)</f>
        <v>2.5</v>
      </c>
      <c r="S279">
        <f>ROUND(CT279*I279,2)</f>
        <v>1324.99</v>
      </c>
      <c r="T279">
        <f>ROUND(CU279*I279,2)</f>
        <v>0</v>
      </c>
      <c r="U279">
        <f>CV279*I279</f>
        <v>145.91999999999999</v>
      </c>
      <c r="V279">
        <f>CW279*I279</f>
        <v>0.192</v>
      </c>
      <c r="W279">
        <f>ROUND(CX279*I279,2)</f>
        <v>0</v>
      </c>
      <c r="X279">
        <f t="shared" ref="X279:Y283" si="321">ROUND(CY279,2)</f>
        <v>1287.67</v>
      </c>
      <c r="Y279">
        <f t="shared" si="321"/>
        <v>677.02</v>
      </c>
      <c r="AA279">
        <v>31028412</v>
      </c>
      <c r="AB279">
        <f>ROUND((AC279+AD279+AF279),6)</f>
        <v>205.27199999999999</v>
      </c>
      <c r="AC279">
        <f>ROUND((ES279),6)</f>
        <v>35.4</v>
      </c>
      <c r="AD279">
        <f>ROUND(((((ET279*ROUND(1.2,7)))-((EU279*ROUND(1.2,7))))+AE279),6)</f>
        <v>4.2480000000000002</v>
      </c>
      <c r="AE279">
        <f t="shared" ref="AE279:AF283" si="322">ROUND(((EU279*ROUND(1.2,7))),6)</f>
        <v>0.312</v>
      </c>
      <c r="AF279">
        <f t="shared" si="322"/>
        <v>165.624</v>
      </c>
      <c r="AG279">
        <f>ROUND((AP279),6)</f>
        <v>0</v>
      </c>
      <c r="AH279">
        <f t="shared" ref="AH279:AI283" si="323">((EW279*ROUND(1.2,7)))</f>
        <v>18.239999999999998</v>
      </c>
      <c r="AI279">
        <f t="shared" si="323"/>
        <v>2.4E-2</v>
      </c>
      <c r="AJ279">
        <f>(AS279)</f>
        <v>0</v>
      </c>
      <c r="AK279">
        <v>176.96</v>
      </c>
      <c r="AL279">
        <v>35.4</v>
      </c>
      <c r="AM279">
        <v>3.54</v>
      </c>
      <c r="AN279">
        <v>0.26</v>
      </c>
      <c r="AO279">
        <v>138.02000000000001</v>
      </c>
      <c r="AP279">
        <v>0</v>
      </c>
      <c r="AQ279">
        <v>15.2</v>
      </c>
      <c r="AR279">
        <v>0.02</v>
      </c>
      <c r="AS279">
        <v>0</v>
      </c>
      <c r="AT279">
        <v>97</v>
      </c>
      <c r="AU279">
        <v>51</v>
      </c>
      <c r="AV279">
        <v>1</v>
      </c>
      <c r="AW279">
        <v>1</v>
      </c>
      <c r="AZ279">
        <v>1</v>
      </c>
      <c r="BA279">
        <v>24.22</v>
      </c>
      <c r="BB279">
        <v>1</v>
      </c>
      <c r="BC279">
        <v>1</v>
      </c>
      <c r="BD279" t="s">
        <v>6</v>
      </c>
      <c r="BE279" t="s">
        <v>6</v>
      </c>
      <c r="BF279" t="s">
        <v>6</v>
      </c>
      <c r="BG279" t="s">
        <v>6</v>
      </c>
      <c r="BH279">
        <v>0</v>
      </c>
      <c r="BI279">
        <v>2</v>
      </c>
      <c r="BJ279" t="s">
        <v>668</v>
      </c>
      <c r="BM279">
        <v>108001</v>
      </c>
      <c r="BN279">
        <v>0</v>
      </c>
      <c r="BO279" t="s">
        <v>1327</v>
      </c>
      <c r="BP279">
        <v>1</v>
      </c>
      <c r="BQ279">
        <v>3</v>
      </c>
      <c r="BR279">
        <v>0</v>
      </c>
      <c r="BS279">
        <v>24.22</v>
      </c>
      <c r="BT279">
        <v>1</v>
      </c>
      <c r="BU279">
        <v>1</v>
      </c>
      <c r="BV279">
        <v>1</v>
      </c>
      <c r="BW279">
        <v>1</v>
      </c>
      <c r="BX279">
        <v>1</v>
      </c>
      <c r="BY279" t="s">
        <v>6</v>
      </c>
      <c r="BZ279">
        <v>97</v>
      </c>
      <c r="CA279">
        <v>51</v>
      </c>
      <c r="CB279" t="s">
        <v>6</v>
      </c>
      <c r="CE279">
        <v>0</v>
      </c>
      <c r="CF279">
        <v>0</v>
      </c>
      <c r="CG279">
        <v>0</v>
      </c>
      <c r="CM279">
        <v>0</v>
      </c>
      <c r="CN279" t="s">
        <v>6</v>
      </c>
      <c r="CO279">
        <v>0</v>
      </c>
      <c r="CP279">
        <f>(P279+Q279+S279)</f>
        <v>1642.17</v>
      </c>
      <c r="CQ279">
        <f>AC279*BC279</f>
        <v>35.4</v>
      </c>
      <c r="CR279">
        <f>AD279*BB279</f>
        <v>4.2480000000000002</v>
      </c>
      <c r="CS279">
        <f t="shared" ref="CS279:CX283" si="324">AE279</f>
        <v>0.312</v>
      </c>
      <c r="CT279">
        <f t="shared" si="324"/>
        <v>165.624</v>
      </c>
      <c r="CU279">
        <f t="shared" si="324"/>
        <v>0</v>
      </c>
      <c r="CV279">
        <f t="shared" si="324"/>
        <v>18.239999999999998</v>
      </c>
      <c r="CW279">
        <f t="shared" si="324"/>
        <v>2.4E-2</v>
      </c>
      <c r="CX279">
        <f t="shared" si="324"/>
        <v>0</v>
      </c>
      <c r="CY279">
        <f>(((S279+R279)*AT279)/100)</f>
        <v>1287.6652999999999</v>
      </c>
      <c r="CZ279">
        <f>(((S279+R279)*AU279)/100)</f>
        <v>677.01990000000001</v>
      </c>
      <c r="DC279" t="s">
        <v>6</v>
      </c>
      <c r="DD279" t="s">
        <v>6</v>
      </c>
      <c r="DE279" t="s">
        <v>669</v>
      </c>
      <c r="DF279" t="s">
        <v>669</v>
      </c>
      <c r="DG279" t="s">
        <v>669</v>
      </c>
      <c r="DH279" t="s">
        <v>6</v>
      </c>
      <c r="DI279" t="s">
        <v>669</v>
      </c>
      <c r="DJ279" t="s">
        <v>669</v>
      </c>
      <c r="DK279" t="s">
        <v>6</v>
      </c>
      <c r="DL279" t="s">
        <v>6</v>
      </c>
      <c r="DM279" t="s">
        <v>6</v>
      </c>
      <c r="DN279">
        <v>0</v>
      </c>
      <c r="DO279">
        <v>0</v>
      </c>
      <c r="DP279">
        <v>1</v>
      </c>
      <c r="DQ279">
        <v>1</v>
      </c>
      <c r="DU279">
        <v>1003</v>
      </c>
      <c r="DV279" t="s">
        <v>483</v>
      </c>
      <c r="DW279" t="s">
        <v>483</v>
      </c>
      <c r="DX279">
        <v>100</v>
      </c>
      <c r="DZ279" t="s">
        <v>6</v>
      </c>
      <c r="EA279" t="s">
        <v>6</v>
      </c>
      <c r="EB279" t="s">
        <v>6</v>
      </c>
      <c r="EC279" t="s">
        <v>6</v>
      </c>
      <c r="EE279">
        <v>30852757</v>
      </c>
      <c r="EF279">
        <v>3</v>
      </c>
      <c r="EG279" t="s">
        <v>670</v>
      </c>
      <c r="EH279">
        <v>0</v>
      </c>
      <c r="EI279" t="s">
        <v>6</v>
      </c>
      <c r="EJ279">
        <v>2</v>
      </c>
      <c r="EK279">
        <v>108001</v>
      </c>
      <c r="EL279" t="s">
        <v>671</v>
      </c>
      <c r="EM279" t="s">
        <v>672</v>
      </c>
      <c r="EO279" t="s">
        <v>6</v>
      </c>
      <c r="EQ279">
        <v>131072</v>
      </c>
      <c r="ER279">
        <v>176.96</v>
      </c>
      <c r="ES279">
        <v>35.4</v>
      </c>
      <c r="ET279">
        <v>3.54</v>
      </c>
      <c r="EU279">
        <v>0.26</v>
      </c>
      <c r="EV279">
        <v>138.02000000000001</v>
      </c>
      <c r="EW279">
        <v>15.2</v>
      </c>
      <c r="EX279">
        <v>0.02</v>
      </c>
      <c r="EY279">
        <v>0</v>
      </c>
      <c r="FQ279">
        <v>0</v>
      </c>
      <c r="FR279">
        <f>ROUND(IF(AND(BH279=3,BI279=3),P279,0),2)</f>
        <v>0</v>
      </c>
      <c r="FS279">
        <v>0</v>
      </c>
      <c r="FX279">
        <v>97</v>
      </c>
      <c r="FY279">
        <v>51</v>
      </c>
      <c r="GA279" t="s">
        <v>6</v>
      </c>
      <c r="GD279">
        <v>1</v>
      </c>
      <c r="GF279">
        <v>205393633</v>
      </c>
      <c r="GG279">
        <v>2</v>
      </c>
      <c r="GH279">
        <v>1</v>
      </c>
      <c r="GI279">
        <v>4</v>
      </c>
      <c r="GJ279">
        <v>0</v>
      </c>
      <c r="GK279">
        <v>0</v>
      </c>
      <c r="GL279">
        <f>ROUND(IF(AND(BH279=3,BI279=3,FS279&lt;&gt;0),P279,0),2)</f>
        <v>0</v>
      </c>
      <c r="GM279">
        <f>ROUND(O279+X279+Y279,2)+GX279</f>
        <v>3606.86</v>
      </c>
      <c r="GN279">
        <f>IF(OR(BI279=0,BI279=1),ROUND(O279+X279+Y279,2),0)</f>
        <v>0</v>
      </c>
      <c r="GO279">
        <f>IF(BI279=2,ROUND(O279+X279+Y279,2),0)</f>
        <v>3606.86</v>
      </c>
      <c r="GP279">
        <f>IF(BI279=4,ROUND(O279+X279+Y279,2)+GX279,0)</f>
        <v>0</v>
      </c>
      <c r="GR279">
        <v>0</v>
      </c>
      <c r="GS279">
        <v>0</v>
      </c>
      <c r="GT279">
        <v>0</v>
      </c>
      <c r="GU279" t="s">
        <v>6</v>
      </c>
      <c r="GV279">
        <f>ROUND((GT279),6)</f>
        <v>0</v>
      </c>
      <c r="GW279">
        <v>1</v>
      </c>
      <c r="GX279">
        <f>ROUND(HC279*I279,2)</f>
        <v>0</v>
      </c>
      <c r="HA279">
        <v>0</v>
      </c>
      <c r="HB279">
        <v>0</v>
      </c>
      <c r="HC279">
        <f>GV279*GW279</f>
        <v>0</v>
      </c>
      <c r="HE279" t="s">
        <v>6</v>
      </c>
      <c r="HF279" t="s">
        <v>6</v>
      </c>
      <c r="HI279">
        <f>ROUND(R279*BS279,0)</f>
        <v>61</v>
      </c>
      <c r="HJ279">
        <f>ROUND(S279*BA279,0)</f>
        <v>32091</v>
      </c>
      <c r="HK279">
        <f>ROUND((((HJ279+HI279)*AT279)/100),0)</f>
        <v>31187</v>
      </c>
      <c r="HL279">
        <f>ROUND((((HJ279+HI279)*AU279)/100),0)</f>
        <v>16398</v>
      </c>
      <c r="HM279" t="s">
        <v>6</v>
      </c>
      <c r="HN279" t="s">
        <v>6</v>
      </c>
      <c r="HO279" t="s">
        <v>6</v>
      </c>
      <c r="HP279" t="s">
        <v>6</v>
      </c>
      <c r="HQ279" t="s">
        <v>6</v>
      </c>
      <c r="IK279">
        <v>0</v>
      </c>
    </row>
    <row r="280" spans="1:245">
      <c r="A280">
        <v>17</v>
      </c>
      <c r="B280">
        <v>1</v>
      </c>
      <c r="C280">
        <f>ROW(SmtRes!A736)</f>
        <v>736</v>
      </c>
      <c r="D280">
        <f>ROW(EtalonRes!A767)</f>
        <v>767</v>
      </c>
      <c r="E280" t="s">
        <v>673</v>
      </c>
      <c r="F280" t="s">
        <v>674</v>
      </c>
      <c r="G280" t="s">
        <v>675</v>
      </c>
      <c r="H280" t="s">
        <v>483</v>
      </c>
      <c r="I280">
        <f>ROUND(100*4/100,7)</f>
        <v>4</v>
      </c>
      <c r="J280">
        <v>0</v>
      </c>
      <c r="K280">
        <f>ROUND(100*4/100,7)</f>
        <v>4</v>
      </c>
      <c r="O280">
        <f>ROUND(CP280,2)</f>
        <v>745.66</v>
      </c>
      <c r="P280">
        <f>ROUND(CQ280*I280,2)</f>
        <v>140.28</v>
      </c>
      <c r="Q280">
        <f>ROUND(CR280*I280,2)</f>
        <v>21.36</v>
      </c>
      <c r="R280">
        <f>ROUND(CS280*I280,2)</f>
        <v>1.25</v>
      </c>
      <c r="S280">
        <f>ROUND(CT280*I280,2)</f>
        <v>584.02</v>
      </c>
      <c r="T280">
        <f>ROUND(CU280*I280,2)</f>
        <v>0</v>
      </c>
      <c r="U280">
        <f>CV280*I280</f>
        <v>64.319999999999993</v>
      </c>
      <c r="V280">
        <f>CW280*I280</f>
        <v>9.6000000000000002E-2</v>
      </c>
      <c r="W280">
        <f>ROUND(CX280*I280,2)</f>
        <v>0</v>
      </c>
      <c r="X280">
        <f t="shared" si="321"/>
        <v>567.71</v>
      </c>
      <c r="Y280">
        <f t="shared" si="321"/>
        <v>298.49</v>
      </c>
      <c r="AA280">
        <v>31028412</v>
      </c>
      <c r="AB280">
        <f>ROUND((AC280+AD280+AF280),6)</f>
        <v>186.41399999999999</v>
      </c>
      <c r="AC280">
        <f>ROUND((ES280),6)</f>
        <v>35.07</v>
      </c>
      <c r="AD280">
        <f>ROUND(((((ET280*ROUND(1.2,7)))-((EU280*ROUND(1.2,7))))+AE280),6)</f>
        <v>5.34</v>
      </c>
      <c r="AE280">
        <f t="shared" si="322"/>
        <v>0.312</v>
      </c>
      <c r="AF280">
        <f t="shared" si="322"/>
        <v>146.00399999999999</v>
      </c>
      <c r="AG280">
        <f>ROUND((AP280),6)</f>
        <v>0</v>
      </c>
      <c r="AH280">
        <f t="shared" si="323"/>
        <v>16.079999999999998</v>
      </c>
      <c r="AI280">
        <f t="shared" si="323"/>
        <v>2.4E-2</v>
      </c>
      <c r="AJ280">
        <f>(AS280)</f>
        <v>0</v>
      </c>
      <c r="AK280">
        <v>161.19</v>
      </c>
      <c r="AL280">
        <v>35.07</v>
      </c>
      <c r="AM280">
        <v>4.45</v>
      </c>
      <c r="AN280">
        <v>0.26</v>
      </c>
      <c r="AO280">
        <v>121.67</v>
      </c>
      <c r="AP280">
        <v>0</v>
      </c>
      <c r="AQ280">
        <v>13.4</v>
      </c>
      <c r="AR280">
        <v>0.02</v>
      </c>
      <c r="AS280">
        <v>0</v>
      </c>
      <c r="AT280">
        <v>97</v>
      </c>
      <c r="AU280">
        <v>51</v>
      </c>
      <c r="AV280">
        <v>1</v>
      </c>
      <c r="AW280">
        <v>1</v>
      </c>
      <c r="AZ280">
        <v>1</v>
      </c>
      <c r="BA280">
        <v>24.22</v>
      </c>
      <c r="BB280">
        <v>1</v>
      </c>
      <c r="BC280">
        <v>1</v>
      </c>
      <c r="BD280" t="s">
        <v>6</v>
      </c>
      <c r="BE280" t="s">
        <v>6</v>
      </c>
      <c r="BF280" t="s">
        <v>6</v>
      </c>
      <c r="BG280" t="s">
        <v>6</v>
      </c>
      <c r="BH280">
        <v>0</v>
      </c>
      <c r="BI280">
        <v>2</v>
      </c>
      <c r="BJ280" t="s">
        <v>676</v>
      </c>
      <c r="BM280">
        <v>108001</v>
      </c>
      <c r="BN280">
        <v>0</v>
      </c>
      <c r="BO280" t="s">
        <v>1327</v>
      </c>
      <c r="BP280">
        <v>1</v>
      </c>
      <c r="BQ280">
        <v>3</v>
      </c>
      <c r="BR280">
        <v>0</v>
      </c>
      <c r="BS280">
        <v>24.22</v>
      </c>
      <c r="BT280">
        <v>1</v>
      </c>
      <c r="BU280">
        <v>1</v>
      </c>
      <c r="BV280">
        <v>1</v>
      </c>
      <c r="BW280">
        <v>1</v>
      </c>
      <c r="BX280">
        <v>1</v>
      </c>
      <c r="BY280" t="s">
        <v>6</v>
      </c>
      <c r="BZ280">
        <v>97</v>
      </c>
      <c r="CA280">
        <v>51</v>
      </c>
      <c r="CB280" t="s">
        <v>6</v>
      </c>
      <c r="CE280">
        <v>0</v>
      </c>
      <c r="CF280">
        <v>0</v>
      </c>
      <c r="CG280">
        <v>0</v>
      </c>
      <c r="CM280">
        <v>0</v>
      </c>
      <c r="CN280" t="s">
        <v>6</v>
      </c>
      <c r="CO280">
        <v>0</v>
      </c>
      <c r="CP280">
        <f>(P280+Q280+S280)</f>
        <v>745.66</v>
      </c>
      <c r="CQ280">
        <f>AC280*BC280</f>
        <v>35.07</v>
      </c>
      <c r="CR280">
        <f>AD280*BB280</f>
        <v>5.34</v>
      </c>
      <c r="CS280">
        <f t="shared" si="324"/>
        <v>0.312</v>
      </c>
      <c r="CT280">
        <f t="shared" si="324"/>
        <v>146.00399999999999</v>
      </c>
      <c r="CU280">
        <f t="shared" si="324"/>
        <v>0</v>
      </c>
      <c r="CV280">
        <f t="shared" si="324"/>
        <v>16.079999999999998</v>
      </c>
      <c r="CW280">
        <f t="shared" si="324"/>
        <v>2.4E-2</v>
      </c>
      <c r="CX280">
        <f t="shared" si="324"/>
        <v>0</v>
      </c>
      <c r="CY280">
        <f>(((S280+R280)*AT280)/100)</f>
        <v>567.7118999999999</v>
      </c>
      <c r="CZ280">
        <f>(((S280+R280)*AU280)/100)</f>
        <v>298.48770000000002</v>
      </c>
      <c r="DC280" t="s">
        <v>6</v>
      </c>
      <c r="DD280" t="s">
        <v>6</v>
      </c>
      <c r="DE280" t="s">
        <v>669</v>
      </c>
      <c r="DF280" t="s">
        <v>669</v>
      </c>
      <c r="DG280" t="s">
        <v>669</v>
      </c>
      <c r="DH280" t="s">
        <v>6</v>
      </c>
      <c r="DI280" t="s">
        <v>669</v>
      </c>
      <c r="DJ280" t="s">
        <v>669</v>
      </c>
      <c r="DK280" t="s">
        <v>6</v>
      </c>
      <c r="DL280" t="s">
        <v>6</v>
      </c>
      <c r="DM280" t="s">
        <v>6</v>
      </c>
      <c r="DN280">
        <v>0</v>
      </c>
      <c r="DO280">
        <v>0</v>
      </c>
      <c r="DP280">
        <v>1</v>
      </c>
      <c r="DQ280">
        <v>1</v>
      </c>
      <c r="DU280">
        <v>1003</v>
      </c>
      <c r="DV280" t="s">
        <v>483</v>
      </c>
      <c r="DW280" t="s">
        <v>483</v>
      </c>
      <c r="DX280">
        <v>100</v>
      </c>
      <c r="DZ280" t="s">
        <v>6</v>
      </c>
      <c r="EA280" t="s">
        <v>6</v>
      </c>
      <c r="EB280" t="s">
        <v>6</v>
      </c>
      <c r="EC280" t="s">
        <v>6</v>
      </c>
      <c r="EE280">
        <v>30852757</v>
      </c>
      <c r="EF280">
        <v>3</v>
      </c>
      <c r="EG280" t="s">
        <v>670</v>
      </c>
      <c r="EH280">
        <v>0</v>
      </c>
      <c r="EI280" t="s">
        <v>6</v>
      </c>
      <c r="EJ280">
        <v>2</v>
      </c>
      <c r="EK280">
        <v>108001</v>
      </c>
      <c r="EL280" t="s">
        <v>671</v>
      </c>
      <c r="EM280" t="s">
        <v>672</v>
      </c>
      <c r="EO280" t="s">
        <v>6</v>
      </c>
      <c r="EQ280">
        <v>131072</v>
      </c>
      <c r="ER280">
        <v>161.19</v>
      </c>
      <c r="ES280">
        <v>35.07</v>
      </c>
      <c r="ET280">
        <v>4.45</v>
      </c>
      <c r="EU280">
        <v>0.26</v>
      </c>
      <c r="EV280">
        <v>121.67</v>
      </c>
      <c r="EW280">
        <v>13.4</v>
      </c>
      <c r="EX280">
        <v>0.02</v>
      </c>
      <c r="EY280">
        <v>0</v>
      </c>
      <c r="FQ280">
        <v>0</v>
      </c>
      <c r="FR280">
        <f>ROUND(IF(AND(BH280=3,BI280=3),P280,0),2)</f>
        <v>0</v>
      </c>
      <c r="FS280">
        <v>0</v>
      </c>
      <c r="FX280">
        <v>97</v>
      </c>
      <c r="FY280">
        <v>51</v>
      </c>
      <c r="GA280" t="s">
        <v>6</v>
      </c>
      <c r="GD280">
        <v>1</v>
      </c>
      <c r="GF280">
        <v>-1772426866</v>
      </c>
      <c r="GG280">
        <v>2</v>
      </c>
      <c r="GH280">
        <v>1</v>
      </c>
      <c r="GI280">
        <v>4</v>
      </c>
      <c r="GJ280">
        <v>0</v>
      </c>
      <c r="GK280">
        <v>0</v>
      </c>
      <c r="GL280">
        <f>ROUND(IF(AND(BH280=3,BI280=3,FS280&lt;&gt;0),P280,0),2)</f>
        <v>0</v>
      </c>
      <c r="GM280">
        <f>ROUND(O280+X280+Y280,2)+GX280</f>
        <v>1611.86</v>
      </c>
      <c r="GN280">
        <f>IF(OR(BI280=0,BI280=1),ROUND(O280+X280+Y280,2),0)</f>
        <v>0</v>
      </c>
      <c r="GO280">
        <f>IF(BI280=2,ROUND(O280+X280+Y280,2),0)</f>
        <v>1611.86</v>
      </c>
      <c r="GP280">
        <f>IF(BI280=4,ROUND(O280+X280+Y280,2)+GX280,0)</f>
        <v>0</v>
      </c>
      <c r="GR280">
        <v>0</v>
      </c>
      <c r="GS280">
        <v>0</v>
      </c>
      <c r="GT280">
        <v>0</v>
      </c>
      <c r="GU280" t="s">
        <v>6</v>
      </c>
      <c r="GV280">
        <f>ROUND((GT280),6)</f>
        <v>0</v>
      </c>
      <c r="GW280">
        <v>1</v>
      </c>
      <c r="GX280">
        <f>ROUND(HC280*I280,2)</f>
        <v>0</v>
      </c>
      <c r="HA280">
        <v>0</v>
      </c>
      <c r="HB280">
        <v>0</v>
      </c>
      <c r="HC280">
        <f>GV280*GW280</f>
        <v>0</v>
      </c>
      <c r="HE280" t="s">
        <v>6</v>
      </c>
      <c r="HF280" t="s">
        <v>6</v>
      </c>
      <c r="HI280">
        <f>ROUND(R280*BS280,0)</f>
        <v>30</v>
      </c>
      <c r="HJ280">
        <f>ROUND(S280*BA280,0)</f>
        <v>14145</v>
      </c>
      <c r="HK280">
        <f>ROUND((((HJ280+HI280)*AT280)/100),0)</f>
        <v>13750</v>
      </c>
      <c r="HL280">
        <f>ROUND((((HJ280+HI280)*AU280)/100),0)</f>
        <v>7229</v>
      </c>
      <c r="HM280" t="s">
        <v>6</v>
      </c>
      <c r="HN280" t="s">
        <v>6</v>
      </c>
      <c r="HO280" t="s">
        <v>6</v>
      </c>
      <c r="HP280" t="s">
        <v>6</v>
      </c>
      <c r="HQ280" t="s">
        <v>6</v>
      </c>
      <c r="IK280">
        <v>0</v>
      </c>
    </row>
    <row r="281" spans="1:245">
      <c r="A281">
        <v>17</v>
      </c>
      <c r="B281">
        <v>1</v>
      </c>
      <c r="C281">
        <f>ROW(SmtRes!A746)</f>
        <v>746</v>
      </c>
      <c r="D281">
        <f>ROW(EtalonRes!A777)</f>
        <v>777</v>
      </c>
      <c r="E281" t="s">
        <v>677</v>
      </c>
      <c r="F281" t="s">
        <v>678</v>
      </c>
      <c r="G281" t="s">
        <v>679</v>
      </c>
      <c r="H281" t="s">
        <v>680</v>
      </c>
      <c r="I281">
        <f>ROUND(6*4/100,7)</f>
        <v>0.24</v>
      </c>
      <c r="J281">
        <v>0</v>
      </c>
      <c r="K281">
        <f>ROUND(6*4/100,7)</f>
        <v>0.24</v>
      </c>
      <c r="O281">
        <f>ROUND(CP281,2)</f>
        <v>393.92</v>
      </c>
      <c r="P281">
        <f>ROUND(CQ281*I281,2)</f>
        <v>133.85</v>
      </c>
      <c r="Q281">
        <f>ROUND(CR281*I281,2)</f>
        <v>65.38</v>
      </c>
      <c r="R281">
        <f>ROUND(CS281*I281,2)</f>
        <v>3.3</v>
      </c>
      <c r="S281">
        <f>ROUND(CT281*I281,2)</f>
        <v>194.69</v>
      </c>
      <c r="T281">
        <f>ROUND(CU281*I281,2)</f>
        <v>0</v>
      </c>
      <c r="U281">
        <f>CV281*I281</f>
        <v>20.34432</v>
      </c>
      <c r="V281">
        <f>CW281*I281</f>
        <v>0.25344</v>
      </c>
      <c r="W281">
        <f>ROUND(CX281*I281,2)</f>
        <v>0</v>
      </c>
      <c r="X281">
        <f t="shared" si="321"/>
        <v>192.05</v>
      </c>
      <c r="Y281">
        <f t="shared" si="321"/>
        <v>100.97</v>
      </c>
      <c r="AA281">
        <v>31028412</v>
      </c>
      <c r="AB281">
        <f>ROUND((AC281+AD281+AF281),6)</f>
        <v>1641.37</v>
      </c>
      <c r="AC281">
        <f>ROUND((ES281),6)</f>
        <v>557.71</v>
      </c>
      <c r="AD281">
        <f>ROUND(((((ET281*ROUND(1.2,7)))-((EU281*ROUND(1.2,7))))+AE281),6)</f>
        <v>272.43599999999998</v>
      </c>
      <c r="AE281">
        <f t="shared" si="322"/>
        <v>13.763999999999999</v>
      </c>
      <c r="AF281">
        <f t="shared" si="322"/>
        <v>811.22400000000005</v>
      </c>
      <c r="AG281">
        <f>ROUND((AP281),6)</f>
        <v>0</v>
      </c>
      <c r="AH281">
        <f t="shared" si="323"/>
        <v>84.768000000000001</v>
      </c>
      <c r="AI281">
        <f t="shared" si="323"/>
        <v>1.056</v>
      </c>
      <c r="AJ281">
        <f>(AS281)</f>
        <v>0</v>
      </c>
      <c r="AK281">
        <v>1460.76</v>
      </c>
      <c r="AL281">
        <v>557.71</v>
      </c>
      <c r="AM281">
        <v>227.03</v>
      </c>
      <c r="AN281">
        <v>11.47</v>
      </c>
      <c r="AO281">
        <v>676.02</v>
      </c>
      <c r="AP281">
        <v>0</v>
      </c>
      <c r="AQ281">
        <v>70.64</v>
      </c>
      <c r="AR281">
        <v>0.88</v>
      </c>
      <c r="AS281">
        <v>0</v>
      </c>
      <c r="AT281">
        <v>97</v>
      </c>
      <c r="AU281">
        <v>51</v>
      </c>
      <c r="AV281">
        <v>1</v>
      </c>
      <c r="AW281">
        <v>1</v>
      </c>
      <c r="AZ281">
        <v>1</v>
      </c>
      <c r="BA281">
        <v>24.22</v>
      </c>
      <c r="BB281">
        <v>1</v>
      </c>
      <c r="BC281">
        <v>1</v>
      </c>
      <c r="BD281" t="s">
        <v>6</v>
      </c>
      <c r="BE281" t="s">
        <v>6</v>
      </c>
      <c r="BF281" t="s">
        <v>6</v>
      </c>
      <c r="BG281" t="s">
        <v>6</v>
      </c>
      <c r="BH281">
        <v>0</v>
      </c>
      <c r="BI281">
        <v>2</v>
      </c>
      <c r="BJ281" t="s">
        <v>681</v>
      </c>
      <c r="BM281">
        <v>108001</v>
      </c>
      <c r="BN281">
        <v>0</v>
      </c>
      <c r="BO281" t="s">
        <v>1327</v>
      </c>
      <c r="BP281">
        <v>1</v>
      </c>
      <c r="BQ281">
        <v>3</v>
      </c>
      <c r="BR281">
        <v>0</v>
      </c>
      <c r="BS281">
        <v>24.22</v>
      </c>
      <c r="BT281">
        <v>1</v>
      </c>
      <c r="BU281">
        <v>1</v>
      </c>
      <c r="BV281">
        <v>1</v>
      </c>
      <c r="BW281">
        <v>1</v>
      </c>
      <c r="BX281">
        <v>1</v>
      </c>
      <c r="BY281" t="s">
        <v>6</v>
      </c>
      <c r="BZ281">
        <v>97</v>
      </c>
      <c r="CA281">
        <v>51</v>
      </c>
      <c r="CB281" t="s">
        <v>6</v>
      </c>
      <c r="CE281">
        <v>0</v>
      </c>
      <c r="CF281">
        <v>0</v>
      </c>
      <c r="CG281">
        <v>0</v>
      </c>
      <c r="CM281">
        <v>0</v>
      </c>
      <c r="CN281" t="s">
        <v>6</v>
      </c>
      <c r="CO281">
        <v>0</v>
      </c>
      <c r="CP281">
        <f>(P281+Q281+S281)</f>
        <v>393.91999999999996</v>
      </c>
      <c r="CQ281">
        <f>AC281*BC281</f>
        <v>557.71</v>
      </c>
      <c r="CR281">
        <f>AD281*BB281</f>
        <v>272.43599999999998</v>
      </c>
      <c r="CS281">
        <f t="shared" si="324"/>
        <v>13.763999999999999</v>
      </c>
      <c r="CT281">
        <f t="shared" si="324"/>
        <v>811.22400000000005</v>
      </c>
      <c r="CU281">
        <f t="shared" si="324"/>
        <v>0</v>
      </c>
      <c r="CV281">
        <f t="shared" si="324"/>
        <v>84.768000000000001</v>
      </c>
      <c r="CW281">
        <f t="shared" si="324"/>
        <v>1.056</v>
      </c>
      <c r="CX281">
        <f t="shared" si="324"/>
        <v>0</v>
      </c>
      <c r="CY281">
        <f>(((S281+R281)*AT281)/100)</f>
        <v>192.05030000000002</v>
      </c>
      <c r="CZ281">
        <f>(((S281+R281)*AU281)/100)</f>
        <v>100.97489999999999</v>
      </c>
      <c r="DC281" t="s">
        <v>6</v>
      </c>
      <c r="DD281" t="s">
        <v>6</v>
      </c>
      <c r="DE281" t="s">
        <v>669</v>
      </c>
      <c r="DF281" t="s">
        <v>669</v>
      </c>
      <c r="DG281" t="s">
        <v>669</v>
      </c>
      <c r="DH281" t="s">
        <v>6</v>
      </c>
      <c r="DI281" t="s">
        <v>669</v>
      </c>
      <c r="DJ281" t="s">
        <v>669</v>
      </c>
      <c r="DK281" t="s">
        <v>6</v>
      </c>
      <c r="DL281" t="s">
        <v>6</v>
      </c>
      <c r="DM281" t="s">
        <v>6</v>
      </c>
      <c r="DN281">
        <v>0</v>
      </c>
      <c r="DO281">
        <v>0</v>
      </c>
      <c r="DP281">
        <v>1</v>
      </c>
      <c r="DQ281">
        <v>1</v>
      </c>
      <c r="DU281">
        <v>1010</v>
      </c>
      <c r="DV281" t="s">
        <v>680</v>
      </c>
      <c r="DW281" t="s">
        <v>680</v>
      </c>
      <c r="DX281">
        <v>100</v>
      </c>
      <c r="DZ281" t="s">
        <v>6</v>
      </c>
      <c r="EA281" t="s">
        <v>6</v>
      </c>
      <c r="EB281" t="s">
        <v>6</v>
      </c>
      <c r="EC281" t="s">
        <v>6</v>
      </c>
      <c r="EE281">
        <v>30852757</v>
      </c>
      <c r="EF281">
        <v>3</v>
      </c>
      <c r="EG281" t="s">
        <v>670</v>
      </c>
      <c r="EH281">
        <v>0</v>
      </c>
      <c r="EI281" t="s">
        <v>6</v>
      </c>
      <c r="EJ281">
        <v>2</v>
      </c>
      <c r="EK281">
        <v>108001</v>
      </c>
      <c r="EL281" t="s">
        <v>671</v>
      </c>
      <c r="EM281" t="s">
        <v>672</v>
      </c>
      <c r="EO281" t="s">
        <v>6</v>
      </c>
      <c r="EQ281">
        <v>131072</v>
      </c>
      <c r="ER281">
        <v>1460.76</v>
      </c>
      <c r="ES281">
        <v>557.71</v>
      </c>
      <c r="ET281">
        <v>227.03</v>
      </c>
      <c r="EU281">
        <v>11.47</v>
      </c>
      <c r="EV281">
        <v>676.02</v>
      </c>
      <c r="EW281">
        <v>70.64</v>
      </c>
      <c r="EX281">
        <v>0.88</v>
      </c>
      <c r="EY281">
        <v>0</v>
      </c>
      <c r="FQ281">
        <v>0</v>
      </c>
      <c r="FR281">
        <f>ROUND(IF(AND(BH281=3,BI281=3),P281,0),2)</f>
        <v>0</v>
      </c>
      <c r="FS281">
        <v>0</v>
      </c>
      <c r="FX281">
        <v>97</v>
      </c>
      <c r="FY281">
        <v>51</v>
      </c>
      <c r="GA281" t="s">
        <v>6</v>
      </c>
      <c r="GD281">
        <v>1</v>
      </c>
      <c r="GF281">
        <v>999441559</v>
      </c>
      <c r="GG281">
        <v>2</v>
      </c>
      <c r="GH281">
        <v>1</v>
      </c>
      <c r="GI281">
        <v>4</v>
      </c>
      <c r="GJ281">
        <v>0</v>
      </c>
      <c r="GK281">
        <v>0</v>
      </c>
      <c r="GL281">
        <f>ROUND(IF(AND(BH281=3,BI281=3,FS281&lt;&gt;0),P281,0),2)</f>
        <v>0</v>
      </c>
      <c r="GM281">
        <f>ROUND(O281+X281+Y281,2)+GX281</f>
        <v>686.94</v>
      </c>
      <c r="GN281">
        <f>IF(OR(BI281=0,BI281=1),ROUND(O281+X281+Y281,2),0)</f>
        <v>0</v>
      </c>
      <c r="GO281">
        <f>IF(BI281=2,ROUND(O281+X281+Y281,2),0)</f>
        <v>686.94</v>
      </c>
      <c r="GP281">
        <f>IF(BI281=4,ROUND(O281+X281+Y281,2)+GX281,0)</f>
        <v>0</v>
      </c>
      <c r="GR281">
        <v>0</v>
      </c>
      <c r="GS281">
        <v>0</v>
      </c>
      <c r="GT281">
        <v>0</v>
      </c>
      <c r="GU281" t="s">
        <v>6</v>
      </c>
      <c r="GV281">
        <f>ROUND((GT281),6)</f>
        <v>0</v>
      </c>
      <c r="GW281">
        <v>1</v>
      </c>
      <c r="GX281">
        <f>ROUND(HC281*I281,2)</f>
        <v>0</v>
      </c>
      <c r="HA281">
        <v>0</v>
      </c>
      <c r="HB281">
        <v>0</v>
      </c>
      <c r="HC281">
        <f>GV281*GW281</f>
        <v>0</v>
      </c>
      <c r="HE281" t="s">
        <v>6</v>
      </c>
      <c r="HF281" t="s">
        <v>6</v>
      </c>
      <c r="HI281">
        <f>ROUND(R281*BS281,0)</f>
        <v>80</v>
      </c>
      <c r="HJ281">
        <f>ROUND(S281*BA281,0)</f>
        <v>4715</v>
      </c>
      <c r="HK281">
        <f>ROUND((((HJ281+HI281)*AT281)/100),0)</f>
        <v>4651</v>
      </c>
      <c r="HL281">
        <f>ROUND((((HJ281+HI281)*AU281)/100),0)</f>
        <v>2445</v>
      </c>
      <c r="HM281" t="s">
        <v>6</v>
      </c>
      <c r="HN281" t="s">
        <v>6</v>
      </c>
      <c r="HO281" t="s">
        <v>6</v>
      </c>
      <c r="HP281" t="s">
        <v>6</v>
      </c>
      <c r="HQ281" t="s">
        <v>6</v>
      </c>
      <c r="IK281">
        <v>0</v>
      </c>
    </row>
    <row r="282" spans="1:245">
      <c r="A282">
        <v>17</v>
      </c>
      <c r="B282">
        <v>1</v>
      </c>
      <c r="C282">
        <f>ROW(SmtRes!A756)</f>
        <v>756</v>
      </c>
      <c r="D282">
        <f>ROW(EtalonRes!A787)</f>
        <v>787</v>
      </c>
      <c r="E282" t="s">
        <v>682</v>
      </c>
      <c r="F282" t="s">
        <v>683</v>
      </c>
      <c r="G282" t="s">
        <v>684</v>
      </c>
      <c r="H282" t="s">
        <v>680</v>
      </c>
      <c r="I282">
        <f>ROUND(3*4/100,7)</f>
        <v>0.12</v>
      </c>
      <c r="J282">
        <v>0</v>
      </c>
      <c r="K282">
        <f>ROUND(3*4/100,7)</f>
        <v>0.12</v>
      </c>
      <c r="O282">
        <f>ROUND(CP282,2)</f>
        <v>58.86</v>
      </c>
      <c r="P282">
        <f>ROUND(CQ282*I282,2)</f>
        <v>13.33</v>
      </c>
      <c r="Q282">
        <f>ROUND(CR282*I282,2)</f>
        <v>1.98</v>
      </c>
      <c r="R282">
        <f>ROUND(CS282*I282,2)</f>
        <v>0.06</v>
      </c>
      <c r="S282">
        <f>ROUND(CT282*I282,2)</f>
        <v>43.55</v>
      </c>
      <c r="T282">
        <f>ROUND(CU282*I282,2)</f>
        <v>0</v>
      </c>
      <c r="U282">
        <f>CV282*I282</f>
        <v>4.5503999999999998</v>
      </c>
      <c r="V282">
        <f>CW282*I282</f>
        <v>4.3199999999999992E-3</v>
      </c>
      <c r="W282">
        <f>ROUND(CX282*I282,2)</f>
        <v>0</v>
      </c>
      <c r="X282">
        <f t="shared" si="321"/>
        <v>42.3</v>
      </c>
      <c r="Y282">
        <f t="shared" si="321"/>
        <v>22.24</v>
      </c>
      <c r="AA282">
        <v>31028412</v>
      </c>
      <c r="AB282">
        <f>ROUND((AC282+AD282+AF282),6)</f>
        <v>490.524</v>
      </c>
      <c r="AC282">
        <f>ROUND((ES282),6)</f>
        <v>111.12</v>
      </c>
      <c r="AD282">
        <f>ROUND(((((ET282*ROUND(1.2,7)))-((EU282*ROUND(1.2,7))))+AE282),6)</f>
        <v>16.512</v>
      </c>
      <c r="AE282">
        <f t="shared" si="322"/>
        <v>0.46800000000000003</v>
      </c>
      <c r="AF282">
        <f t="shared" si="322"/>
        <v>362.892</v>
      </c>
      <c r="AG282">
        <f>ROUND((AP282),6)</f>
        <v>0</v>
      </c>
      <c r="AH282">
        <f t="shared" si="323"/>
        <v>37.92</v>
      </c>
      <c r="AI282">
        <f t="shared" si="323"/>
        <v>3.5999999999999997E-2</v>
      </c>
      <c r="AJ282">
        <f>(AS282)</f>
        <v>0</v>
      </c>
      <c r="AK282">
        <v>427.29</v>
      </c>
      <c r="AL282">
        <v>111.12</v>
      </c>
      <c r="AM282">
        <v>13.76</v>
      </c>
      <c r="AN282">
        <v>0.39</v>
      </c>
      <c r="AO282">
        <v>302.41000000000003</v>
      </c>
      <c r="AP282">
        <v>0</v>
      </c>
      <c r="AQ282">
        <v>31.6</v>
      </c>
      <c r="AR282">
        <v>0.03</v>
      </c>
      <c r="AS282">
        <v>0</v>
      </c>
      <c r="AT282">
        <v>97</v>
      </c>
      <c r="AU282">
        <v>51</v>
      </c>
      <c r="AV282">
        <v>1</v>
      </c>
      <c r="AW282">
        <v>1</v>
      </c>
      <c r="AZ282">
        <v>1</v>
      </c>
      <c r="BA282">
        <v>24.22</v>
      </c>
      <c r="BB282">
        <v>1</v>
      </c>
      <c r="BC282">
        <v>1</v>
      </c>
      <c r="BD282" t="s">
        <v>6</v>
      </c>
      <c r="BE282" t="s">
        <v>6</v>
      </c>
      <c r="BF282" t="s">
        <v>6</v>
      </c>
      <c r="BG282" t="s">
        <v>6</v>
      </c>
      <c r="BH282">
        <v>0</v>
      </c>
      <c r="BI282">
        <v>2</v>
      </c>
      <c r="BJ282" t="s">
        <v>685</v>
      </c>
      <c r="BM282">
        <v>108001</v>
      </c>
      <c r="BN282">
        <v>0</v>
      </c>
      <c r="BO282" t="s">
        <v>1327</v>
      </c>
      <c r="BP282">
        <v>1</v>
      </c>
      <c r="BQ282">
        <v>3</v>
      </c>
      <c r="BR282">
        <v>0</v>
      </c>
      <c r="BS282">
        <v>24.22</v>
      </c>
      <c r="BT282">
        <v>1</v>
      </c>
      <c r="BU282">
        <v>1</v>
      </c>
      <c r="BV282">
        <v>1</v>
      </c>
      <c r="BW282">
        <v>1</v>
      </c>
      <c r="BX282">
        <v>1</v>
      </c>
      <c r="BY282" t="s">
        <v>6</v>
      </c>
      <c r="BZ282">
        <v>97</v>
      </c>
      <c r="CA282">
        <v>51</v>
      </c>
      <c r="CB282" t="s">
        <v>6</v>
      </c>
      <c r="CE282">
        <v>0</v>
      </c>
      <c r="CF282">
        <v>0</v>
      </c>
      <c r="CG282">
        <v>0</v>
      </c>
      <c r="CM282">
        <v>0</v>
      </c>
      <c r="CN282" t="s">
        <v>6</v>
      </c>
      <c r="CO282">
        <v>0</v>
      </c>
      <c r="CP282">
        <f>(P282+Q282+S282)</f>
        <v>58.86</v>
      </c>
      <c r="CQ282">
        <f>AC282*BC282</f>
        <v>111.12</v>
      </c>
      <c r="CR282">
        <f>AD282*BB282</f>
        <v>16.512</v>
      </c>
      <c r="CS282">
        <f t="shared" si="324"/>
        <v>0.46800000000000003</v>
      </c>
      <c r="CT282">
        <f t="shared" si="324"/>
        <v>362.892</v>
      </c>
      <c r="CU282">
        <f t="shared" si="324"/>
        <v>0</v>
      </c>
      <c r="CV282">
        <f t="shared" si="324"/>
        <v>37.92</v>
      </c>
      <c r="CW282">
        <f t="shared" si="324"/>
        <v>3.5999999999999997E-2</v>
      </c>
      <c r="CX282">
        <f t="shared" si="324"/>
        <v>0</v>
      </c>
      <c r="CY282">
        <f>(((S282+R282)*AT282)/100)</f>
        <v>42.301700000000004</v>
      </c>
      <c r="CZ282">
        <f>(((S282+R282)*AU282)/100)</f>
        <v>22.241100000000003</v>
      </c>
      <c r="DC282" t="s">
        <v>6</v>
      </c>
      <c r="DD282" t="s">
        <v>6</v>
      </c>
      <c r="DE282" t="s">
        <v>669</v>
      </c>
      <c r="DF282" t="s">
        <v>669</v>
      </c>
      <c r="DG282" t="s">
        <v>669</v>
      </c>
      <c r="DH282" t="s">
        <v>6</v>
      </c>
      <c r="DI282" t="s">
        <v>669</v>
      </c>
      <c r="DJ282" t="s">
        <v>669</v>
      </c>
      <c r="DK282" t="s">
        <v>6</v>
      </c>
      <c r="DL282" t="s">
        <v>6</v>
      </c>
      <c r="DM282" t="s">
        <v>6</v>
      </c>
      <c r="DN282">
        <v>0</v>
      </c>
      <c r="DO282">
        <v>0</v>
      </c>
      <c r="DP282">
        <v>1</v>
      </c>
      <c r="DQ282">
        <v>1</v>
      </c>
      <c r="DU282">
        <v>1010</v>
      </c>
      <c r="DV282" t="s">
        <v>680</v>
      </c>
      <c r="DW282" t="s">
        <v>680</v>
      </c>
      <c r="DX282">
        <v>100</v>
      </c>
      <c r="DZ282" t="s">
        <v>6</v>
      </c>
      <c r="EA282" t="s">
        <v>6</v>
      </c>
      <c r="EB282" t="s">
        <v>6</v>
      </c>
      <c r="EC282" t="s">
        <v>6</v>
      </c>
      <c r="EE282">
        <v>30852757</v>
      </c>
      <c r="EF282">
        <v>3</v>
      </c>
      <c r="EG282" t="s">
        <v>670</v>
      </c>
      <c r="EH282">
        <v>0</v>
      </c>
      <c r="EI282" t="s">
        <v>6</v>
      </c>
      <c r="EJ282">
        <v>2</v>
      </c>
      <c r="EK282">
        <v>108001</v>
      </c>
      <c r="EL282" t="s">
        <v>671</v>
      </c>
      <c r="EM282" t="s">
        <v>672</v>
      </c>
      <c r="EO282" t="s">
        <v>6</v>
      </c>
      <c r="EQ282">
        <v>131072</v>
      </c>
      <c r="ER282">
        <v>427.29</v>
      </c>
      <c r="ES282">
        <v>111.12</v>
      </c>
      <c r="ET282">
        <v>13.76</v>
      </c>
      <c r="EU282">
        <v>0.39</v>
      </c>
      <c r="EV282">
        <v>302.41000000000003</v>
      </c>
      <c r="EW282">
        <v>31.6</v>
      </c>
      <c r="EX282">
        <v>0.03</v>
      </c>
      <c r="EY282">
        <v>0</v>
      </c>
      <c r="FQ282">
        <v>0</v>
      </c>
      <c r="FR282">
        <f>ROUND(IF(AND(BH282=3,BI282=3),P282,0),2)</f>
        <v>0</v>
      </c>
      <c r="FS282">
        <v>0</v>
      </c>
      <c r="FX282">
        <v>97</v>
      </c>
      <c r="FY282">
        <v>51</v>
      </c>
      <c r="GA282" t="s">
        <v>6</v>
      </c>
      <c r="GD282">
        <v>1</v>
      </c>
      <c r="GF282">
        <v>-634815532</v>
      </c>
      <c r="GG282">
        <v>2</v>
      </c>
      <c r="GH282">
        <v>1</v>
      </c>
      <c r="GI282">
        <v>4</v>
      </c>
      <c r="GJ282">
        <v>0</v>
      </c>
      <c r="GK282">
        <v>0</v>
      </c>
      <c r="GL282">
        <f>ROUND(IF(AND(BH282=3,BI282=3,FS282&lt;&gt;0),P282,0),2)</f>
        <v>0</v>
      </c>
      <c r="GM282">
        <f>ROUND(O282+X282+Y282,2)+GX282</f>
        <v>123.4</v>
      </c>
      <c r="GN282">
        <f>IF(OR(BI282=0,BI282=1),ROUND(O282+X282+Y282,2),0)</f>
        <v>0</v>
      </c>
      <c r="GO282">
        <f>IF(BI282=2,ROUND(O282+X282+Y282,2),0)</f>
        <v>123.4</v>
      </c>
      <c r="GP282">
        <f>IF(BI282=4,ROUND(O282+X282+Y282,2)+GX282,0)</f>
        <v>0</v>
      </c>
      <c r="GR282">
        <v>0</v>
      </c>
      <c r="GS282">
        <v>0</v>
      </c>
      <c r="GT282">
        <v>0</v>
      </c>
      <c r="GU282" t="s">
        <v>6</v>
      </c>
      <c r="GV282">
        <f>ROUND((GT282),6)</f>
        <v>0</v>
      </c>
      <c r="GW282">
        <v>1</v>
      </c>
      <c r="GX282">
        <f>ROUND(HC282*I282,2)</f>
        <v>0</v>
      </c>
      <c r="HA282">
        <v>0</v>
      </c>
      <c r="HB282">
        <v>0</v>
      </c>
      <c r="HC282">
        <f>GV282*GW282</f>
        <v>0</v>
      </c>
      <c r="HE282" t="s">
        <v>6</v>
      </c>
      <c r="HF282" t="s">
        <v>6</v>
      </c>
      <c r="HI282">
        <f>ROUND(R282*BS282,0)</f>
        <v>1</v>
      </c>
      <c r="HJ282">
        <f>ROUND(S282*BA282,0)</f>
        <v>1055</v>
      </c>
      <c r="HK282">
        <f>ROUND((((HJ282+HI282)*AT282)/100),0)</f>
        <v>1024</v>
      </c>
      <c r="HL282">
        <f>ROUND((((HJ282+HI282)*AU282)/100),0)</f>
        <v>539</v>
      </c>
      <c r="HM282" t="s">
        <v>6</v>
      </c>
      <c r="HN282" t="s">
        <v>6</v>
      </c>
      <c r="HO282" t="s">
        <v>6</v>
      </c>
      <c r="HP282" t="s">
        <v>6</v>
      </c>
      <c r="HQ282" t="s">
        <v>6</v>
      </c>
      <c r="IK282">
        <v>0</v>
      </c>
    </row>
    <row r="283" spans="1:245">
      <c r="A283">
        <v>17</v>
      </c>
      <c r="B283">
        <v>1</v>
      </c>
      <c r="C283">
        <f>ROW(SmtRes!A766)</f>
        <v>766</v>
      </c>
      <c r="D283">
        <f>ROW(EtalonRes!A797)</f>
        <v>797</v>
      </c>
      <c r="E283" t="s">
        <v>686</v>
      </c>
      <c r="F283" t="s">
        <v>687</v>
      </c>
      <c r="G283" t="s">
        <v>688</v>
      </c>
      <c r="H283" t="s">
        <v>680</v>
      </c>
      <c r="I283">
        <f>ROUND(6*4/100,7)</f>
        <v>0.24</v>
      </c>
      <c r="J283">
        <v>0</v>
      </c>
      <c r="K283">
        <f>ROUND(6*4/100,7)</f>
        <v>0.24</v>
      </c>
      <c r="O283">
        <f>ROUND(CP283,2)</f>
        <v>126.01</v>
      </c>
      <c r="P283">
        <f>ROUND(CQ283*I283,2)</f>
        <v>26.8</v>
      </c>
      <c r="Q283">
        <f>ROUND(CR283*I283,2)</f>
        <v>3.96</v>
      </c>
      <c r="R283">
        <f>ROUND(CS283*I283,2)</f>
        <v>0.11</v>
      </c>
      <c r="S283">
        <f>ROUND(CT283*I283,2)</f>
        <v>95.25</v>
      </c>
      <c r="T283">
        <f>ROUND(CU283*I283,2)</f>
        <v>0</v>
      </c>
      <c r="U283">
        <f>CV283*I283</f>
        <v>9.9532799999999995</v>
      </c>
      <c r="V283">
        <f>CW283*I283</f>
        <v>8.6399999999999984E-3</v>
      </c>
      <c r="W283">
        <f>ROUND(CX283*I283,2)</f>
        <v>0</v>
      </c>
      <c r="X283">
        <f t="shared" si="321"/>
        <v>92.5</v>
      </c>
      <c r="Y283">
        <f t="shared" si="321"/>
        <v>48.63</v>
      </c>
      <c r="AA283">
        <v>31028412</v>
      </c>
      <c r="AB283">
        <f>ROUND((AC283+AD283+AF283),6)</f>
        <v>525.08000000000004</v>
      </c>
      <c r="AC283">
        <f>ROUND((ES283),6)</f>
        <v>111.68</v>
      </c>
      <c r="AD283">
        <f>ROUND(((((ET283*ROUND(1.2,7)))-((EU283*ROUND(1.2,7))))+AE283),6)</f>
        <v>16.512</v>
      </c>
      <c r="AE283">
        <f t="shared" si="322"/>
        <v>0.46800000000000003</v>
      </c>
      <c r="AF283">
        <f t="shared" si="322"/>
        <v>396.88799999999998</v>
      </c>
      <c r="AG283">
        <f>ROUND((AP283),6)</f>
        <v>0</v>
      </c>
      <c r="AH283">
        <f t="shared" si="323"/>
        <v>41.472000000000001</v>
      </c>
      <c r="AI283">
        <f t="shared" si="323"/>
        <v>3.5999999999999997E-2</v>
      </c>
      <c r="AJ283">
        <f>(AS283)</f>
        <v>0</v>
      </c>
      <c r="AK283">
        <v>456.18</v>
      </c>
      <c r="AL283">
        <v>111.68</v>
      </c>
      <c r="AM283">
        <v>13.76</v>
      </c>
      <c r="AN283">
        <v>0.39</v>
      </c>
      <c r="AO283">
        <v>330.74</v>
      </c>
      <c r="AP283">
        <v>0</v>
      </c>
      <c r="AQ283">
        <v>34.56</v>
      </c>
      <c r="AR283">
        <v>0.03</v>
      </c>
      <c r="AS283">
        <v>0</v>
      </c>
      <c r="AT283">
        <v>97</v>
      </c>
      <c r="AU283">
        <v>51</v>
      </c>
      <c r="AV283">
        <v>1</v>
      </c>
      <c r="AW283">
        <v>1</v>
      </c>
      <c r="AZ283">
        <v>1</v>
      </c>
      <c r="BA283">
        <v>24.22</v>
      </c>
      <c r="BB283">
        <v>1</v>
      </c>
      <c r="BC283">
        <v>1</v>
      </c>
      <c r="BD283" t="s">
        <v>6</v>
      </c>
      <c r="BE283" t="s">
        <v>6</v>
      </c>
      <c r="BF283" t="s">
        <v>6</v>
      </c>
      <c r="BG283" t="s">
        <v>6</v>
      </c>
      <c r="BH283">
        <v>0</v>
      </c>
      <c r="BI283">
        <v>2</v>
      </c>
      <c r="BJ283" t="s">
        <v>689</v>
      </c>
      <c r="BM283">
        <v>108001</v>
      </c>
      <c r="BN283">
        <v>0</v>
      </c>
      <c r="BO283" t="s">
        <v>1327</v>
      </c>
      <c r="BP283">
        <v>1</v>
      </c>
      <c r="BQ283">
        <v>3</v>
      </c>
      <c r="BR283">
        <v>0</v>
      </c>
      <c r="BS283">
        <v>24.22</v>
      </c>
      <c r="BT283">
        <v>1</v>
      </c>
      <c r="BU283">
        <v>1</v>
      </c>
      <c r="BV283">
        <v>1</v>
      </c>
      <c r="BW283">
        <v>1</v>
      </c>
      <c r="BX283">
        <v>1</v>
      </c>
      <c r="BY283" t="s">
        <v>6</v>
      </c>
      <c r="BZ283">
        <v>97</v>
      </c>
      <c r="CA283">
        <v>51</v>
      </c>
      <c r="CB283" t="s">
        <v>6</v>
      </c>
      <c r="CE283">
        <v>0</v>
      </c>
      <c r="CF283">
        <v>0</v>
      </c>
      <c r="CG283">
        <v>0</v>
      </c>
      <c r="CM283">
        <v>0</v>
      </c>
      <c r="CN283" t="s">
        <v>6</v>
      </c>
      <c r="CO283">
        <v>0</v>
      </c>
      <c r="CP283">
        <f>(P283+Q283+S283)</f>
        <v>126.01</v>
      </c>
      <c r="CQ283">
        <f>AC283*BC283</f>
        <v>111.68</v>
      </c>
      <c r="CR283">
        <f>AD283*BB283</f>
        <v>16.512</v>
      </c>
      <c r="CS283">
        <f t="shared" si="324"/>
        <v>0.46800000000000003</v>
      </c>
      <c r="CT283">
        <f t="shared" si="324"/>
        <v>396.88799999999998</v>
      </c>
      <c r="CU283">
        <f t="shared" si="324"/>
        <v>0</v>
      </c>
      <c r="CV283">
        <f t="shared" si="324"/>
        <v>41.472000000000001</v>
      </c>
      <c r="CW283">
        <f t="shared" si="324"/>
        <v>3.5999999999999997E-2</v>
      </c>
      <c r="CX283">
        <f t="shared" si="324"/>
        <v>0</v>
      </c>
      <c r="CY283">
        <f>(((S283+R283)*AT283)/100)</f>
        <v>92.499200000000002</v>
      </c>
      <c r="CZ283">
        <f>(((S283+R283)*AU283)/100)</f>
        <v>48.633599999999994</v>
      </c>
      <c r="DC283" t="s">
        <v>6</v>
      </c>
      <c r="DD283" t="s">
        <v>6</v>
      </c>
      <c r="DE283" t="s">
        <v>669</v>
      </c>
      <c r="DF283" t="s">
        <v>669</v>
      </c>
      <c r="DG283" t="s">
        <v>669</v>
      </c>
      <c r="DH283" t="s">
        <v>6</v>
      </c>
      <c r="DI283" t="s">
        <v>669</v>
      </c>
      <c r="DJ283" t="s">
        <v>669</v>
      </c>
      <c r="DK283" t="s">
        <v>6</v>
      </c>
      <c r="DL283" t="s">
        <v>6</v>
      </c>
      <c r="DM283" t="s">
        <v>6</v>
      </c>
      <c r="DN283">
        <v>0</v>
      </c>
      <c r="DO283">
        <v>0</v>
      </c>
      <c r="DP283">
        <v>1</v>
      </c>
      <c r="DQ283">
        <v>1</v>
      </c>
      <c r="DU283">
        <v>1010</v>
      </c>
      <c r="DV283" t="s">
        <v>680</v>
      </c>
      <c r="DW283" t="s">
        <v>680</v>
      </c>
      <c r="DX283">
        <v>100</v>
      </c>
      <c r="DZ283" t="s">
        <v>6</v>
      </c>
      <c r="EA283" t="s">
        <v>6</v>
      </c>
      <c r="EB283" t="s">
        <v>6</v>
      </c>
      <c r="EC283" t="s">
        <v>6</v>
      </c>
      <c r="EE283">
        <v>30852757</v>
      </c>
      <c r="EF283">
        <v>3</v>
      </c>
      <c r="EG283" t="s">
        <v>670</v>
      </c>
      <c r="EH283">
        <v>0</v>
      </c>
      <c r="EI283" t="s">
        <v>6</v>
      </c>
      <c r="EJ283">
        <v>2</v>
      </c>
      <c r="EK283">
        <v>108001</v>
      </c>
      <c r="EL283" t="s">
        <v>671</v>
      </c>
      <c r="EM283" t="s">
        <v>672</v>
      </c>
      <c r="EO283" t="s">
        <v>6</v>
      </c>
      <c r="EQ283">
        <v>131072</v>
      </c>
      <c r="ER283">
        <v>456.18</v>
      </c>
      <c r="ES283">
        <v>111.68</v>
      </c>
      <c r="ET283">
        <v>13.76</v>
      </c>
      <c r="EU283">
        <v>0.39</v>
      </c>
      <c r="EV283">
        <v>330.74</v>
      </c>
      <c r="EW283">
        <v>34.56</v>
      </c>
      <c r="EX283">
        <v>0.03</v>
      </c>
      <c r="EY283">
        <v>0</v>
      </c>
      <c r="FQ283">
        <v>0</v>
      </c>
      <c r="FR283">
        <f>ROUND(IF(AND(BH283=3,BI283=3),P283,0),2)</f>
        <v>0</v>
      </c>
      <c r="FS283">
        <v>0</v>
      </c>
      <c r="FX283">
        <v>97</v>
      </c>
      <c r="FY283">
        <v>51</v>
      </c>
      <c r="GA283" t="s">
        <v>6</v>
      </c>
      <c r="GD283">
        <v>1</v>
      </c>
      <c r="GF283">
        <v>1000788573</v>
      </c>
      <c r="GG283">
        <v>2</v>
      </c>
      <c r="GH283">
        <v>1</v>
      </c>
      <c r="GI283">
        <v>4</v>
      </c>
      <c r="GJ283">
        <v>0</v>
      </c>
      <c r="GK283">
        <v>0</v>
      </c>
      <c r="GL283">
        <f>ROUND(IF(AND(BH283=3,BI283=3,FS283&lt;&gt;0),P283,0),2)</f>
        <v>0</v>
      </c>
      <c r="GM283">
        <f>ROUND(O283+X283+Y283,2)+GX283</f>
        <v>267.14</v>
      </c>
      <c r="GN283">
        <f>IF(OR(BI283=0,BI283=1),ROUND(O283+X283+Y283,2),0)</f>
        <v>0</v>
      </c>
      <c r="GO283">
        <f>IF(BI283=2,ROUND(O283+X283+Y283,2),0)</f>
        <v>267.14</v>
      </c>
      <c r="GP283">
        <f>IF(BI283=4,ROUND(O283+X283+Y283,2)+GX283,0)</f>
        <v>0</v>
      </c>
      <c r="GR283">
        <v>0</v>
      </c>
      <c r="GS283">
        <v>0</v>
      </c>
      <c r="GT283">
        <v>0</v>
      </c>
      <c r="GU283" t="s">
        <v>6</v>
      </c>
      <c r="GV283">
        <f>ROUND((GT283),6)</f>
        <v>0</v>
      </c>
      <c r="GW283">
        <v>1</v>
      </c>
      <c r="GX283">
        <f>ROUND(HC283*I283,2)</f>
        <v>0</v>
      </c>
      <c r="HA283">
        <v>0</v>
      </c>
      <c r="HB283">
        <v>0</v>
      </c>
      <c r="HC283">
        <f>GV283*GW283</f>
        <v>0</v>
      </c>
      <c r="HE283" t="s">
        <v>6</v>
      </c>
      <c r="HF283" t="s">
        <v>6</v>
      </c>
      <c r="HI283">
        <f>ROUND(R283*BS283,0)</f>
        <v>3</v>
      </c>
      <c r="HJ283">
        <f>ROUND(S283*BA283,0)</f>
        <v>2307</v>
      </c>
      <c r="HK283">
        <f>ROUND((((HJ283+HI283)*AT283)/100),0)</f>
        <v>2241</v>
      </c>
      <c r="HL283">
        <f>ROUND((((HJ283+HI283)*AU283)/100),0)</f>
        <v>1178</v>
      </c>
      <c r="HM283" t="s">
        <v>6</v>
      </c>
      <c r="HN283" t="s">
        <v>6</v>
      </c>
      <c r="HO283" t="s">
        <v>6</v>
      </c>
      <c r="HP283" t="s">
        <v>6</v>
      </c>
      <c r="HQ283" t="s">
        <v>6</v>
      </c>
      <c r="IK283">
        <v>0</v>
      </c>
    </row>
    <row r="284" spans="1:245">
      <c r="A284">
        <v>19</v>
      </c>
      <c r="B284">
        <v>1</v>
      </c>
      <c r="F284" t="s">
        <v>6</v>
      </c>
      <c r="G284" t="s">
        <v>690</v>
      </c>
      <c r="H284" t="s">
        <v>6</v>
      </c>
      <c r="AA284">
        <v>1</v>
      </c>
      <c r="IK284">
        <v>0</v>
      </c>
    </row>
    <row r="285" spans="1:245">
      <c r="A285">
        <v>17</v>
      </c>
      <c r="B285">
        <v>1</v>
      </c>
      <c r="E285" t="s">
        <v>691</v>
      </c>
      <c r="F285" t="s">
        <v>692</v>
      </c>
      <c r="G285" t="s">
        <v>693</v>
      </c>
      <c r="H285" t="s">
        <v>694</v>
      </c>
      <c r="I285">
        <f>ROUND(200*4/1000,7)</f>
        <v>0.8</v>
      </c>
      <c r="J285">
        <v>0</v>
      </c>
      <c r="K285">
        <f>ROUND(200*4/1000,7)</f>
        <v>0.8</v>
      </c>
      <c r="O285">
        <f>ROUND(CP285,2)</f>
        <v>2825.12</v>
      </c>
      <c r="P285">
        <f>ROUND(CQ285*I285,2)</f>
        <v>2825.12</v>
      </c>
      <c r="Q285">
        <f>ROUND(CR285*I285,2)</f>
        <v>0</v>
      </c>
      <c r="R285">
        <f>ROUND(CS285*I285,2)</f>
        <v>0</v>
      </c>
      <c r="S285">
        <f>ROUND(CT285*I285,2)</f>
        <v>0</v>
      </c>
      <c r="T285">
        <f>ROUND(CU285*I285,2)</f>
        <v>0</v>
      </c>
      <c r="U285">
        <f>CV285*I285</f>
        <v>0</v>
      </c>
      <c r="V285">
        <f>CW285*I285</f>
        <v>0</v>
      </c>
      <c r="W285">
        <f>ROUND(CX285*I285,2)</f>
        <v>0</v>
      </c>
      <c r="X285">
        <f t="shared" ref="X285:Y289" si="325">ROUND(CY285,2)</f>
        <v>0</v>
      </c>
      <c r="Y285">
        <f t="shared" si="325"/>
        <v>0</v>
      </c>
      <c r="AA285">
        <v>31028412</v>
      </c>
      <c r="AB285">
        <f>ROUND((AC285+AD285+AF285),6)</f>
        <v>3531.4</v>
      </c>
      <c r="AC285">
        <f>ROUND((ES285),6)</f>
        <v>3531.4</v>
      </c>
      <c r="AD285">
        <f>ROUND((((ET285)-(EU285))+AE285),6)</f>
        <v>0</v>
      </c>
      <c r="AE285">
        <f t="shared" ref="AE285:AF289" si="326">ROUND((EU285),6)</f>
        <v>0</v>
      </c>
      <c r="AF285">
        <f t="shared" si="326"/>
        <v>0</v>
      </c>
      <c r="AG285">
        <f>ROUND((AP285),6)</f>
        <v>0</v>
      </c>
      <c r="AH285">
        <f t="shared" ref="AH285:AI289" si="327">(EW285)</f>
        <v>0</v>
      </c>
      <c r="AI285">
        <f t="shared" si="327"/>
        <v>0</v>
      </c>
      <c r="AJ285">
        <f>(AS285)</f>
        <v>0</v>
      </c>
      <c r="AK285">
        <v>3531.4</v>
      </c>
      <c r="AL285">
        <v>3531.4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1</v>
      </c>
      <c r="AW285">
        <v>1</v>
      </c>
      <c r="AZ285">
        <v>1</v>
      </c>
      <c r="BA285">
        <v>1</v>
      </c>
      <c r="BB285">
        <v>1</v>
      </c>
      <c r="BC285">
        <v>1</v>
      </c>
      <c r="BD285" t="s">
        <v>6</v>
      </c>
      <c r="BE285" t="s">
        <v>6</v>
      </c>
      <c r="BF285" t="s">
        <v>6</v>
      </c>
      <c r="BG285" t="s">
        <v>6</v>
      </c>
      <c r="BH285">
        <v>3</v>
      </c>
      <c r="BI285">
        <v>2</v>
      </c>
      <c r="BJ285" t="s">
        <v>695</v>
      </c>
      <c r="BM285">
        <v>500002</v>
      </c>
      <c r="BN285">
        <v>0</v>
      </c>
      <c r="BO285" t="s">
        <v>111</v>
      </c>
      <c r="BP285">
        <v>1</v>
      </c>
      <c r="BQ285">
        <v>12</v>
      </c>
      <c r="BR285">
        <v>0</v>
      </c>
      <c r="BS285">
        <v>1</v>
      </c>
      <c r="BT285">
        <v>1</v>
      </c>
      <c r="BU285">
        <v>1</v>
      </c>
      <c r="BV285">
        <v>1</v>
      </c>
      <c r="BW285">
        <v>1</v>
      </c>
      <c r="BX285">
        <v>1</v>
      </c>
      <c r="BY285" t="s">
        <v>6</v>
      </c>
      <c r="BZ285">
        <v>0</v>
      </c>
      <c r="CA285">
        <v>0</v>
      </c>
      <c r="CB285" t="s">
        <v>6</v>
      </c>
      <c r="CE285">
        <v>0</v>
      </c>
      <c r="CF285">
        <v>0</v>
      </c>
      <c r="CG285">
        <v>0</v>
      </c>
      <c r="CM285">
        <v>0</v>
      </c>
      <c r="CN285" t="s">
        <v>6</v>
      </c>
      <c r="CO285">
        <v>0</v>
      </c>
      <c r="CP285">
        <f>(P285+Q285+S285)</f>
        <v>2825.12</v>
      </c>
      <c r="CQ285">
        <f>AC285*BC285</f>
        <v>3531.4</v>
      </c>
      <c r="CR285">
        <f>AD285*BB285</f>
        <v>0</v>
      </c>
      <c r="CS285">
        <f t="shared" ref="CS285:CX289" si="328">AE285</f>
        <v>0</v>
      </c>
      <c r="CT285">
        <f t="shared" si="328"/>
        <v>0</v>
      </c>
      <c r="CU285">
        <f t="shared" si="328"/>
        <v>0</v>
      </c>
      <c r="CV285">
        <f t="shared" si="328"/>
        <v>0</v>
      </c>
      <c r="CW285">
        <f t="shared" si="328"/>
        <v>0</v>
      </c>
      <c r="CX285">
        <f t="shared" si="328"/>
        <v>0</v>
      </c>
      <c r="CY285">
        <f>(((S285+R285)*AT285)/100)</f>
        <v>0</v>
      </c>
      <c r="CZ285">
        <f>(((S285+R285)*AU285)/100)</f>
        <v>0</v>
      </c>
      <c r="DC285" t="s">
        <v>6</v>
      </c>
      <c r="DD285" t="s">
        <v>6</v>
      </c>
      <c r="DE285" t="s">
        <v>6</v>
      </c>
      <c r="DF285" t="s">
        <v>6</v>
      </c>
      <c r="DG285" t="s">
        <v>6</v>
      </c>
      <c r="DH285" t="s">
        <v>6</v>
      </c>
      <c r="DI285" t="s">
        <v>6</v>
      </c>
      <c r="DJ285" t="s">
        <v>6</v>
      </c>
      <c r="DK285" t="s">
        <v>6</v>
      </c>
      <c r="DL285" t="s">
        <v>6</v>
      </c>
      <c r="DM285" t="s">
        <v>6</v>
      </c>
      <c r="DN285">
        <v>0</v>
      </c>
      <c r="DO285">
        <v>0</v>
      </c>
      <c r="DP285">
        <v>1</v>
      </c>
      <c r="DQ285">
        <v>1</v>
      </c>
      <c r="DU285">
        <v>1013</v>
      </c>
      <c r="DV285" t="s">
        <v>694</v>
      </c>
      <c r="DW285" t="s">
        <v>696</v>
      </c>
      <c r="DX285">
        <v>1</v>
      </c>
      <c r="DZ285" t="s">
        <v>6</v>
      </c>
      <c r="EA285" t="s">
        <v>6</v>
      </c>
      <c r="EB285" t="s">
        <v>6</v>
      </c>
      <c r="EC285" t="s">
        <v>6</v>
      </c>
      <c r="EE285">
        <v>30852825</v>
      </c>
      <c r="EF285">
        <v>12</v>
      </c>
      <c r="EG285" t="s">
        <v>631</v>
      </c>
      <c r="EH285">
        <v>0</v>
      </c>
      <c r="EI285" t="s">
        <v>6</v>
      </c>
      <c r="EJ285">
        <v>2</v>
      </c>
      <c r="EK285">
        <v>500002</v>
      </c>
      <c r="EL285" t="s">
        <v>632</v>
      </c>
      <c r="EM285" t="s">
        <v>633</v>
      </c>
      <c r="EO285" t="s">
        <v>6</v>
      </c>
      <c r="EQ285">
        <v>131072</v>
      </c>
      <c r="ER285">
        <v>3531.4</v>
      </c>
      <c r="ES285">
        <v>3531.4</v>
      </c>
      <c r="ET285">
        <v>0</v>
      </c>
      <c r="EU285">
        <v>0</v>
      </c>
      <c r="EV285">
        <v>0</v>
      </c>
      <c r="EW285">
        <v>0</v>
      </c>
      <c r="EX285">
        <v>0</v>
      </c>
      <c r="EY285">
        <v>0</v>
      </c>
      <c r="FQ285">
        <v>0</v>
      </c>
      <c r="FR285">
        <f>ROUND(IF(AND(BH285=3,BI285=3),P285,0),2)</f>
        <v>0</v>
      </c>
      <c r="FS285">
        <v>0</v>
      </c>
      <c r="FX285">
        <v>0</v>
      </c>
      <c r="FY285">
        <v>0</v>
      </c>
      <c r="GA285" t="s">
        <v>6</v>
      </c>
      <c r="GD285">
        <v>1</v>
      </c>
      <c r="GF285">
        <v>1376071353</v>
      </c>
      <c r="GG285">
        <v>2</v>
      </c>
      <c r="GH285">
        <v>1</v>
      </c>
      <c r="GI285">
        <v>4</v>
      </c>
      <c r="GJ285">
        <v>0</v>
      </c>
      <c r="GK285">
        <v>0</v>
      </c>
      <c r="GL285">
        <f>ROUND(IF(AND(BH285=3,BI285=3,FS285&lt;&gt;0),P285,0),2)</f>
        <v>0</v>
      </c>
      <c r="GM285">
        <f>ROUND(O285+X285+Y285,2)+GX285</f>
        <v>2825.12</v>
      </c>
      <c r="GN285">
        <f>IF(OR(BI285=0,BI285=1),ROUND(O285+X285+Y285,2),0)</f>
        <v>0</v>
      </c>
      <c r="GO285">
        <f>IF(BI285=2,ROUND(O285+X285+Y285,2),0)</f>
        <v>2825.12</v>
      </c>
      <c r="GP285">
        <f>IF(BI285=4,ROUND(O285+X285+Y285,2)+GX285,0)</f>
        <v>0</v>
      </c>
      <c r="GR285">
        <v>0</v>
      </c>
      <c r="GS285">
        <v>0</v>
      </c>
      <c r="GT285">
        <v>0</v>
      </c>
      <c r="GU285" t="s">
        <v>6</v>
      </c>
      <c r="GV285">
        <f>ROUND((GT285),6)</f>
        <v>0</v>
      </c>
      <c r="GW285">
        <v>1</v>
      </c>
      <c r="GX285">
        <f>ROUND(HC285*I285,2)</f>
        <v>0</v>
      </c>
      <c r="HA285">
        <v>0</v>
      </c>
      <c r="HB285">
        <v>0</v>
      </c>
      <c r="HC285">
        <f>GV285*GW285</f>
        <v>0</v>
      </c>
      <c r="HE285" t="s">
        <v>6</v>
      </c>
      <c r="HF285" t="s">
        <v>6</v>
      </c>
      <c r="HI285">
        <f>ROUND(R285*BS285,0)</f>
        <v>0</v>
      </c>
      <c r="HJ285">
        <f>ROUND(S285*BA285,0)</f>
        <v>0</v>
      </c>
      <c r="HK285">
        <f>ROUND((((HJ285+HI285)*AT285)/100),0)</f>
        <v>0</v>
      </c>
      <c r="HL285">
        <f>ROUND((((HJ285+HI285)*AU285)/100),0)</f>
        <v>0</v>
      </c>
      <c r="HM285" t="s">
        <v>6</v>
      </c>
      <c r="HN285" t="s">
        <v>6</v>
      </c>
      <c r="HO285" t="s">
        <v>6</v>
      </c>
      <c r="HP285" t="s">
        <v>6</v>
      </c>
      <c r="HQ285" t="s">
        <v>6</v>
      </c>
      <c r="IK285">
        <v>0</v>
      </c>
    </row>
    <row r="286" spans="1:245">
      <c r="A286">
        <v>17</v>
      </c>
      <c r="B286">
        <v>1</v>
      </c>
      <c r="E286" t="s">
        <v>697</v>
      </c>
      <c r="F286" t="s">
        <v>698</v>
      </c>
      <c r="G286" t="s">
        <v>699</v>
      </c>
      <c r="H286" t="s">
        <v>694</v>
      </c>
      <c r="I286">
        <f>ROUND(100*4/1000,7)</f>
        <v>0.4</v>
      </c>
      <c r="J286">
        <v>0</v>
      </c>
      <c r="K286">
        <f>ROUND(100*4/1000,7)</f>
        <v>0.4</v>
      </c>
      <c r="O286">
        <f>ROUND(CP286,2)</f>
        <v>2262.04</v>
      </c>
      <c r="P286">
        <f>ROUND(CQ286*I286,2)</f>
        <v>2262.04</v>
      </c>
      <c r="Q286">
        <f>ROUND(CR286*I286,2)</f>
        <v>0</v>
      </c>
      <c r="R286">
        <f>ROUND(CS286*I286,2)</f>
        <v>0</v>
      </c>
      <c r="S286">
        <f>ROUND(CT286*I286,2)</f>
        <v>0</v>
      </c>
      <c r="T286">
        <f>ROUND(CU286*I286,2)</f>
        <v>0</v>
      </c>
      <c r="U286">
        <f>CV286*I286</f>
        <v>0</v>
      </c>
      <c r="V286">
        <f>CW286*I286</f>
        <v>0</v>
      </c>
      <c r="W286">
        <f>ROUND(CX286*I286,2)</f>
        <v>0</v>
      </c>
      <c r="X286">
        <f t="shared" si="325"/>
        <v>0</v>
      </c>
      <c r="Y286">
        <f t="shared" si="325"/>
        <v>0</v>
      </c>
      <c r="AA286">
        <v>31028412</v>
      </c>
      <c r="AB286">
        <f>ROUND((AC286+AD286+AF286),6)</f>
        <v>5655.1</v>
      </c>
      <c r="AC286">
        <f>ROUND((ES286),6)</f>
        <v>5655.1</v>
      </c>
      <c r="AD286">
        <f>ROUND((((ET286)-(EU286))+AE286),6)</f>
        <v>0</v>
      </c>
      <c r="AE286">
        <f t="shared" si="326"/>
        <v>0</v>
      </c>
      <c r="AF286">
        <f t="shared" si="326"/>
        <v>0</v>
      </c>
      <c r="AG286">
        <f>ROUND((AP286),6)</f>
        <v>0</v>
      </c>
      <c r="AH286">
        <f t="shared" si="327"/>
        <v>0</v>
      </c>
      <c r="AI286">
        <f t="shared" si="327"/>
        <v>0</v>
      </c>
      <c r="AJ286">
        <f>(AS286)</f>
        <v>0</v>
      </c>
      <c r="AK286">
        <v>5655.1</v>
      </c>
      <c r="AL286">
        <v>5655.1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1</v>
      </c>
      <c r="AW286">
        <v>1</v>
      </c>
      <c r="AZ286">
        <v>1</v>
      </c>
      <c r="BA286">
        <v>1</v>
      </c>
      <c r="BB286">
        <v>1</v>
      </c>
      <c r="BC286">
        <v>1</v>
      </c>
      <c r="BD286" t="s">
        <v>6</v>
      </c>
      <c r="BE286" t="s">
        <v>6</v>
      </c>
      <c r="BF286" t="s">
        <v>6</v>
      </c>
      <c r="BG286" t="s">
        <v>6</v>
      </c>
      <c r="BH286">
        <v>3</v>
      </c>
      <c r="BI286">
        <v>2</v>
      </c>
      <c r="BJ286" t="s">
        <v>700</v>
      </c>
      <c r="BM286">
        <v>500002</v>
      </c>
      <c r="BN286">
        <v>0</v>
      </c>
      <c r="BO286" t="s">
        <v>111</v>
      </c>
      <c r="BP286">
        <v>1</v>
      </c>
      <c r="BQ286">
        <v>12</v>
      </c>
      <c r="BR286">
        <v>0</v>
      </c>
      <c r="BS286">
        <v>1</v>
      </c>
      <c r="BT286">
        <v>1</v>
      </c>
      <c r="BU286">
        <v>1</v>
      </c>
      <c r="BV286">
        <v>1</v>
      </c>
      <c r="BW286">
        <v>1</v>
      </c>
      <c r="BX286">
        <v>1</v>
      </c>
      <c r="BY286" t="s">
        <v>6</v>
      </c>
      <c r="BZ286">
        <v>0</v>
      </c>
      <c r="CA286">
        <v>0</v>
      </c>
      <c r="CB286" t="s">
        <v>6</v>
      </c>
      <c r="CE286">
        <v>0</v>
      </c>
      <c r="CF286">
        <v>0</v>
      </c>
      <c r="CG286">
        <v>0</v>
      </c>
      <c r="CM286">
        <v>0</v>
      </c>
      <c r="CN286" t="s">
        <v>6</v>
      </c>
      <c r="CO286">
        <v>0</v>
      </c>
      <c r="CP286">
        <f>(P286+Q286+S286)</f>
        <v>2262.04</v>
      </c>
      <c r="CQ286">
        <f>AC286*BC286</f>
        <v>5655.1</v>
      </c>
      <c r="CR286">
        <f>AD286*BB286</f>
        <v>0</v>
      </c>
      <c r="CS286">
        <f t="shared" si="328"/>
        <v>0</v>
      </c>
      <c r="CT286">
        <f t="shared" si="328"/>
        <v>0</v>
      </c>
      <c r="CU286">
        <f t="shared" si="328"/>
        <v>0</v>
      </c>
      <c r="CV286">
        <f t="shared" si="328"/>
        <v>0</v>
      </c>
      <c r="CW286">
        <f t="shared" si="328"/>
        <v>0</v>
      </c>
      <c r="CX286">
        <f t="shared" si="328"/>
        <v>0</v>
      </c>
      <c r="CY286">
        <f>(((S286+R286)*AT286)/100)</f>
        <v>0</v>
      </c>
      <c r="CZ286">
        <f>(((S286+R286)*AU286)/100)</f>
        <v>0</v>
      </c>
      <c r="DC286" t="s">
        <v>6</v>
      </c>
      <c r="DD286" t="s">
        <v>6</v>
      </c>
      <c r="DE286" t="s">
        <v>6</v>
      </c>
      <c r="DF286" t="s">
        <v>6</v>
      </c>
      <c r="DG286" t="s">
        <v>6</v>
      </c>
      <c r="DH286" t="s">
        <v>6</v>
      </c>
      <c r="DI286" t="s">
        <v>6</v>
      </c>
      <c r="DJ286" t="s">
        <v>6</v>
      </c>
      <c r="DK286" t="s">
        <v>6</v>
      </c>
      <c r="DL286" t="s">
        <v>6</v>
      </c>
      <c r="DM286" t="s">
        <v>6</v>
      </c>
      <c r="DN286">
        <v>0</v>
      </c>
      <c r="DO286">
        <v>0</v>
      </c>
      <c r="DP286">
        <v>1</v>
      </c>
      <c r="DQ286">
        <v>1</v>
      </c>
      <c r="DU286">
        <v>1013</v>
      </c>
      <c r="DV286" t="s">
        <v>694</v>
      </c>
      <c r="DW286" t="s">
        <v>696</v>
      </c>
      <c r="DX286">
        <v>1</v>
      </c>
      <c r="DZ286" t="s">
        <v>6</v>
      </c>
      <c r="EA286" t="s">
        <v>6</v>
      </c>
      <c r="EB286" t="s">
        <v>6</v>
      </c>
      <c r="EC286" t="s">
        <v>6</v>
      </c>
      <c r="EE286">
        <v>30852825</v>
      </c>
      <c r="EF286">
        <v>12</v>
      </c>
      <c r="EG286" t="s">
        <v>631</v>
      </c>
      <c r="EH286">
        <v>0</v>
      </c>
      <c r="EI286" t="s">
        <v>6</v>
      </c>
      <c r="EJ286">
        <v>2</v>
      </c>
      <c r="EK286">
        <v>500002</v>
      </c>
      <c r="EL286" t="s">
        <v>632</v>
      </c>
      <c r="EM286" t="s">
        <v>633</v>
      </c>
      <c r="EO286" t="s">
        <v>6</v>
      </c>
      <c r="EQ286">
        <v>131072</v>
      </c>
      <c r="ER286">
        <v>5655.1</v>
      </c>
      <c r="ES286">
        <v>5655.1</v>
      </c>
      <c r="ET286">
        <v>0</v>
      </c>
      <c r="EU286">
        <v>0</v>
      </c>
      <c r="EV286">
        <v>0</v>
      </c>
      <c r="EW286">
        <v>0</v>
      </c>
      <c r="EX286">
        <v>0</v>
      </c>
      <c r="EY286">
        <v>0</v>
      </c>
      <c r="FQ286">
        <v>0</v>
      </c>
      <c r="FR286">
        <f>ROUND(IF(AND(BH286=3,BI286=3),P286,0),2)</f>
        <v>0</v>
      </c>
      <c r="FS286">
        <v>0</v>
      </c>
      <c r="FX286">
        <v>0</v>
      </c>
      <c r="FY286">
        <v>0</v>
      </c>
      <c r="GA286" t="s">
        <v>6</v>
      </c>
      <c r="GD286">
        <v>1</v>
      </c>
      <c r="GF286">
        <v>1190223358</v>
      </c>
      <c r="GG286">
        <v>2</v>
      </c>
      <c r="GH286">
        <v>1</v>
      </c>
      <c r="GI286">
        <v>4</v>
      </c>
      <c r="GJ286">
        <v>0</v>
      </c>
      <c r="GK286">
        <v>0</v>
      </c>
      <c r="GL286">
        <f>ROUND(IF(AND(BH286=3,BI286=3,FS286&lt;&gt;0),P286,0),2)</f>
        <v>0</v>
      </c>
      <c r="GM286">
        <f>ROUND(O286+X286+Y286,2)+GX286</f>
        <v>2262.04</v>
      </c>
      <c r="GN286">
        <f>IF(OR(BI286=0,BI286=1),ROUND(O286+X286+Y286,2),0)</f>
        <v>0</v>
      </c>
      <c r="GO286">
        <f>IF(BI286=2,ROUND(O286+X286+Y286,2),0)</f>
        <v>2262.04</v>
      </c>
      <c r="GP286">
        <f>IF(BI286=4,ROUND(O286+X286+Y286,2)+GX286,0)</f>
        <v>0</v>
      </c>
      <c r="GR286">
        <v>0</v>
      </c>
      <c r="GS286">
        <v>0</v>
      </c>
      <c r="GT286">
        <v>0</v>
      </c>
      <c r="GU286" t="s">
        <v>6</v>
      </c>
      <c r="GV286">
        <f>ROUND((GT286),6)</f>
        <v>0</v>
      </c>
      <c r="GW286">
        <v>1</v>
      </c>
      <c r="GX286">
        <f>ROUND(HC286*I286,2)</f>
        <v>0</v>
      </c>
      <c r="HA286">
        <v>0</v>
      </c>
      <c r="HB286">
        <v>0</v>
      </c>
      <c r="HC286">
        <f>GV286*GW286</f>
        <v>0</v>
      </c>
      <c r="HE286" t="s">
        <v>6</v>
      </c>
      <c r="HF286" t="s">
        <v>6</v>
      </c>
      <c r="HI286">
        <f>ROUND(R286*BS286,0)</f>
        <v>0</v>
      </c>
      <c r="HJ286">
        <f>ROUND(S286*BA286,0)</f>
        <v>0</v>
      </c>
      <c r="HK286">
        <f>ROUND((((HJ286+HI286)*AT286)/100),0)</f>
        <v>0</v>
      </c>
      <c r="HL286">
        <f>ROUND((((HJ286+HI286)*AU286)/100),0)</f>
        <v>0</v>
      </c>
      <c r="HM286" t="s">
        <v>6</v>
      </c>
      <c r="HN286" t="s">
        <v>6</v>
      </c>
      <c r="HO286" t="s">
        <v>6</v>
      </c>
      <c r="HP286" t="s">
        <v>6</v>
      </c>
      <c r="HQ286" t="s">
        <v>6</v>
      </c>
      <c r="IK286">
        <v>0</v>
      </c>
    </row>
    <row r="287" spans="1:245">
      <c r="A287">
        <v>17</v>
      </c>
      <c r="B287">
        <v>1</v>
      </c>
      <c r="E287" t="s">
        <v>701</v>
      </c>
      <c r="F287" t="s">
        <v>702</v>
      </c>
      <c r="G287" t="s">
        <v>703</v>
      </c>
      <c r="H287" t="s">
        <v>704</v>
      </c>
      <c r="I287">
        <f>ROUND(6*4,7)</f>
        <v>24</v>
      </c>
      <c r="J287">
        <v>0</v>
      </c>
      <c r="K287">
        <f>ROUND(6*4,7)</f>
        <v>24</v>
      </c>
      <c r="O287">
        <f>ROUND(CP287,2)</f>
        <v>217.68</v>
      </c>
      <c r="P287">
        <f>ROUND(CQ287*I287,2)</f>
        <v>217.68</v>
      </c>
      <c r="Q287">
        <f>ROUND(CR287*I287,2)</f>
        <v>0</v>
      </c>
      <c r="R287">
        <f>ROUND(CS287*I287,2)</f>
        <v>0</v>
      </c>
      <c r="S287">
        <f>ROUND(CT287*I287,2)</f>
        <v>0</v>
      </c>
      <c r="T287">
        <f>ROUND(CU287*I287,2)</f>
        <v>0</v>
      </c>
      <c r="U287">
        <f>CV287*I287</f>
        <v>0</v>
      </c>
      <c r="V287">
        <f>CW287*I287</f>
        <v>0</v>
      </c>
      <c r="W287">
        <f>ROUND(CX287*I287,2)</f>
        <v>0</v>
      </c>
      <c r="X287">
        <f t="shared" si="325"/>
        <v>0</v>
      </c>
      <c r="Y287">
        <f t="shared" si="325"/>
        <v>0</v>
      </c>
      <c r="AA287">
        <v>31028412</v>
      </c>
      <c r="AB287">
        <f>ROUND((AC287+AD287+AF287),6)</f>
        <v>9.07</v>
      </c>
      <c r="AC287">
        <f>ROUND((ES287),6)</f>
        <v>9.07</v>
      </c>
      <c r="AD287">
        <f>ROUND((((ET287)-(EU287))+AE287),6)</f>
        <v>0</v>
      </c>
      <c r="AE287">
        <f t="shared" si="326"/>
        <v>0</v>
      </c>
      <c r="AF287">
        <f t="shared" si="326"/>
        <v>0</v>
      </c>
      <c r="AG287">
        <f>ROUND((AP287),6)</f>
        <v>0</v>
      </c>
      <c r="AH287">
        <f t="shared" si="327"/>
        <v>0</v>
      </c>
      <c r="AI287">
        <f t="shared" si="327"/>
        <v>0</v>
      </c>
      <c r="AJ287">
        <f>(AS287)</f>
        <v>0</v>
      </c>
      <c r="AK287">
        <v>9.07</v>
      </c>
      <c r="AL287">
        <v>9.07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1</v>
      </c>
      <c r="AW287">
        <v>1</v>
      </c>
      <c r="AZ287">
        <v>1</v>
      </c>
      <c r="BA287">
        <v>1</v>
      </c>
      <c r="BB287">
        <v>1</v>
      </c>
      <c r="BC287">
        <v>1</v>
      </c>
      <c r="BD287" t="s">
        <v>6</v>
      </c>
      <c r="BE287" t="s">
        <v>6</v>
      </c>
      <c r="BF287" t="s">
        <v>6</v>
      </c>
      <c r="BG287" t="s">
        <v>6</v>
      </c>
      <c r="BH287">
        <v>3</v>
      </c>
      <c r="BI287">
        <v>2</v>
      </c>
      <c r="BJ287" t="s">
        <v>705</v>
      </c>
      <c r="BM287">
        <v>500002</v>
      </c>
      <c r="BN287">
        <v>0</v>
      </c>
      <c r="BO287" t="s">
        <v>111</v>
      </c>
      <c r="BP287">
        <v>1</v>
      </c>
      <c r="BQ287">
        <v>12</v>
      </c>
      <c r="BR287">
        <v>0</v>
      </c>
      <c r="BS287">
        <v>1</v>
      </c>
      <c r="BT287">
        <v>1</v>
      </c>
      <c r="BU287">
        <v>1</v>
      </c>
      <c r="BV287">
        <v>1</v>
      </c>
      <c r="BW287">
        <v>1</v>
      </c>
      <c r="BX287">
        <v>1</v>
      </c>
      <c r="BY287" t="s">
        <v>6</v>
      </c>
      <c r="BZ287">
        <v>0</v>
      </c>
      <c r="CA287">
        <v>0</v>
      </c>
      <c r="CB287" t="s">
        <v>6</v>
      </c>
      <c r="CE287">
        <v>0</v>
      </c>
      <c r="CF287">
        <v>0</v>
      </c>
      <c r="CG287">
        <v>0</v>
      </c>
      <c r="CM287">
        <v>0</v>
      </c>
      <c r="CN287" t="s">
        <v>6</v>
      </c>
      <c r="CO287">
        <v>0</v>
      </c>
      <c r="CP287">
        <f>(P287+Q287+S287)</f>
        <v>217.68</v>
      </c>
      <c r="CQ287">
        <f>AC287*BC287</f>
        <v>9.07</v>
      </c>
      <c r="CR287">
        <f>AD287*BB287</f>
        <v>0</v>
      </c>
      <c r="CS287">
        <f t="shared" si="328"/>
        <v>0</v>
      </c>
      <c r="CT287">
        <f t="shared" si="328"/>
        <v>0</v>
      </c>
      <c r="CU287">
        <f t="shared" si="328"/>
        <v>0</v>
      </c>
      <c r="CV287">
        <f t="shared" si="328"/>
        <v>0</v>
      </c>
      <c r="CW287">
        <f t="shared" si="328"/>
        <v>0</v>
      </c>
      <c r="CX287">
        <f t="shared" si="328"/>
        <v>0</v>
      </c>
      <c r="CY287">
        <f>(((S287+R287)*AT287)/100)</f>
        <v>0</v>
      </c>
      <c r="CZ287">
        <f>(((S287+R287)*AU287)/100)</f>
        <v>0</v>
      </c>
      <c r="DC287" t="s">
        <v>6</v>
      </c>
      <c r="DD287" t="s">
        <v>6</v>
      </c>
      <c r="DE287" t="s">
        <v>6</v>
      </c>
      <c r="DF287" t="s">
        <v>6</v>
      </c>
      <c r="DG287" t="s">
        <v>6</v>
      </c>
      <c r="DH287" t="s">
        <v>6</v>
      </c>
      <c r="DI287" t="s">
        <v>6</v>
      </c>
      <c r="DJ287" t="s">
        <v>6</v>
      </c>
      <c r="DK287" t="s">
        <v>6</v>
      </c>
      <c r="DL287" t="s">
        <v>6</v>
      </c>
      <c r="DM287" t="s">
        <v>6</v>
      </c>
      <c r="DN287">
        <v>0</v>
      </c>
      <c r="DO287">
        <v>0</v>
      </c>
      <c r="DP287">
        <v>1</v>
      </c>
      <c r="DQ287">
        <v>1</v>
      </c>
      <c r="DU287">
        <v>1010</v>
      </c>
      <c r="DV287" t="s">
        <v>704</v>
      </c>
      <c r="DW287" t="s">
        <v>704</v>
      </c>
      <c r="DX287">
        <v>1</v>
      </c>
      <c r="DZ287" t="s">
        <v>6</v>
      </c>
      <c r="EA287" t="s">
        <v>6</v>
      </c>
      <c r="EB287" t="s">
        <v>6</v>
      </c>
      <c r="EC287" t="s">
        <v>6</v>
      </c>
      <c r="EE287">
        <v>30852825</v>
      </c>
      <c r="EF287">
        <v>12</v>
      </c>
      <c r="EG287" t="s">
        <v>631</v>
      </c>
      <c r="EH287">
        <v>0</v>
      </c>
      <c r="EI287" t="s">
        <v>6</v>
      </c>
      <c r="EJ287">
        <v>2</v>
      </c>
      <c r="EK287">
        <v>500002</v>
      </c>
      <c r="EL287" t="s">
        <v>632</v>
      </c>
      <c r="EM287" t="s">
        <v>633</v>
      </c>
      <c r="EO287" t="s">
        <v>6</v>
      </c>
      <c r="EQ287">
        <v>131072</v>
      </c>
      <c r="ER287">
        <v>9.07</v>
      </c>
      <c r="ES287">
        <v>9.07</v>
      </c>
      <c r="ET287">
        <v>0</v>
      </c>
      <c r="EU287">
        <v>0</v>
      </c>
      <c r="EV287">
        <v>0</v>
      </c>
      <c r="EW287">
        <v>0</v>
      </c>
      <c r="EX287">
        <v>0</v>
      </c>
      <c r="EY287">
        <v>0</v>
      </c>
      <c r="FQ287">
        <v>0</v>
      </c>
      <c r="FR287">
        <f>ROUND(IF(AND(BH287=3,BI287=3),P287,0),2)</f>
        <v>0</v>
      </c>
      <c r="FS287">
        <v>0</v>
      </c>
      <c r="FX287">
        <v>0</v>
      </c>
      <c r="FY287">
        <v>0</v>
      </c>
      <c r="GA287" t="s">
        <v>6</v>
      </c>
      <c r="GD287">
        <v>1</v>
      </c>
      <c r="GF287">
        <v>-872419430</v>
      </c>
      <c r="GG287">
        <v>2</v>
      </c>
      <c r="GH287">
        <v>1</v>
      </c>
      <c r="GI287">
        <v>4</v>
      </c>
      <c r="GJ287">
        <v>0</v>
      </c>
      <c r="GK287">
        <v>0</v>
      </c>
      <c r="GL287">
        <f>ROUND(IF(AND(BH287=3,BI287=3,FS287&lt;&gt;0),P287,0),2)</f>
        <v>0</v>
      </c>
      <c r="GM287">
        <f>ROUND(O287+X287+Y287,2)+GX287</f>
        <v>217.68</v>
      </c>
      <c r="GN287">
        <f>IF(OR(BI287=0,BI287=1),ROUND(O287+X287+Y287,2),0)</f>
        <v>0</v>
      </c>
      <c r="GO287">
        <f>IF(BI287=2,ROUND(O287+X287+Y287,2),0)</f>
        <v>217.68</v>
      </c>
      <c r="GP287">
        <f>IF(BI287=4,ROUND(O287+X287+Y287,2)+GX287,0)</f>
        <v>0</v>
      </c>
      <c r="GR287">
        <v>0</v>
      </c>
      <c r="GS287">
        <v>0</v>
      </c>
      <c r="GT287">
        <v>0</v>
      </c>
      <c r="GU287" t="s">
        <v>6</v>
      </c>
      <c r="GV287">
        <f>ROUND((GT287),6)</f>
        <v>0</v>
      </c>
      <c r="GW287">
        <v>1</v>
      </c>
      <c r="GX287">
        <f>ROUND(HC287*I287,2)</f>
        <v>0</v>
      </c>
      <c r="HA287">
        <v>0</v>
      </c>
      <c r="HB287">
        <v>0</v>
      </c>
      <c r="HC287">
        <f>GV287*GW287</f>
        <v>0</v>
      </c>
      <c r="HE287" t="s">
        <v>6</v>
      </c>
      <c r="HF287" t="s">
        <v>6</v>
      </c>
      <c r="HI287">
        <f>ROUND(R287*BS287,0)</f>
        <v>0</v>
      </c>
      <c r="HJ287">
        <f>ROUND(S287*BA287,0)</f>
        <v>0</v>
      </c>
      <c r="HK287">
        <f>ROUND((((HJ287+HI287)*AT287)/100),0)</f>
        <v>0</v>
      </c>
      <c r="HL287">
        <f>ROUND((((HJ287+HI287)*AU287)/100),0)</f>
        <v>0</v>
      </c>
      <c r="HM287" t="s">
        <v>6</v>
      </c>
      <c r="HN287" t="s">
        <v>6</v>
      </c>
      <c r="HO287" t="s">
        <v>6</v>
      </c>
      <c r="HP287" t="s">
        <v>6</v>
      </c>
      <c r="HQ287" t="s">
        <v>6</v>
      </c>
      <c r="IK287">
        <v>0</v>
      </c>
    </row>
    <row r="288" spans="1:245">
      <c r="A288">
        <v>17</v>
      </c>
      <c r="B288">
        <v>1</v>
      </c>
      <c r="E288" t="s">
        <v>706</v>
      </c>
      <c r="F288" t="s">
        <v>707</v>
      </c>
      <c r="G288" t="s">
        <v>708</v>
      </c>
      <c r="H288" t="s">
        <v>704</v>
      </c>
      <c r="I288">
        <f>ROUND(3*4,7)</f>
        <v>12</v>
      </c>
      <c r="J288">
        <v>0</v>
      </c>
      <c r="K288">
        <f>ROUND(3*4,7)</f>
        <v>12</v>
      </c>
      <c r="O288">
        <f>ROUND(CP288,2)</f>
        <v>87.36</v>
      </c>
      <c r="P288">
        <f>ROUND(CQ288*I288,2)</f>
        <v>87.36</v>
      </c>
      <c r="Q288">
        <f>ROUND(CR288*I288,2)</f>
        <v>0</v>
      </c>
      <c r="R288">
        <f>ROUND(CS288*I288,2)</f>
        <v>0</v>
      </c>
      <c r="S288">
        <f>ROUND(CT288*I288,2)</f>
        <v>0</v>
      </c>
      <c r="T288">
        <f>ROUND(CU288*I288,2)</f>
        <v>0</v>
      </c>
      <c r="U288">
        <f>CV288*I288</f>
        <v>0</v>
      </c>
      <c r="V288">
        <f>CW288*I288</f>
        <v>0</v>
      </c>
      <c r="W288">
        <f>ROUND(CX288*I288,2)</f>
        <v>0</v>
      </c>
      <c r="X288">
        <f t="shared" si="325"/>
        <v>0</v>
      </c>
      <c r="Y288">
        <f t="shared" si="325"/>
        <v>0</v>
      </c>
      <c r="AA288">
        <v>31028412</v>
      </c>
      <c r="AB288">
        <f>ROUND((AC288+AD288+AF288),6)</f>
        <v>7.28</v>
      </c>
      <c r="AC288">
        <f>ROUND((ES288),6)</f>
        <v>7.28</v>
      </c>
      <c r="AD288">
        <f>ROUND((((ET288)-(EU288))+AE288),6)</f>
        <v>0</v>
      </c>
      <c r="AE288">
        <f t="shared" si="326"/>
        <v>0</v>
      </c>
      <c r="AF288">
        <f t="shared" si="326"/>
        <v>0</v>
      </c>
      <c r="AG288">
        <f>ROUND((AP288),6)</f>
        <v>0</v>
      </c>
      <c r="AH288">
        <f t="shared" si="327"/>
        <v>0</v>
      </c>
      <c r="AI288">
        <f t="shared" si="327"/>
        <v>0</v>
      </c>
      <c r="AJ288">
        <f>(AS288)</f>
        <v>0</v>
      </c>
      <c r="AK288">
        <v>7.28</v>
      </c>
      <c r="AL288">
        <v>7.28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1</v>
      </c>
      <c r="AW288">
        <v>1</v>
      </c>
      <c r="AZ288">
        <v>1</v>
      </c>
      <c r="BA288">
        <v>1</v>
      </c>
      <c r="BB288">
        <v>1</v>
      </c>
      <c r="BC288">
        <v>1</v>
      </c>
      <c r="BD288" t="s">
        <v>6</v>
      </c>
      <c r="BE288" t="s">
        <v>6</v>
      </c>
      <c r="BF288" t="s">
        <v>6</v>
      </c>
      <c r="BG288" t="s">
        <v>6</v>
      </c>
      <c r="BH288">
        <v>3</v>
      </c>
      <c r="BI288">
        <v>2</v>
      </c>
      <c r="BJ288" t="s">
        <v>709</v>
      </c>
      <c r="BM288">
        <v>500002</v>
      </c>
      <c r="BN288">
        <v>0</v>
      </c>
      <c r="BO288" t="s">
        <v>111</v>
      </c>
      <c r="BP288">
        <v>1</v>
      </c>
      <c r="BQ288">
        <v>12</v>
      </c>
      <c r="BR288">
        <v>0</v>
      </c>
      <c r="BS288">
        <v>1</v>
      </c>
      <c r="BT288">
        <v>1</v>
      </c>
      <c r="BU288">
        <v>1</v>
      </c>
      <c r="BV288">
        <v>1</v>
      </c>
      <c r="BW288">
        <v>1</v>
      </c>
      <c r="BX288">
        <v>1</v>
      </c>
      <c r="BY288" t="s">
        <v>6</v>
      </c>
      <c r="BZ288">
        <v>0</v>
      </c>
      <c r="CA288">
        <v>0</v>
      </c>
      <c r="CB288" t="s">
        <v>6</v>
      </c>
      <c r="CE288">
        <v>0</v>
      </c>
      <c r="CF288">
        <v>0</v>
      </c>
      <c r="CG288">
        <v>0</v>
      </c>
      <c r="CM288">
        <v>0</v>
      </c>
      <c r="CN288" t="s">
        <v>6</v>
      </c>
      <c r="CO288">
        <v>0</v>
      </c>
      <c r="CP288">
        <f>(P288+Q288+S288)</f>
        <v>87.36</v>
      </c>
      <c r="CQ288">
        <f>AC288*BC288</f>
        <v>7.28</v>
      </c>
      <c r="CR288">
        <f>AD288*BB288</f>
        <v>0</v>
      </c>
      <c r="CS288">
        <f t="shared" si="328"/>
        <v>0</v>
      </c>
      <c r="CT288">
        <f t="shared" si="328"/>
        <v>0</v>
      </c>
      <c r="CU288">
        <f t="shared" si="328"/>
        <v>0</v>
      </c>
      <c r="CV288">
        <f t="shared" si="328"/>
        <v>0</v>
      </c>
      <c r="CW288">
        <f t="shared" si="328"/>
        <v>0</v>
      </c>
      <c r="CX288">
        <f t="shared" si="328"/>
        <v>0</v>
      </c>
      <c r="CY288">
        <f>(((S288+R288)*AT288)/100)</f>
        <v>0</v>
      </c>
      <c r="CZ288">
        <f>(((S288+R288)*AU288)/100)</f>
        <v>0</v>
      </c>
      <c r="DC288" t="s">
        <v>6</v>
      </c>
      <c r="DD288" t="s">
        <v>6</v>
      </c>
      <c r="DE288" t="s">
        <v>6</v>
      </c>
      <c r="DF288" t="s">
        <v>6</v>
      </c>
      <c r="DG288" t="s">
        <v>6</v>
      </c>
      <c r="DH288" t="s">
        <v>6</v>
      </c>
      <c r="DI288" t="s">
        <v>6</v>
      </c>
      <c r="DJ288" t="s">
        <v>6</v>
      </c>
      <c r="DK288" t="s">
        <v>6</v>
      </c>
      <c r="DL288" t="s">
        <v>6</v>
      </c>
      <c r="DM288" t="s">
        <v>6</v>
      </c>
      <c r="DN288">
        <v>0</v>
      </c>
      <c r="DO288">
        <v>0</v>
      </c>
      <c r="DP288">
        <v>1</v>
      </c>
      <c r="DQ288">
        <v>1</v>
      </c>
      <c r="DU288">
        <v>1010</v>
      </c>
      <c r="DV288" t="s">
        <v>704</v>
      </c>
      <c r="DW288" t="s">
        <v>704</v>
      </c>
      <c r="DX288">
        <v>1</v>
      </c>
      <c r="DZ288" t="s">
        <v>6</v>
      </c>
      <c r="EA288" t="s">
        <v>6</v>
      </c>
      <c r="EB288" t="s">
        <v>6</v>
      </c>
      <c r="EC288" t="s">
        <v>6</v>
      </c>
      <c r="EE288">
        <v>30852825</v>
      </c>
      <c r="EF288">
        <v>12</v>
      </c>
      <c r="EG288" t="s">
        <v>631</v>
      </c>
      <c r="EH288">
        <v>0</v>
      </c>
      <c r="EI288" t="s">
        <v>6</v>
      </c>
      <c r="EJ288">
        <v>2</v>
      </c>
      <c r="EK288">
        <v>500002</v>
      </c>
      <c r="EL288" t="s">
        <v>632</v>
      </c>
      <c r="EM288" t="s">
        <v>633</v>
      </c>
      <c r="EO288" t="s">
        <v>6</v>
      </c>
      <c r="EQ288">
        <v>131072</v>
      </c>
      <c r="ER288">
        <v>7.28</v>
      </c>
      <c r="ES288">
        <v>7.28</v>
      </c>
      <c r="ET288">
        <v>0</v>
      </c>
      <c r="EU288">
        <v>0</v>
      </c>
      <c r="EV288">
        <v>0</v>
      </c>
      <c r="EW288">
        <v>0</v>
      </c>
      <c r="EX288">
        <v>0</v>
      </c>
      <c r="EY288">
        <v>0</v>
      </c>
      <c r="FQ288">
        <v>0</v>
      </c>
      <c r="FR288">
        <f>ROUND(IF(AND(BH288=3,BI288=3),P288,0),2)</f>
        <v>0</v>
      </c>
      <c r="FS288">
        <v>0</v>
      </c>
      <c r="FX288">
        <v>0</v>
      </c>
      <c r="FY288">
        <v>0</v>
      </c>
      <c r="GA288" t="s">
        <v>6</v>
      </c>
      <c r="GD288">
        <v>1</v>
      </c>
      <c r="GF288">
        <v>-658981023</v>
      </c>
      <c r="GG288">
        <v>2</v>
      </c>
      <c r="GH288">
        <v>1</v>
      </c>
      <c r="GI288">
        <v>4</v>
      </c>
      <c r="GJ288">
        <v>0</v>
      </c>
      <c r="GK288">
        <v>0</v>
      </c>
      <c r="GL288">
        <f>ROUND(IF(AND(BH288=3,BI288=3,FS288&lt;&gt;0),P288,0),2)</f>
        <v>0</v>
      </c>
      <c r="GM288">
        <f>ROUND(O288+X288+Y288,2)+GX288</f>
        <v>87.36</v>
      </c>
      <c r="GN288">
        <f>IF(OR(BI288=0,BI288=1),ROUND(O288+X288+Y288,2),0)</f>
        <v>0</v>
      </c>
      <c r="GO288">
        <f>IF(BI288=2,ROUND(O288+X288+Y288,2),0)</f>
        <v>87.36</v>
      </c>
      <c r="GP288">
        <f>IF(BI288=4,ROUND(O288+X288+Y288,2)+GX288,0)</f>
        <v>0</v>
      </c>
      <c r="GR288">
        <v>0</v>
      </c>
      <c r="GS288">
        <v>0</v>
      </c>
      <c r="GT288">
        <v>0</v>
      </c>
      <c r="GU288" t="s">
        <v>6</v>
      </c>
      <c r="GV288">
        <f>ROUND((GT288),6)</f>
        <v>0</v>
      </c>
      <c r="GW288">
        <v>1</v>
      </c>
      <c r="GX288">
        <f>ROUND(HC288*I288,2)</f>
        <v>0</v>
      </c>
      <c r="HA288">
        <v>0</v>
      </c>
      <c r="HB288">
        <v>0</v>
      </c>
      <c r="HC288">
        <f>GV288*GW288</f>
        <v>0</v>
      </c>
      <c r="HE288" t="s">
        <v>6</v>
      </c>
      <c r="HF288" t="s">
        <v>6</v>
      </c>
      <c r="HI288">
        <f>ROUND(R288*BS288,0)</f>
        <v>0</v>
      </c>
      <c r="HJ288">
        <f>ROUND(S288*BA288,0)</f>
        <v>0</v>
      </c>
      <c r="HK288">
        <f>ROUND((((HJ288+HI288)*AT288)/100),0)</f>
        <v>0</v>
      </c>
      <c r="HL288">
        <f>ROUND((((HJ288+HI288)*AU288)/100),0)</f>
        <v>0</v>
      </c>
      <c r="HM288" t="s">
        <v>6</v>
      </c>
      <c r="HN288" t="s">
        <v>6</v>
      </c>
      <c r="HO288" t="s">
        <v>6</v>
      </c>
      <c r="HP288" t="s">
        <v>6</v>
      </c>
      <c r="HQ288" t="s">
        <v>6</v>
      </c>
      <c r="IK288">
        <v>0</v>
      </c>
    </row>
    <row r="289" spans="1:245">
      <c r="A289">
        <v>17</v>
      </c>
      <c r="B289">
        <v>1</v>
      </c>
      <c r="E289" t="s">
        <v>710</v>
      </c>
      <c r="F289" t="s">
        <v>711</v>
      </c>
      <c r="G289" t="s">
        <v>712</v>
      </c>
      <c r="H289" t="s">
        <v>704</v>
      </c>
      <c r="I289">
        <f>ROUND(3*4,7)</f>
        <v>12</v>
      </c>
      <c r="J289">
        <v>0</v>
      </c>
      <c r="K289">
        <f>ROUND(3*4,7)</f>
        <v>12</v>
      </c>
      <c r="O289">
        <f>ROUND(CP289,2)</f>
        <v>1593.36</v>
      </c>
      <c r="P289">
        <f>ROUND(CQ289*I289,2)</f>
        <v>1593.36</v>
      </c>
      <c r="Q289">
        <f>ROUND(CR289*I289,2)</f>
        <v>0</v>
      </c>
      <c r="R289">
        <f>ROUND(CS289*I289,2)</f>
        <v>0</v>
      </c>
      <c r="S289">
        <f>ROUND(CT289*I289,2)</f>
        <v>0</v>
      </c>
      <c r="T289">
        <f>ROUND(CU289*I289,2)</f>
        <v>0</v>
      </c>
      <c r="U289">
        <f>CV289*I289</f>
        <v>0</v>
      </c>
      <c r="V289">
        <f>CW289*I289</f>
        <v>0</v>
      </c>
      <c r="W289">
        <f>ROUND(CX289*I289,2)</f>
        <v>0</v>
      </c>
      <c r="X289">
        <f t="shared" si="325"/>
        <v>0</v>
      </c>
      <c r="Y289">
        <f t="shared" si="325"/>
        <v>0</v>
      </c>
      <c r="AA289">
        <v>31028412</v>
      </c>
      <c r="AB289">
        <f>ROUND((AC289+AD289+AF289),6)</f>
        <v>132.78</v>
      </c>
      <c r="AC289">
        <f>ROUND((ES289),6)</f>
        <v>132.78</v>
      </c>
      <c r="AD289">
        <f>ROUND((((ET289)-(EU289))+AE289),6)</f>
        <v>0</v>
      </c>
      <c r="AE289">
        <f t="shared" si="326"/>
        <v>0</v>
      </c>
      <c r="AF289">
        <f t="shared" si="326"/>
        <v>0</v>
      </c>
      <c r="AG289">
        <f>ROUND((AP289),6)</f>
        <v>0</v>
      </c>
      <c r="AH289">
        <f t="shared" si="327"/>
        <v>0</v>
      </c>
      <c r="AI289">
        <f t="shared" si="327"/>
        <v>0</v>
      </c>
      <c r="AJ289">
        <f>(AS289)</f>
        <v>0</v>
      </c>
      <c r="AK289">
        <v>132.78</v>
      </c>
      <c r="AL289">
        <v>132.78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1</v>
      </c>
      <c r="AW289">
        <v>1</v>
      </c>
      <c r="AZ289">
        <v>1</v>
      </c>
      <c r="BA289">
        <v>1</v>
      </c>
      <c r="BB289">
        <v>1</v>
      </c>
      <c r="BC289">
        <v>1</v>
      </c>
      <c r="BD289" t="s">
        <v>6</v>
      </c>
      <c r="BE289" t="s">
        <v>6</v>
      </c>
      <c r="BF289" t="s">
        <v>6</v>
      </c>
      <c r="BG289" t="s">
        <v>6</v>
      </c>
      <c r="BH289">
        <v>3</v>
      </c>
      <c r="BI289">
        <v>2</v>
      </c>
      <c r="BJ289" t="s">
        <v>713</v>
      </c>
      <c r="BM289">
        <v>500002</v>
      </c>
      <c r="BN289">
        <v>0</v>
      </c>
      <c r="BO289" t="s">
        <v>111</v>
      </c>
      <c r="BP289">
        <v>1</v>
      </c>
      <c r="BQ289">
        <v>12</v>
      </c>
      <c r="BR289">
        <v>0</v>
      </c>
      <c r="BS289">
        <v>1</v>
      </c>
      <c r="BT289">
        <v>1</v>
      </c>
      <c r="BU289">
        <v>1</v>
      </c>
      <c r="BV289">
        <v>1</v>
      </c>
      <c r="BW289">
        <v>1</v>
      </c>
      <c r="BX289">
        <v>1</v>
      </c>
      <c r="BY289" t="s">
        <v>6</v>
      </c>
      <c r="BZ289">
        <v>0</v>
      </c>
      <c r="CA289">
        <v>0</v>
      </c>
      <c r="CB289" t="s">
        <v>6</v>
      </c>
      <c r="CE289">
        <v>0</v>
      </c>
      <c r="CF289">
        <v>0</v>
      </c>
      <c r="CG289">
        <v>0</v>
      </c>
      <c r="CM289">
        <v>0</v>
      </c>
      <c r="CN289" t="s">
        <v>6</v>
      </c>
      <c r="CO289">
        <v>0</v>
      </c>
      <c r="CP289">
        <f>(P289+Q289+S289)</f>
        <v>1593.36</v>
      </c>
      <c r="CQ289">
        <f>AC289*BC289</f>
        <v>132.78</v>
      </c>
      <c r="CR289">
        <f>AD289*BB289</f>
        <v>0</v>
      </c>
      <c r="CS289">
        <f t="shared" si="328"/>
        <v>0</v>
      </c>
      <c r="CT289">
        <f t="shared" si="328"/>
        <v>0</v>
      </c>
      <c r="CU289">
        <f t="shared" si="328"/>
        <v>0</v>
      </c>
      <c r="CV289">
        <f t="shared" si="328"/>
        <v>0</v>
      </c>
      <c r="CW289">
        <f t="shared" si="328"/>
        <v>0</v>
      </c>
      <c r="CX289">
        <f t="shared" si="328"/>
        <v>0</v>
      </c>
      <c r="CY289">
        <f>(((S289+R289)*AT289)/100)</f>
        <v>0</v>
      </c>
      <c r="CZ289">
        <f>(((S289+R289)*AU289)/100)</f>
        <v>0</v>
      </c>
      <c r="DC289" t="s">
        <v>6</v>
      </c>
      <c r="DD289" t="s">
        <v>6</v>
      </c>
      <c r="DE289" t="s">
        <v>6</v>
      </c>
      <c r="DF289" t="s">
        <v>6</v>
      </c>
      <c r="DG289" t="s">
        <v>6</v>
      </c>
      <c r="DH289" t="s">
        <v>6</v>
      </c>
      <c r="DI289" t="s">
        <v>6</v>
      </c>
      <c r="DJ289" t="s">
        <v>6</v>
      </c>
      <c r="DK289" t="s">
        <v>6</v>
      </c>
      <c r="DL289" t="s">
        <v>6</v>
      </c>
      <c r="DM289" t="s">
        <v>6</v>
      </c>
      <c r="DN289">
        <v>0</v>
      </c>
      <c r="DO289">
        <v>0</v>
      </c>
      <c r="DP289">
        <v>1</v>
      </c>
      <c r="DQ289">
        <v>1</v>
      </c>
      <c r="DU289">
        <v>1010</v>
      </c>
      <c r="DV289" t="s">
        <v>704</v>
      </c>
      <c r="DW289" t="s">
        <v>704</v>
      </c>
      <c r="DX289">
        <v>1</v>
      </c>
      <c r="DZ289" t="s">
        <v>6</v>
      </c>
      <c r="EA289" t="s">
        <v>6</v>
      </c>
      <c r="EB289" t="s">
        <v>6</v>
      </c>
      <c r="EC289" t="s">
        <v>6</v>
      </c>
      <c r="EE289">
        <v>30852825</v>
      </c>
      <c r="EF289">
        <v>12</v>
      </c>
      <c r="EG289" t="s">
        <v>631</v>
      </c>
      <c r="EH289">
        <v>0</v>
      </c>
      <c r="EI289" t="s">
        <v>6</v>
      </c>
      <c r="EJ289">
        <v>2</v>
      </c>
      <c r="EK289">
        <v>500002</v>
      </c>
      <c r="EL289" t="s">
        <v>632</v>
      </c>
      <c r="EM289" t="s">
        <v>633</v>
      </c>
      <c r="EO289" t="s">
        <v>6</v>
      </c>
      <c r="EQ289">
        <v>0</v>
      </c>
      <c r="ER289">
        <v>132.78</v>
      </c>
      <c r="ES289">
        <v>132.78</v>
      </c>
      <c r="ET289">
        <v>0</v>
      </c>
      <c r="EU289">
        <v>0</v>
      </c>
      <c r="EV289">
        <v>0</v>
      </c>
      <c r="EW289">
        <v>0</v>
      </c>
      <c r="EX289">
        <v>0</v>
      </c>
      <c r="EY289">
        <v>0</v>
      </c>
      <c r="FQ289">
        <v>0</v>
      </c>
      <c r="FR289">
        <f>ROUND(IF(AND(BH289=3,BI289=3),P289,0),2)</f>
        <v>0</v>
      </c>
      <c r="FS289">
        <v>0</v>
      </c>
      <c r="FX289">
        <v>0</v>
      </c>
      <c r="FY289">
        <v>0</v>
      </c>
      <c r="GA289" t="s">
        <v>6</v>
      </c>
      <c r="GD289">
        <v>1</v>
      </c>
      <c r="GF289">
        <v>-1878379365</v>
      </c>
      <c r="GG289">
        <v>2</v>
      </c>
      <c r="GH289">
        <v>1</v>
      </c>
      <c r="GI289">
        <v>4</v>
      </c>
      <c r="GJ289">
        <v>0</v>
      </c>
      <c r="GK289">
        <v>0</v>
      </c>
      <c r="GL289">
        <f>ROUND(IF(AND(BH289=3,BI289=3,FS289&lt;&gt;0),P289,0),2)</f>
        <v>0</v>
      </c>
      <c r="GM289">
        <f>ROUND(O289+X289+Y289,2)+GX289</f>
        <v>1593.36</v>
      </c>
      <c r="GN289">
        <f>IF(OR(BI289=0,BI289=1),ROUND(O289+X289+Y289,2),0)</f>
        <v>0</v>
      </c>
      <c r="GO289">
        <f>IF(BI289=2,ROUND(O289+X289+Y289,2),0)</f>
        <v>1593.36</v>
      </c>
      <c r="GP289">
        <f>IF(BI289=4,ROUND(O289+X289+Y289,2)+GX289,0)</f>
        <v>0</v>
      </c>
      <c r="GR289">
        <v>0</v>
      </c>
      <c r="GS289">
        <v>0</v>
      </c>
      <c r="GT289">
        <v>0</v>
      </c>
      <c r="GU289" t="s">
        <v>6</v>
      </c>
      <c r="GV289">
        <f>ROUND((GT289),6)</f>
        <v>0</v>
      </c>
      <c r="GW289">
        <v>1</v>
      </c>
      <c r="GX289">
        <f>ROUND(HC289*I289,2)</f>
        <v>0</v>
      </c>
      <c r="HA289">
        <v>0</v>
      </c>
      <c r="HB289">
        <v>0</v>
      </c>
      <c r="HC289">
        <f>GV289*GW289</f>
        <v>0</v>
      </c>
      <c r="HE289" t="s">
        <v>6</v>
      </c>
      <c r="HF289" t="s">
        <v>6</v>
      </c>
      <c r="HI289">
        <f>ROUND(R289*BS289,0)</f>
        <v>0</v>
      </c>
      <c r="HJ289">
        <f>ROUND(S289*BA289,0)</f>
        <v>0</v>
      </c>
      <c r="HK289">
        <f>ROUND((((HJ289+HI289)*AT289)/100),0)</f>
        <v>0</v>
      </c>
      <c r="HL289">
        <f>ROUND((((HJ289+HI289)*AU289)/100),0)</f>
        <v>0</v>
      </c>
      <c r="HM289" t="s">
        <v>6</v>
      </c>
      <c r="HN289" t="s">
        <v>6</v>
      </c>
      <c r="HO289" t="s">
        <v>6</v>
      </c>
      <c r="HP289" t="s">
        <v>6</v>
      </c>
      <c r="HQ289" t="s">
        <v>6</v>
      </c>
      <c r="IK289">
        <v>0</v>
      </c>
    </row>
    <row r="291" spans="1:245">
      <c r="A291" s="2">
        <v>51</v>
      </c>
      <c r="B291" s="2">
        <f>B219</f>
        <v>1</v>
      </c>
      <c r="C291" s="2">
        <f>A219</f>
        <v>4</v>
      </c>
      <c r="D291" s="2">
        <f>ROW(A219)</f>
        <v>219</v>
      </c>
      <c r="E291" s="2"/>
      <c r="F291" s="2" t="str">
        <f>IF(F219&lt;&gt;"",F219,"")</f>
        <v>Новый раздел</v>
      </c>
      <c r="G291" s="2" t="str">
        <f>IF(G219&lt;&gt;"",G219,"")</f>
        <v>Раздел КР</v>
      </c>
      <c r="H291" s="2">
        <v>0</v>
      </c>
      <c r="I291" s="2"/>
      <c r="J291" s="2"/>
      <c r="K291" s="2"/>
      <c r="L291" s="2"/>
      <c r="M291" s="2"/>
      <c r="N291" s="2"/>
      <c r="O291" s="2">
        <f t="shared" ref="O291:T291" si="329">ROUND(AB291,2)</f>
        <v>597168.93000000005</v>
      </c>
      <c r="P291" s="2">
        <f t="shared" si="329"/>
        <v>544833.74</v>
      </c>
      <c r="Q291" s="2">
        <f t="shared" si="329"/>
        <v>13476.89</v>
      </c>
      <c r="R291" s="2">
        <f t="shared" si="329"/>
        <v>1589.51</v>
      </c>
      <c r="S291" s="2">
        <f t="shared" si="329"/>
        <v>38858.300000000003</v>
      </c>
      <c r="T291" s="2">
        <f t="shared" si="329"/>
        <v>0</v>
      </c>
      <c r="U291" s="2">
        <f>AH291</f>
        <v>4474.3152452349996</v>
      </c>
      <c r="V291" s="2">
        <f>AI291</f>
        <v>128.16516579500001</v>
      </c>
      <c r="W291" s="2">
        <f>ROUND(AJ291,2)</f>
        <v>0</v>
      </c>
      <c r="X291" s="2">
        <f>ROUND(AK291,2)</f>
        <v>40959.97</v>
      </c>
      <c r="Y291" s="2">
        <f>ROUND(AL291,2)</f>
        <v>23283.200000000001</v>
      </c>
      <c r="Z291" s="2"/>
      <c r="AA291" s="2"/>
      <c r="AB291" s="2">
        <f>ROUND(SUMIF(AA223:AA289,"=31028412",O223:O289),2)</f>
        <v>597168.93000000005</v>
      </c>
      <c r="AC291" s="2">
        <f>ROUND(SUMIF(AA223:AA289,"=31028412",P223:P289),2)</f>
        <v>544833.74</v>
      </c>
      <c r="AD291" s="2">
        <f>ROUND(SUMIF(AA223:AA289,"=31028412",Q223:Q289),2)</f>
        <v>13476.89</v>
      </c>
      <c r="AE291" s="2">
        <f>ROUND(SUMIF(AA223:AA289,"=31028412",R223:R289),2)</f>
        <v>1589.51</v>
      </c>
      <c r="AF291" s="2">
        <f>ROUND(SUMIF(AA223:AA289,"=31028412",S223:S289),2)</f>
        <v>38858.300000000003</v>
      </c>
      <c r="AG291" s="2">
        <f>ROUND(SUMIF(AA223:AA289,"=31028412",T223:T289),2)</f>
        <v>0</v>
      </c>
      <c r="AH291" s="2">
        <f>SUMIF(AA223:AA289,"=31028412",U223:U289)</f>
        <v>4474.3152452349996</v>
      </c>
      <c r="AI291" s="2">
        <f>SUMIF(AA223:AA289,"=31028412",V223:V289)</f>
        <v>128.16516579500001</v>
      </c>
      <c r="AJ291" s="2">
        <f>ROUND(SUMIF(AA223:AA289,"=31028412",W223:W289),2)</f>
        <v>0</v>
      </c>
      <c r="AK291" s="2">
        <f>ROUND(SUMIF(AA223:AA289,"=31028412",X223:X289),2)</f>
        <v>40959.97</v>
      </c>
      <c r="AL291" s="2">
        <f>ROUND(SUMIF(AA223:AA289,"=31028412",Y223:Y289),2)</f>
        <v>23283.200000000001</v>
      </c>
      <c r="AM291" s="2"/>
      <c r="AN291" s="2"/>
      <c r="AO291" s="2">
        <f t="shared" ref="AO291:BD291" si="330">ROUND(BX291,2)</f>
        <v>0</v>
      </c>
      <c r="AP291" s="2">
        <f t="shared" si="330"/>
        <v>0</v>
      </c>
      <c r="AQ291" s="2">
        <f t="shared" si="330"/>
        <v>0</v>
      </c>
      <c r="AR291" s="2">
        <f t="shared" si="330"/>
        <v>661412.1</v>
      </c>
      <c r="AS291" s="2">
        <f t="shared" si="330"/>
        <v>643379.62</v>
      </c>
      <c r="AT291" s="2">
        <f t="shared" si="330"/>
        <v>18032.48</v>
      </c>
      <c r="AU291" s="2">
        <f t="shared" si="330"/>
        <v>0</v>
      </c>
      <c r="AV291" s="2">
        <f t="shared" si="330"/>
        <v>544833.74</v>
      </c>
      <c r="AW291" s="2">
        <f t="shared" si="330"/>
        <v>544833.74</v>
      </c>
      <c r="AX291" s="2">
        <f t="shared" si="330"/>
        <v>0</v>
      </c>
      <c r="AY291" s="2">
        <f t="shared" si="330"/>
        <v>544833.74</v>
      </c>
      <c r="AZ291" s="2">
        <f t="shared" si="330"/>
        <v>0</v>
      </c>
      <c r="BA291" s="2">
        <f t="shared" si="330"/>
        <v>0</v>
      </c>
      <c r="BB291" s="2">
        <f t="shared" si="330"/>
        <v>0</v>
      </c>
      <c r="BC291" s="2">
        <f t="shared" si="330"/>
        <v>0</v>
      </c>
      <c r="BD291" s="2">
        <f t="shared" si="330"/>
        <v>0</v>
      </c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  <c r="BQ291" s="2"/>
      <c r="BR291" s="2"/>
      <c r="BS291" s="2"/>
      <c r="BT291" s="2"/>
      <c r="BU291" s="2"/>
      <c r="BV291" s="2"/>
      <c r="BW291" s="2"/>
      <c r="BX291" s="2">
        <f>ROUND(SUMIF(AA223:AA289,"=31028412",FQ223:FQ289),2)</f>
        <v>0</v>
      </c>
      <c r="BY291" s="2">
        <f>ROUND(SUMIF(AA223:AA289,"=31028412",FR223:FR289),2)</f>
        <v>0</v>
      </c>
      <c r="BZ291" s="2">
        <f>ROUND(SUMIF(AA223:AA289,"=31028412",GL223:GL289),2)</f>
        <v>0</v>
      </c>
      <c r="CA291" s="2">
        <f>ROUND(SUMIF(AA223:AA289,"=31028412",GM223:GM289),2)</f>
        <v>661412.1</v>
      </c>
      <c r="CB291" s="2">
        <f>ROUND(SUMIF(AA223:AA289,"=31028412",GN223:GN289),2)</f>
        <v>643379.62</v>
      </c>
      <c r="CC291" s="2">
        <f>ROUND(SUMIF(AA223:AA289,"=31028412",GO223:GO289),2)</f>
        <v>18032.48</v>
      </c>
      <c r="CD291" s="2">
        <f>ROUND(SUMIF(AA223:AA289,"=31028412",GP223:GP289),2)</f>
        <v>0</v>
      </c>
      <c r="CE291" s="2">
        <f>AC291-BX291</f>
        <v>544833.74</v>
      </c>
      <c r="CF291" s="2">
        <f>AC291-BY291</f>
        <v>544833.74</v>
      </c>
      <c r="CG291" s="2">
        <f>BX291-BZ291</f>
        <v>0</v>
      </c>
      <c r="CH291" s="2">
        <f>AC291-BX291-BY291+BZ291</f>
        <v>544833.74</v>
      </c>
      <c r="CI291" s="2">
        <f>BY291-BZ291</f>
        <v>0</v>
      </c>
      <c r="CJ291" s="2">
        <f>ROUND(SUMIF(AA223:AA289,"=31028412",GX223:GX289),2)</f>
        <v>0</v>
      </c>
      <c r="CK291" s="2">
        <f>ROUND(SUMIF(AA223:AA289,"=31028412",GY223:GY289),2)</f>
        <v>0</v>
      </c>
      <c r="CL291" s="2">
        <f>ROUND(SUMIF(AA223:AA289,"=31028412",GZ223:GZ289),2)</f>
        <v>0</v>
      </c>
      <c r="CM291" s="2">
        <f>ROUND(SUMIF(AA223:AA289,"=31028412",HD223:HD289),2)</f>
        <v>0</v>
      </c>
      <c r="CN291" s="2"/>
      <c r="CO291" s="2"/>
      <c r="CP291" s="2"/>
      <c r="CQ291" s="2"/>
      <c r="CR291" s="2"/>
      <c r="CS291" s="2"/>
      <c r="CT291" s="2"/>
      <c r="CU291" s="2"/>
      <c r="CV291" s="2"/>
      <c r="CW291" s="2"/>
      <c r="CX291" s="2"/>
      <c r="CY291" s="2"/>
      <c r="CZ291" s="2"/>
      <c r="DA291" s="2"/>
      <c r="DB291" s="2"/>
      <c r="DC291" s="2"/>
      <c r="DD291" s="2"/>
      <c r="DE291" s="2"/>
      <c r="DF291" s="2"/>
      <c r="DG291" s="3"/>
      <c r="DH291" s="3"/>
      <c r="DI291" s="3"/>
      <c r="DJ291" s="3"/>
      <c r="DK291" s="3"/>
      <c r="DL291" s="3"/>
      <c r="DM291" s="3"/>
      <c r="DN291" s="3"/>
      <c r="DO291" s="3"/>
      <c r="DP291" s="3"/>
      <c r="DQ291" s="3"/>
      <c r="DR291" s="3"/>
      <c r="DS291" s="3"/>
      <c r="DT291" s="3"/>
      <c r="DU291" s="3"/>
      <c r="DV291" s="3"/>
      <c r="DW291" s="3"/>
      <c r="DX291" s="3"/>
      <c r="DY291" s="3"/>
      <c r="DZ291" s="3"/>
      <c r="EA291" s="3"/>
      <c r="EB291" s="3"/>
      <c r="EC291" s="3"/>
      <c r="ED291" s="3"/>
      <c r="EE291" s="3"/>
      <c r="EF291" s="3"/>
      <c r="EG291" s="3"/>
      <c r="EH291" s="3"/>
      <c r="EI291" s="3"/>
      <c r="EJ291" s="3"/>
      <c r="EK291" s="3"/>
      <c r="EL291" s="3"/>
      <c r="EM291" s="3"/>
      <c r="EN291" s="3"/>
      <c r="EO291" s="3"/>
      <c r="EP291" s="3"/>
      <c r="EQ291" s="3"/>
      <c r="ER291" s="3"/>
      <c r="ES291" s="3"/>
      <c r="ET291" s="3"/>
      <c r="EU291" s="3"/>
      <c r="EV291" s="3"/>
      <c r="EW291" s="3"/>
      <c r="EX291" s="3"/>
      <c r="EY291" s="3"/>
      <c r="EZ291" s="3"/>
      <c r="FA291" s="3"/>
      <c r="FB291" s="3"/>
      <c r="FC291" s="3"/>
      <c r="FD291" s="3"/>
      <c r="FE291" s="3"/>
      <c r="FF291" s="3"/>
      <c r="FG291" s="3"/>
      <c r="FH291" s="3"/>
      <c r="FI291" s="3"/>
      <c r="FJ291" s="3"/>
      <c r="FK291" s="3"/>
      <c r="FL291" s="3"/>
      <c r="FM291" s="3"/>
      <c r="FN291" s="3"/>
      <c r="FO291" s="3"/>
      <c r="FP291" s="3"/>
      <c r="FQ291" s="3"/>
      <c r="FR291" s="3"/>
      <c r="FS291" s="3"/>
      <c r="FT291" s="3"/>
      <c r="FU291" s="3"/>
      <c r="FV291" s="3"/>
      <c r="FW291" s="3"/>
      <c r="FX291" s="3"/>
      <c r="FY291" s="3"/>
      <c r="FZ291" s="3"/>
      <c r="GA291" s="3"/>
      <c r="GB291" s="3"/>
      <c r="GC291" s="3"/>
      <c r="GD291" s="3"/>
      <c r="GE291" s="3"/>
      <c r="GF291" s="3"/>
      <c r="GG291" s="3"/>
      <c r="GH291" s="3"/>
      <c r="GI291" s="3"/>
      <c r="GJ291" s="3"/>
      <c r="GK291" s="3"/>
      <c r="GL291" s="3"/>
      <c r="GM291" s="3"/>
      <c r="GN291" s="3"/>
      <c r="GO291" s="3"/>
      <c r="GP291" s="3"/>
      <c r="GQ291" s="3"/>
      <c r="GR291" s="3"/>
      <c r="GS291" s="3"/>
      <c r="GT291" s="3"/>
      <c r="GU291" s="3"/>
      <c r="GV291" s="3"/>
      <c r="GW291" s="3"/>
      <c r="GX291" s="3">
        <v>0</v>
      </c>
    </row>
    <row r="293" spans="1:245">
      <c r="A293" s="4">
        <v>50</v>
      </c>
      <c r="B293" s="4">
        <v>0</v>
      </c>
      <c r="C293" s="4">
        <v>0</v>
      </c>
      <c r="D293" s="4">
        <v>1</v>
      </c>
      <c r="E293" s="4">
        <v>201</v>
      </c>
      <c r="F293" s="4">
        <f>ROUND(Source!O291,O293)</f>
        <v>597168.93000000005</v>
      </c>
      <c r="G293" s="4" t="s">
        <v>40</v>
      </c>
      <c r="H293" s="4" t="s">
        <v>41</v>
      </c>
      <c r="I293" s="4"/>
      <c r="J293" s="4"/>
      <c r="K293" s="4">
        <v>201</v>
      </c>
      <c r="L293" s="4">
        <v>1</v>
      </c>
      <c r="M293" s="4">
        <v>3</v>
      </c>
      <c r="N293" s="4" t="s">
        <v>6</v>
      </c>
      <c r="O293" s="4">
        <v>2</v>
      </c>
      <c r="P293" s="4"/>
      <c r="Q293" s="4"/>
      <c r="R293" s="4"/>
      <c r="S293" s="4"/>
      <c r="T293" s="4"/>
      <c r="U293" s="4"/>
      <c r="V293" s="4"/>
      <c r="W293" s="4">
        <v>597168.92999999993</v>
      </c>
      <c r="X293" s="4">
        <v>1</v>
      </c>
      <c r="Y293" s="4">
        <v>4405738</v>
      </c>
      <c r="Z293" s="4"/>
      <c r="AA293" s="4"/>
      <c r="AB293" s="4"/>
    </row>
    <row r="294" spans="1:245">
      <c r="A294" s="4">
        <v>50</v>
      </c>
      <c r="B294" s="4">
        <v>0</v>
      </c>
      <c r="C294" s="4">
        <v>0</v>
      </c>
      <c r="D294" s="4">
        <v>1</v>
      </c>
      <c r="E294" s="4">
        <v>202</v>
      </c>
      <c r="F294" s="4">
        <f>ROUND(Source!P291,O294)</f>
        <v>544833.74</v>
      </c>
      <c r="G294" s="4" t="s">
        <v>42</v>
      </c>
      <c r="H294" s="4" t="s">
        <v>43</v>
      </c>
      <c r="I294" s="4"/>
      <c r="J294" s="4"/>
      <c r="K294" s="4">
        <v>202</v>
      </c>
      <c r="L294" s="4">
        <v>2</v>
      </c>
      <c r="M294" s="4">
        <v>3</v>
      </c>
      <c r="N294" s="4" t="s">
        <v>6</v>
      </c>
      <c r="O294" s="4">
        <v>2</v>
      </c>
      <c r="P294" s="4"/>
      <c r="Q294" s="4"/>
      <c r="R294" s="4"/>
      <c r="S294" s="4"/>
      <c r="T294" s="4"/>
      <c r="U294" s="4"/>
      <c r="V294" s="4"/>
      <c r="W294" s="4">
        <v>544833.74</v>
      </c>
      <c r="X294" s="4">
        <v>1</v>
      </c>
      <c r="Y294" s="4">
        <v>0</v>
      </c>
      <c r="Z294" s="4"/>
      <c r="AA294" s="4"/>
      <c r="AB294" s="4"/>
    </row>
    <row r="295" spans="1:245">
      <c r="A295" s="4">
        <v>50</v>
      </c>
      <c r="B295" s="4">
        <v>0</v>
      </c>
      <c r="C295" s="4">
        <v>0</v>
      </c>
      <c r="D295" s="4">
        <v>1</v>
      </c>
      <c r="E295" s="4">
        <v>30835619</v>
      </c>
      <c r="F295" s="4">
        <f>ROUND(Source!AO291,O295)</f>
        <v>0</v>
      </c>
      <c r="G295" s="4" t="s">
        <v>44</v>
      </c>
      <c r="H295" s="4" t="s">
        <v>45</v>
      </c>
      <c r="I295" s="4"/>
      <c r="J295" s="4"/>
      <c r="K295" s="4">
        <v>222</v>
      </c>
      <c r="L295" s="4">
        <v>3</v>
      </c>
      <c r="M295" s="4">
        <v>3</v>
      </c>
      <c r="N295" s="4" t="s">
        <v>6</v>
      </c>
      <c r="O295" s="4">
        <v>2</v>
      </c>
      <c r="P295" s="4"/>
      <c r="Q295" s="4"/>
      <c r="R295" s="4"/>
      <c r="S295" s="4"/>
      <c r="T295" s="4"/>
      <c r="U295" s="4"/>
      <c r="V295" s="4"/>
      <c r="W295" s="4">
        <v>0</v>
      </c>
      <c r="X295" s="4">
        <v>1</v>
      </c>
      <c r="Y295" s="4">
        <v>0</v>
      </c>
      <c r="Z295" s="4"/>
      <c r="AA295" s="4"/>
      <c r="AB295" s="4"/>
    </row>
    <row r="296" spans="1:245">
      <c r="A296" s="4">
        <v>50</v>
      </c>
      <c r="B296" s="4">
        <v>0</v>
      </c>
      <c r="C296" s="4">
        <v>0</v>
      </c>
      <c r="D296" s="4">
        <v>1</v>
      </c>
      <c r="E296" s="4">
        <v>225</v>
      </c>
      <c r="F296" s="4">
        <f>ROUND(Source!AV291,O296)</f>
        <v>544833.74</v>
      </c>
      <c r="G296" s="4" t="s">
        <v>46</v>
      </c>
      <c r="H296" s="4" t="s">
        <v>47</v>
      </c>
      <c r="I296" s="4"/>
      <c r="J296" s="4"/>
      <c r="K296" s="4">
        <v>225</v>
      </c>
      <c r="L296" s="4">
        <v>4</v>
      </c>
      <c r="M296" s="4">
        <v>3</v>
      </c>
      <c r="N296" s="4" t="s">
        <v>6</v>
      </c>
      <c r="O296" s="4">
        <v>2</v>
      </c>
      <c r="P296" s="4"/>
      <c r="Q296" s="4"/>
      <c r="R296" s="4"/>
      <c r="S296" s="4"/>
      <c r="T296" s="4"/>
      <c r="U296" s="4"/>
      <c r="V296" s="4"/>
      <c r="W296" s="4">
        <v>544833.74</v>
      </c>
      <c r="X296" s="4">
        <v>1</v>
      </c>
      <c r="Y296" s="4">
        <v>0</v>
      </c>
      <c r="Z296" s="4"/>
      <c r="AA296" s="4"/>
      <c r="AB296" s="4"/>
    </row>
    <row r="297" spans="1:245">
      <c r="A297" s="4">
        <v>50</v>
      </c>
      <c r="B297" s="4">
        <v>0</v>
      </c>
      <c r="C297" s="4">
        <v>0</v>
      </c>
      <c r="D297" s="4">
        <v>1</v>
      </c>
      <c r="E297" s="4">
        <v>226</v>
      </c>
      <c r="F297" s="4">
        <f>ROUND(Source!AW291,O297)</f>
        <v>544833.74</v>
      </c>
      <c r="G297" s="4" t="s">
        <v>48</v>
      </c>
      <c r="H297" s="4" t="s">
        <v>49</v>
      </c>
      <c r="I297" s="4"/>
      <c r="J297" s="4"/>
      <c r="K297" s="4">
        <v>226</v>
      </c>
      <c r="L297" s="4">
        <v>5</v>
      </c>
      <c r="M297" s="4">
        <v>3</v>
      </c>
      <c r="N297" s="4" t="s">
        <v>6</v>
      </c>
      <c r="O297" s="4">
        <v>2</v>
      </c>
      <c r="P297" s="4"/>
      <c r="Q297" s="4"/>
      <c r="R297" s="4"/>
      <c r="S297" s="4"/>
      <c r="T297" s="4"/>
      <c r="U297" s="4"/>
      <c r="V297" s="4"/>
      <c r="W297" s="4">
        <v>544833.74</v>
      </c>
      <c r="X297" s="4">
        <v>1</v>
      </c>
      <c r="Y297" s="4">
        <v>3361624</v>
      </c>
      <c r="Z297" s="4"/>
      <c r="AA297" s="4"/>
      <c r="AB297" s="4"/>
    </row>
    <row r="298" spans="1:245">
      <c r="A298" s="4">
        <v>50</v>
      </c>
      <c r="B298" s="4">
        <v>0</v>
      </c>
      <c r="C298" s="4">
        <v>0</v>
      </c>
      <c r="D298" s="4">
        <v>1</v>
      </c>
      <c r="E298" s="4">
        <v>227</v>
      </c>
      <c r="F298" s="4">
        <f>ROUND(Source!AX291,O298)</f>
        <v>0</v>
      </c>
      <c r="G298" s="4" t="s">
        <v>50</v>
      </c>
      <c r="H298" s="4" t="s">
        <v>51</v>
      </c>
      <c r="I298" s="4"/>
      <c r="J298" s="4"/>
      <c r="K298" s="4">
        <v>227</v>
      </c>
      <c r="L298" s="4">
        <v>6</v>
      </c>
      <c r="M298" s="4">
        <v>3</v>
      </c>
      <c r="N298" s="4" t="s">
        <v>6</v>
      </c>
      <c r="O298" s="4">
        <v>2</v>
      </c>
      <c r="P298" s="4"/>
      <c r="Q298" s="4"/>
      <c r="R298" s="4"/>
      <c r="S298" s="4"/>
      <c r="T298" s="4"/>
      <c r="U298" s="4"/>
      <c r="V298" s="4"/>
      <c r="W298" s="4">
        <v>0</v>
      </c>
      <c r="X298" s="4">
        <v>1</v>
      </c>
      <c r="Y298" s="4">
        <v>0</v>
      </c>
      <c r="Z298" s="4"/>
      <c r="AA298" s="4"/>
      <c r="AB298" s="4"/>
    </row>
    <row r="299" spans="1:245">
      <c r="A299" s="4">
        <v>50</v>
      </c>
      <c r="B299" s="4">
        <v>0</v>
      </c>
      <c r="C299" s="4">
        <v>0</v>
      </c>
      <c r="D299" s="4">
        <v>1</v>
      </c>
      <c r="E299" s="4">
        <v>228</v>
      </c>
      <c r="F299" s="4">
        <f>ROUND(Source!AY291,O299)</f>
        <v>544833.74</v>
      </c>
      <c r="G299" s="4" t="s">
        <v>52</v>
      </c>
      <c r="H299" s="4" t="s">
        <v>53</v>
      </c>
      <c r="I299" s="4"/>
      <c r="J299" s="4"/>
      <c r="K299" s="4">
        <v>228</v>
      </c>
      <c r="L299" s="4">
        <v>7</v>
      </c>
      <c r="M299" s="4">
        <v>3</v>
      </c>
      <c r="N299" s="4" t="s">
        <v>6</v>
      </c>
      <c r="O299" s="4">
        <v>2</v>
      </c>
      <c r="P299" s="4"/>
      <c r="Q299" s="4"/>
      <c r="R299" s="4"/>
      <c r="S299" s="4"/>
      <c r="T299" s="4"/>
      <c r="U299" s="4"/>
      <c r="V299" s="4"/>
      <c r="W299" s="4">
        <v>544833.74</v>
      </c>
      <c r="X299" s="4">
        <v>1</v>
      </c>
      <c r="Y299" s="4">
        <v>3361624</v>
      </c>
      <c r="Z299" s="4"/>
      <c r="AA299" s="4"/>
      <c r="AB299" s="4"/>
    </row>
    <row r="300" spans="1:245">
      <c r="A300" s="4">
        <v>50</v>
      </c>
      <c r="B300" s="4">
        <v>0</v>
      </c>
      <c r="C300" s="4">
        <v>0</v>
      </c>
      <c r="D300" s="4">
        <v>1</v>
      </c>
      <c r="E300" s="4">
        <v>216</v>
      </c>
      <c r="F300" s="4">
        <f>ROUND(Source!AP291,O300)</f>
        <v>0</v>
      </c>
      <c r="G300" s="4" t="s">
        <v>54</v>
      </c>
      <c r="H300" s="4" t="s">
        <v>55</v>
      </c>
      <c r="I300" s="4"/>
      <c r="J300" s="4"/>
      <c r="K300" s="4">
        <v>216</v>
      </c>
      <c r="L300" s="4">
        <v>8</v>
      </c>
      <c r="M300" s="4">
        <v>3</v>
      </c>
      <c r="N300" s="4" t="s">
        <v>6</v>
      </c>
      <c r="O300" s="4">
        <v>2</v>
      </c>
      <c r="P300" s="4"/>
      <c r="Q300" s="4"/>
      <c r="R300" s="4"/>
      <c r="S300" s="4"/>
      <c r="T300" s="4"/>
      <c r="U300" s="4"/>
      <c r="V300" s="4"/>
      <c r="W300" s="4">
        <v>0</v>
      </c>
      <c r="X300" s="4">
        <v>1</v>
      </c>
      <c r="Y300" s="4">
        <v>0</v>
      </c>
      <c r="Z300" s="4"/>
      <c r="AA300" s="4"/>
      <c r="AB300" s="4"/>
    </row>
    <row r="301" spans="1:245">
      <c r="A301" s="4">
        <v>50</v>
      </c>
      <c r="B301" s="4">
        <v>0</v>
      </c>
      <c r="C301" s="4">
        <v>0</v>
      </c>
      <c r="D301" s="4">
        <v>1</v>
      </c>
      <c r="E301" s="4">
        <v>223</v>
      </c>
      <c r="F301" s="4">
        <f>ROUND(Source!AQ291,O301)</f>
        <v>0</v>
      </c>
      <c r="G301" s="4" t="s">
        <v>56</v>
      </c>
      <c r="H301" s="4" t="s">
        <v>57</v>
      </c>
      <c r="I301" s="4"/>
      <c r="J301" s="4"/>
      <c r="K301" s="4">
        <v>223</v>
      </c>
      <c r="L301" s="4">
        <v>9</v>
      </c>
      <c r="M301" s="4">
        <v>3</v>
      </c>
      <c r="N301" s="4" t="s">
        <v>6</v>
      </c>
      <c r="O301" s="4">
        <v>2</v>
      </c>
      <c r="P301" s="4"/>
      <c r="Q301" s="4"/>
      <c r="R301" s="4"/>
      <c r="S301" s="4"/>
      <c r="T301" s="4"/>
      <c r="U301" s="4"/>
      <c r="V301" s="4"/>
      <c r="W301" s="4">
        <v>0</v>
      </c>
      <c r="X301" s="4">
        <v>1</v>
      </c>
      <c r="Y301" s="4">
        <v>0</v>
      </c>
      <c r="Z301" s="4"/>
      <c r="AA301" s="4"/>
      <c r="AB301" s="4"/>
    </row>
    <row r="302" spans="1:245">
      <c r="A302" s="4">
        <v>50</v>
      </c>
      <c r="B302" s="4">
        <v>0</v>
      </c>
      <c r="C302" s="4">
        <v>0</v>
      </c>
      <c r="D302" s="4">
        <v>1</v>
      </c>
      <c r="E302" s="4">
        <v>229</v>
      </c>
      <c r="F302" s="4">
        <f>ROUND(Source!AZ291,O302)</f>
        <v>0</v>
      </c>
      <c r="G302" s="4" t="s">
        <v>58</v>
      </c>
      <c r="H302" s="4" t="s">
        <v>59</v>
      </c>
      <c r="I302" s="4"/>
      <c r="J302" s="4"/>
      <c r="K302" s="4">
        <v>229</v>
      </c>
      <c r="L302" s="4">
        <v>10</v>
      </c>
      <c r="M302" s="4">
        <v>3</v>
      </c>
      <c r="N302" s="4" t="s">
        <v>6</v>
      </c>
      <c r="O302" s="4">
        <v>2</v>
      </c>
      <c r="P302" s="4"/>
      <c r="Q302" s="4"/>
      <c r="R302" s="4"/>
      <c r="S302" s="4"/>
      <c r="T302" s="4"/>
      <c r="U302" s="4"/>
      <c r="V302" s="4"/>
      <c r="W302" s="4">
        <v>0</v>
      </c>
      <c r="X302" s="4">
        <v>1</v>
      </c>
      <c r="Y302" s="4">
        <v>0</v>
      </c>
      <c r="Z302" s="4"/>
      <c r="AA302" s="4"/>
      <c r="AB302" s="4"/>
    </row>
    <row r="303" spans="1:245">
      <c r="A303" s="4">
        <v>50</v>
      </c>
      <c r="B303" s="4">
        <v>0</v>
      </c>
      <c r="C303" s="4">
        <v>0</v>
      </c>
      <c r="D303" s="4">
        <v>1</v>
      </c>
      <c r="E303" s="4">
        <v>203</v>
      </c>
      <c r="F303" s="4">
        <f>ROUND(Source!Q291,O303)</f>
        <v>13476.89</v>
      </c>
      <c r="G303" s="4" t="s">
        <v>60</v>
      </c>
      <c r="H303" s="4" t="s">
        <v>61</v>
      </c>
      <c r="I303" s="4"/>
      <c r="J303" s="4"/>
      <c r="K303" s="4">
        <v>203</v>
      </c>
      <c r="L303" s="4">
        <v>11</v>
      </c>
      <c r="M303" s="4">
        <v>3</v>
      </c>
      <c r="N303" s="4" t="s">
        <v>6</v>
      </c>
      <c r="O303" s="4">
        <v>2</v>
      </c>
      <c r="P303" s="4"/>
      <c r="Q303" s="4"/>
      <c r="R303" s="4"/>
      <c r="S303" s="4"/>
      <c r="T303" s="4"/>
      <c r="U303" s="4"/>
      <c r="V303" s="4"/>
      <c r="W303" s="4">
        <v>13476.889999999998</v>
      </c>
      <c r="X303" s="4">
        <v>1</v>
      </c>
      <c r="Y303" s="4">
        <v>102963</v>
      </c>
      <c r="Z303" s="4"/>
      <c r="AA303" s="4"/>
      <c r="AB303" s="4"/>
    </row>
    <row r="304" spans="1:245">
      <c r="A304" s="4">
        <v>50</v>
      </c>
      <c r="B304" s="4">
        <v>0</v>
      </c>
      <c r="C304" s="4">
        <v>0</v>
      </c>
      <c r="D304" s="4">
        <v>1</v>
      </c>
      <c r="E304" s="4">
        <v>231</v>
      </c>
      <c r="F304" s="4">
        <f>ROUND(Source!BB291,O304)</f>
        <v>0</v>
      </c>
      <c r="G304" s="4" t="s">
        <v>62</v>
      </c>
      <c r="H304" s="4" t="s">
        <v>63</v>
      </c>
      <c r="I304" s="4"/>
      <c r="J304" s="4"/>
      <c r="K304" s="4">
        <v>231</v>
      </c>
      <c r="L304" s="4">
        <v>12</v>
      </c>
      <c r="M304" s="4">
        <v>3</v>
      </c>
      <c r="N304" s="4" t="s">
        <v>6</v>
      </c>
      <c r="O304" s="4">
        <v>2</v>
      </c>
      <c r="P304" s="4"/>
      <c r="Q304" s="4"/>
      <c r="R304" s="4"/>
      <c r="S304" s="4"/>
      <c r="T304" s="4"/>
      <c r="U304" s="4"/>
      <c r="V304" s="4"/>
      <c r="W304" s="4">
        <v>0</v>
      </c>
      <c r="X304" s="4">
        <v>1</v>
      </c>
      <c r="Y304" s="4">
        <v>0</v>
      </c>
      <c r="Z304" s="4"/>
      <c r="AA304" s="4"/>
      <c r="AB304" s="4"/>
    </row>
    <row r="305" spans="1:28">
      <c r="A305" s="4">
        <v>50</v>
      </c>
      <c r="B305" s="4">
        <v>0</v>
      </c>
      <c r="C305" s="4">
        <v>0</v>
      </c>
      <c r="D305" s="4">
        <v>1</v>
      </c>
      <c r="E305" s="4">
        <v>204</v>
      </c>
      <c r="F305" s="4">
        <f>ROUND(Source!R291,O305)</f>
        <v>1589.51</v>
      </c>
      <c r="G305" s="4" t="s">
        <v>64</v>
      </c>
      <c r="H305" s="4" t="s">
        <v>65</v>
      </c>
      <c r="I305" s="4"/>
      <c r="J305" s="4"/>
      <c r="K305" s="4">
        <v>204</v>
      </c>
      <c r="L305" s="4">
        <v>13</v>
      </c>
      <c r="M305" s="4">
        <v>3</v>
      </c>
      <c r="N305" s="4" t="s">
        <v>6</v>
      </c>
      <c r="O305" s="4">
        <v>2</v>
      </c>
      <c r="P305" s="4"/>
      <c r="Q305" s="4"/>
      <c r="R305" s="4"/>
      <c r="S305" s="4"/>
      <c r="T305" s="4"/>
      <c r="U305" s="4"/>
      <c r="V305" s="4"/>
      <c r="W305" s="4">
        <v>1589.51</v>
      </c>
      <c r="X305" s="4">
        <v>1</v>
      </c>
      <c r="Y305" s="4">
        <v>38498</v>
      </c>
      <c r="Z305" s="4"/>
      <c r="AA305" s="4"/>
      <c r="AB305" s="4"/>
    </row>
    <row r="306" spans="1:28">
      <c r="A306" s="4">
        <v>50</v>
      </c>
      <c r="B306" s="4">
        <v>0</v>
      </c>
      <c r="C306" s="4">
        <v>0</v>
      </c>
      <c r="D306" s="4">
        <v>1</v>
      </c>
      <c r="E306" s="4">
        <v>205</v>
      </c>
      <c r="F306" s="4">
        <f>ROUND(Source!S291,O306)</f>
        <v>38858.300000000003</v>
      </c>
      <c r="G306" s="4" t="s">
        <v>66</v>
      </c>
      <c r="H306" s="4" t="s">
        <v>67</v>
      </c>
      <c r="I306" s="4"/>
      <c r="J306" s="4"/>
      <c r="K306" s="4">
        <v>205</v>
      </c>
      <c r="L306" s="4">
        <v>14</v>
      </c>
      <c r="M306" s="4">
        <v>3</v>
      </c>
      <c r="N306" s="4" t="s">
        <v>6</v>
      </c>
      <c r="O306" s="4">
        <v>2</v>
      </c>
      <c r="P306" s="4"/>
      <c r="Q306" s="4"/>
      <c r="R306" s="4"/>
      <c r="S306" s="4"/>
      <c r="T306" s="4"/>
      <c r="U306" s="4"/>
      <c r="V306" s="4"/>
      <c r="W306" s="4">
        <v>38858.299999999996</v>
      </c>
      <c r="X306" s="4">
        <v>1</v>
      </c>
      <c r="Y306" s="4">
        <v>941151</v>
      </c>
      <c r="Z306" s="4"/>
      <c r="AA306" s="4"/>
      <c r="AB306" s="4"/>
    </row>
    <row r="307" spans="1:28">
      <c r="A307" s="4">
        <v>50</v>
      </c>
      <c r="B307" s="4">
        <v>0</v>
      </c>
      <c r="C307" s="4">
        <v>0</v>
      </c>
      <c r="D307" s="4">
        <v>1</v>
      </c>
      <c r="E307" s="4">
        <v>232</v>
      </c>
      <c r="F307" s="4">
        <f>ROUND(Source!BC291,O307)</f>
        <v>0</v>
      </c>
      <c r="G307" s="4" t="s">
        <v>68</v>
      </c>
      <c r="H307" s="4" t="s">
        <v>69</v>
      </c>
      <c r="I307" s="4"/>
      <c r="J307" s="4"/>
      <c r="K307" s="4">
        <v>232</v>
      </c>
      <c r="L307" s="4">
        <v>15</v>
      </c>
      <c r="M307" s="4">
        <v>3</v>
      </c>
      <c r="N307" s="4" t="s">
        <v>6</v>
      </c>
      <c r="O307" s="4">
        <v>2</v>
      </c>
      <c r="P307" s="4"/>
      <c r="Q307" s="4"/>
      <c r="R307" s="4"/>
      <c r="S307" s="4"/>
      <c r="T307" s="4"/>
      <c r="U307" s="4"/>
      <c r="V307" s="4"/>
      <c r="W307" s="4">
        <v>0</v>
      </c>
      <c r="X307" s="4">
        <v>1</v>
      </c>
      <c r="Y307" s="4">
        <v>0</v>
      </c>
      <c r="Z307" s="4"/>
      <c r="AA307" s="4"/>
      <c r="AB307" s="4"/>
    </row>
    <row r="308" spans="1:28">
      <c r="A308" s="4">
        <v>50</v>
      </c>
      <c r="B308" s="4">
        <v>0</v>
      </c>
      <c r="C308" s="4">
        <v>0</v>
      </c>
      <c r="D308" s="4">
        <v>1</v>
      </c>
      <c r="E308" s="4">
        <v>214</v>
      </c>
      <c r="F308" s="4">
        <f>ROUND(Source!AS291,O308)</f>
        <v>643379.62</v>
      </c>
      <c r="G308" s="4" t="s">
        <v>70</v>
      </c>
      <c r="H308" s="4" t="s">
        <v>71</v>
      </c>
      <c r="I308" s="4"/>
      <c r="J308" s="4"/>
      <c r="K308" s="4">
        <v>214</v>
      </c>
      <c r="L308" s="4">
        <v>16</v>
      </c>
      <c r="M308" s="4">
        <v>3</v>
      </c>
      <c r="N308" s="4" t="s">
        <v>6</v>
      </c>
      <c r="O308" s="4">
        <v>2</v>
      </c>
      <c r="P308" s="4"/>
      <c r="Q308" s="4"/>
      <c r="R308" s="4"/>
      <c r="S308" s="4"/>
      <c r="T308" s="4"/>
      <c r="U308" s="4"/>
      <c r="V308" s="4"/>
      <c r="W308" s="4">
        <v>643379.62</v>
      </c>
      <c r="X308" s="4">
        <v>1</v>
      </c>
      <c r="Y308" s="4">
        <v>5749691</v>
      </c>
      <c r="Z308" s="4"/>
      <c r="AA308" s="4"/>
      <c r="AB308" s="4"/>
    </row>
    <row r="309" spans="1:28">
      <c r="A309" s="4">
        <v>50</v>
      </c>
      <c r="B309" s="4">
        <v>0</v>
      </c>
      <c r="C309" s="4">
        <v>0</v>
      </c>
      <c r="D309" s="4">
        <v>1</v>
      </c>
      <c r="E309" s="4">
        <v>215</v>
      </c>
      <c r="F309" s="4">
        <f>ROUND(Source!AT291,O309)</f>
        <v>18032.48</v>
      </c>
      <c r="G309" s="4" t="s">
        <v>72</v>
      </c>
      <c r="H309" s="4" t="s">
        <v>73</v>
      </c>
      <c r="I309" s="4"/>
      <c r="J309" s="4"/>
      <c r="K309" s="4">
        <v>215</v>
      </c>
      <c r="L309" s="4">
        <v>17</v>
      </c>
      <c r="M309" s="4">
        <v>3</v>
      </c>
      <c r="N309" s="4" t="s">
        <v>6</v>
      </c>
      <c r="O309" s="4">
        <v>2</v>
      </c>
      <c r="P309" s="4"/>
      <c r="Q309" s="4"/>
      <c r="R309" s="4"/>
      <c r="S309" s="4"/>
      <c r="T309" s="4"/>
      <c r="U309" s="4"/>
      <c r="V309" s="4"/>
      <c r="W309" s="4">
        <v>18032.48</v>
      </c>
      <c r="X309" s="4">
        <v>1</v>
      </c>
      <c r="Y309" s="4">
        <v>212022</v>
      </c>
      <c r="Z309" s="4"/>
      <c r="AA309" s="4"/>
      <c r="AB309" s="4"/>
    </row>
    <row r="310" spans="1:28">
      <c r="A310" s="4">
        <v>50</v>
      </c>
      <c r="B310" s="4">
        <v>0</v>
      </c>
      <c r="C310" s="4">
        <v>0</v>
      </c>
      <c r="D310" s="4">
        <v>1</v>
      </c>
      <c r="E310" s="4">
        <v>217</v>
      </c>
      <c r="F310" s="4">
        <f>ROUND(Source!AU291,O310)</f>
        <v>0</v>
      </c>
      <c r="G310" s="4" t="s">
        <v>74</v>
      </c>
      <c r="H310" s="4" t="s">
        <v>75</v>
      </c>
      <c r="I310" s="4"/>
      <c r="J310" s="4"/>
      <c r="K310" s="4">
        <v>217</v>
      </c>
      <c r="L310" s="4">
        <v>18</v>
      </c>
      <c r="M310" s="4">
        <v>3</v>
      </c>
      <c r="N310" s="4" t="s">
        <v>6</v>
      </c>
      <c r="O310" s="4">
        <v>2</v>
      </c>
      <c r="P310" s="4"/>
      <c r="Q310" s="4"/>
      <c r="R310" s="4"/>
      <c r="S310" s="4"/>
      <c r="T310" s="4"/>
      <c r="U310" s="4"/>
      <c r="V310" s="4"/>
      <c r="W310" s="4">
        <v>0</v>
      </c>
      <c r="X310" s="4">
        <v>1</v>
      </c>
      <c r="Y310" s="4">
        <v>0</v>
      </c>
      <c r="Z310" s="4"/>
      <c r="AA310" s="4"/>
      <c r="AB310" s="4"/>
    </row>
    <row r="311" spans="1:28">
      <c r="A311" s="4">
        <v>50</v>
      </c>
      <c r="B311" s="4">
        <v>0</v>
      </c>
      <c r="C311" s="4">
        <v>0</v>
      </c>
      <c r="D311" s="4">
        <v>1</v>
      </c>
      <c r="E311" s="4">
        <v>230</v>
      </c>
      <c r="F311" s="4">
        <f>ROUND(Source!BA291,O311)</f>
        <v>0</v>
      </c>
      <c r="G311" s="4" t="s">
        <v>76</v>
      </c>
      <c r="H311" s="4" t="s">
        <v>77</v>
      </c>
      <c r="I311" s="4"/>
      <c r="J311" s="4"/>
      <c r="K311" s="4">
        <v>230</v>
      </c>
      <c r="L311" s="4">
        <v>19</v>
      </c>
      <c r="M311" s="4">
        <v>3</v>
      </c>
      <c r="N311" s="4" t="s">
        <v>6</v>
      </c>
      <c r="O311" s="4">
        <v>2</v>
      </c>
      <c r="P311" s="4"/>
      <c r="Q311" s="4"/>
      <c r="R311" s="4"/>
      <c r="S311" s="4"/>
      <c r="T311" s="4"/>
      <c r="U311" s="4"/>
      <c r="V311" s="4"/>
      <c r="W311" s="4">
        <v>0</v>
      </c>
      <c r="X311" s="4">
        <v>1</v>
      </c>
      <c r="Y311" s="4">
        <v>0</v>
      </c>
      <c r="Z311" s="4"/>
      <c r="AA311" s="4"/>
      <c r="AB311" s="4"/>
    </row>
    <row r="312" spans="1:28">
      <c r="A312" s="4">
        <v>50</v>
      </c>
      <c r="B312" s="4">
        <v>0</v>
      </c>
      <c r="C312" s="4">
        <v>0</v>
      </c>
      <c r="D312" s="4">
        <v>1</v>
      </c>
      <c r="E312" s="4">
        <v>206</v>
      </c>
      <c r="F312" s="4">
        <f>ROUND(Source!T291,O312)</f>
        <v>0</v>
      </c>
      <c r="G312" s="4" t="s">
        <v>78</v>
      </c>
      <c r="H312" s="4" t="s">
        <v>79</v>
      </c>
      <c r="I312" s="4"/>
      <c r="J312" s="4"/>
      <c r="K312" s="4">
        <v>206</v>
      </c>
      <c r="L312" s="4">
        <v>20</v>
      </c>
      <c r="M312" s="4">
        <v>3</v>
      </c>
      <c r="N312" s="4" t="s">
        <v>6</v>
      </c>
      <c r="O312" s="4">
        <v>2</v>
      </c>
      <c r="P312" s="4"/>
      <c r="Q312" s="4"/>
      <c r="R312" s="4"/>
      <c r="S312" s="4"/>
      <c r="T312" s="4"/>
      <c r="U312" s="4"/>
      <c r="V312" s="4"/>
      <c r="W312" s="4">
        <v>0</v>
      </c>
      <c r="X312" s="4">
        <v>1</v>
      </c>
      <c r="Y312" s="4">
        <v>0</v>
      </c>
      <c r="Z312" s="4"/>
      <c r="AA312" s="4"/>
      <c r="AB312" s="4"/>
    </row>
    <row r="313" spans="1:28">
      <c r="A313" s="4">
        <v>50</v>
      </c>
      <c r="B313" s="4">
        <v>0</v>
      </c>
      <c r="C313" s="4">
        <v>0</v>
      </c>
      <c r="D313" s="4">
        <v>1</v>
      </c>
      <c r="E313" s="4">
        <v>207</v>
      </c>
      <c r="F313" s="4">
        <f>Source!U291</f>
        <v>4474.3152452349996</v>
      </c>
      <c r="G313" s="4" t="s">
        <v>80</v>
      </c>
      <c r="H313" s="4" t="s">
        <v>81</v>
      </c>
      <c r="I313" s="4"/>
      <c r="J313" s="4"/>
      <c r="K313" s="4">
        <v>207</v>
      </c>
      <c r="L313" s="4">
        <v>21</v>
      </c>
      <c r="M313" s="4">
        <v>3</v>
      </c>
      <c r="N313" s="4" t="s">
        <v>6</v>
      </c>
      <c r="O313" s="4">
        <v>-1</v>
      </c>
      <c r="P313" s="4"/>
      <c r="Q313" s="4"/>
      <c r="R313" s="4"/>
      <c r="S313" s="4"/>
      <c r="T313" s="4"/>
      <c r="U313" s="4"/>
      <c r="V313" s="4"/>
      <c r="W313" s="4">
        <v>4474.3152452349996</v>
      </c>
      <c r="X313" s="4">
        <v>1</v>
      </c>
      <c r="Y313" s="4">
        <v>4474.3152452349996</v>
      </c>
      <c r="Z313" s="4"/>
      <c r="AA313" s="4"/>
      <c r="AB313" s="4"/>
    </row>
    <row r="314" spans="1:28">
      <c r="A314" s="4">
        <v>50</v>
      </c>
      <c r="B314" s="4">
        <v>0</v>
      </c>
      <c r="C314" s="4">
        <v>0</v>
      </c>
      <c r="D314" s="4">
        <v>1</v>
      </c>
      <c r="E314" s="4">
        <v>208</v>
      </c>
      <c r="F314" s="4">
        <f>Source!V291</f>
        <v>128.16516579500001</v>
      </c>
      <c r="G314" s="4" t="s">
        <v>82</v>
      </c>
      <c r="H314" s="4" t="s">
        <v>83</v>
      </c>
      <c r="I314" s="4"/>
      <c r="J314" s="4"/>
      <c r="K314" s="4">
        <v>208</v>
      </c>
      <c r="L314" s="4">
        <v>22</v>
      </c>
      <c r="M314" s="4">
        <v>3</v>
      </c>
      <c r="N314" s="4" t="s">
        <v>6</v>
      </c>
      <c r="O314" s="4">
        <v>-1</v>
      </c>
      <c r="P314" s="4"/>
      <c r="Q314" s="4"/>
      <c r="R314" s="4"/>
      <c r="S314" s="4"/>
      <c r="T314" s="4"/>
      <c r="U314" s="4"/>
      <c r="V314" s="4"/>
      <c r="W314" s="4">
        <v>128.16516579500001</v>
      </c>
      <c r="X314" s="4">
        <v>1</v>
      </c>
      <c r="Y314" s="4">
        <v>128.16516579500001</v>
      </c>
      <c r="Z314" s="4"/>
      <c r="AA314" s="4"/>
      <c r="AB314" s="4"/>
    </row>
    <row r="315" spans="1:28">
      <c r="A315" s="4">
        <v>50</v>
      </c>
      <c r="B315" s="4">
        <v>0</v>
      </c>
      <c r="C315" s="4">
        <v>0</v>
      </c>
      <c r="D315" s="4">
        <v>1</v>
      </c>
      <c r="E315" s="4">
        <v>209</v>
      </c>
      <c r="F315" s="4">
        <f>ROUND(Source!W291,O315)</f>
        <v>0</v>
      </c>
      <c r="G315" s="4" t="s">
        <v>84</v>
      </c>
      <c r="H315" s="4" t="s">
        <v>85</v>
      </c>
      <c r="I315" s="4"/>
      <c r="J315" s="4"/>
      <c r="K315" s="4">
        <v>209</v>
      </c>
      <c r="L315" s="4">
        <v>23</v>
      </c>
      <c r="M315" s="4">
        <v>3</v>
      </c>
      <c r="N315" s="4" t="s">
        <v>6</v>
      </c>
      <c r="O315" s="4">
        <v>2</v>
      </c>
      <c r="P315" s="4"/>
      <c r="Q315" s="4"/>
      <c r="R315" s="4"/>
      <c r="S315" s="4"/>
      <c r="T315" s="4"/>
      <c r="U315" s="4"/>
      <c r="V315" s="4"/>
      <c r="W315" s="4">
        <v>0</v>
      </c>
      <c r="X315" s="4">
        <v>1</v>
      </c>
      <c r="Y315" s="4">
        <v>0</v>
      </c>
      <c r="Z315" s="4"/>
      <c r="AA315" s="4"/>
      <c r="AB315" s="4"/>
    </row>
    <row r="316" spans="1:28">
      <c r="A316" s="4">
        <v>50</v>
      </c>
      <c r="B316" s="4">
        <v>0</v>
      </c>
      <c r="C316" s="4">
        <v>0</v>
      </c>
      <c r="D316" s="4">
        <v>1</v>
      </c>
      <c r="E316" s="4">
        <v>233</v>
      </c>
      <c r="F316" s="4">
        <f>ROUND(Source!BD291,O316)</f>
        <v>0</v>
      </c>
      <c r="G316" s="4" t="s">
        <v>86</v>
      </c>
      <c r="H316" s="4" t="s">
        <v>87</v>
      </c>
      <c r="I316" s="4"/>
      <c r="J316" s="4"/>
      <c r="K316" s="4">
        <v>233</v>
      </c>
      <c r="L316" s="4">
        <v>24</v>
      </c>
      <c r="M316" s="4">
        <v>3</v>
      </c>
      <c r="N316" s="4" t="s">
        <v>6</v>
      </c>
      <c r="O316" s="4">
        <v>2</v>
      </c>
      <c r="P316" s="4"/>
      <c r="Q316" s="4"/>
      <c r="R316" s="4"/>
      <c r="S316" s="4"/>
      <c r="T316" s="4"/>
      <c r="U316" s="4"/>
      <c r="V316" s="4"/>
      <c r="W316" s="4">
        <v>0</v>
      </c>
      <c r="X316" s="4">
        <v>1</v>
      </c>
      <c r="Y316" s="4">
        <v>0</v>
      </c>
      <c r="Z316" s="4"/>
      <c r="AA316" s="4"/>
      <c r="AB316" s="4"/>
    </row>
    <row r="317" spans="1:28">
      <c r="A317" s="4">
        <v>50</v>
      </c>
      <c r="B317" s="4">
        <v>0</v>
      </c>
      <c r="C317" s="4">
        <v>0</v>
      </c>
      <c r="D317" s="4">
        <v>1</v>
      </c>
      <c r="E317" s="4">
        <v>210</v>
      </c>
      <c r="F317" s="4">
        <f>ROUND(Source!X291,O317)</f>
        <v>40959.97</v>
      </c>
      <c r="G317" s="4" t="s">
        <v>88</v>
      </c>
      <c r="H317" s="4" t="s">
        <v>89</v>
      </c>
      <c r="I317" s="4"/>
      <c r="J317" s="4"/>
      <c r="K317" s="4">
        <v>210</v>
      </c>
      <c r="L317" s="4">
        <v>25</v>
      </c>
      <c r="M317" s="4">
        <v>3</v>
      </c>
      <c r="N317" s="4" t="s">
        <v>6</v>
      </c>
      <c r="O317" s="4">
        <v>2</v>
      </c>
      <c r="P317" s="4"/>
      <c r="Q317" s="4"/>
      <c r="R317" s="4"/>
      <c r="S317" s="4"/>
      <c r="T317" s="4"/>
      <c r="U317" s="4"/>
      <c r="V317" s="4"/>
      <c r="W317" s="4">
        <v>40959.97</v>
      </c>
      <c r="X317" s="4">
        <v>1</v>
      </c>
      <c r="Y317" s="4">
        <v>992054</v>
      </c>
      <c r="Z317" s="4"/>
      <c r="AA317" s="4"/>
      <c r="AB317" s="4"/>
    </row>
    <row r="318" spans="1:28">
      <c r="A318" s="4">
        <v>50</v>
      </c>
      <c r="B318" s="4">
        <v>0</v>
      </c>
      <c r="C318" s="4">
        <v>0</v>
      </c>
      <c r="D318" s="4">
        <v>1</v>
      </c>
      <c r="E318" s="4">
        <v>211</v>
      </c>
      <c r="F318" s="4">
        <f>ROUND(Source!Y291,O318)</f>
        <v>23283.200000000001</v>
      </c>
      <c r="G318" s="4" t="s">
        <v>90</v>
      </c>
      <c r="H318" s="4" t="s">
        <v>91</v>
      </c>
      <c r="I318" s="4"/>
      <c r="J318" s="4"/>
      <c r="K318" s="4">
        <v>211</v>
      </c>
      <c r="L318" s="4">
        <v>26</v>
      </c>
      <c r="M318" s="4">
        <v>3</v>
      </c>
      <c r="N318" s="4" t="s">
        <v>6</v>
      </c>
      <c r="O318" s="4">
        <v>2</v>
      </c>
      <c r="P318" s="4"/>
      <c r="Q318" s="4"/>
      <c r="R318" s="4"/>
      <c r="S318" s="4"/>
      <c r="T318" s="4"/>
      <c r="U318" s="4"/>
      <c r="V318" s="4"/>
      <c r="W318" s="4">
        <v>23283.200000000001</v>
      </c>
      <c r="X318" s="4">
        <v>1</v>
      </c>
      <c r="Y318" s="4">
        <v>563920</v>
      </c>
      <c r="Z318" s="4"/>
      <c r="AA318" s="4"/>
      <c r="AB318" s="4"/>
    </row>
    <row r="319" spans="1:28">
      <c r="A319" s="4">
        <v>50</v>
      </c>
      <c r="B319" s="4">
        <v>0</v>
      </c>
      <c r="C319" s="4">
        <v>0</v>
      </c>
      <c r="D319" s="4">
        <v>1</v>
      </c>
      <c r="E319" s="4">
        <v>224</v>
      </c>
      <c r="F319" s="4">
        <f>ROUND(Source!AR291,O319)</f>
        <v>661412.1</v>
      </c>
      <c r="G319" s="4" t="s">
        <v>92</v>
      </c>
      <c r="H319" s="4" t="s">
        <v>93</v>
      </c>
      <c r="I319" s="4"/>
      <c r="J319" s="4"/>
      <c r="K319" s="4">
        <v>224</v>
      </c>
      <c r="L319" s="4">
        <v>27</v>
      </c>
      <c r="M319" s="4">
        <v>3</v>
      </c>
      <c r="N319" s="4" t="s">
        <v>6</v>
      </c>
      <c r="O319" s="4">
        <v>2</v>
      </c>
      <c r="P319" s="4"/>
      <c r="Q319" s="4"/>
      <c r="R319" s="4"/>
      <c r="S319" s="4"/>
      <c r="T319" s="4"/>
      <c r="U319" s="4"/>
      <c r="V319" s="4"/>
      <c r="W319" s="4">
        <v>661412.09999999986</v>
      </c>
      <c r="X319" s="4">
        <v>1</v>
      </c>
      <c r="Y319" s="4">
        <v>5961712</v>
      </c>
      <c r="Z319" s="4"/>
      <c r="AA319" s="4"/>
      <c r="AB319" s="4"/>
    </row>
    <row r="320" spans="1:28">
      <c r="A320" s="4">
        <v>50</v>
      </c>
      <c r="B320" s="4">
        <v>1</v>
      </c>
      <c r="C320" s="4">
        <v>0</v>
      </c>
      <c r="D320" s="4">
        <v>2</v>
      </c>
      <c r="E320" s="4">
        <v>0</v>
      </c>
      <c r="F320" s="4">
        <f>ROUND(F319,O320)</f>
        <v>661412.1</v>
      </c>
      <c r="G320" s="4" t="s">
        <v>19</v>
      </c>
      <c r="H320" s="4" t="s">
        <v>94</v>
      </c>
      <c r="I320" s="4"/>
      <c r="J320" s="4"/>
      <c r="K320" s="4">
        <v>212</v>
      </c>
      <c r="L320" s="4">
        <v>28</v>
      </c>
      <c r="M320" s="4">
        <v>0</v>
      </c>
      <c r="N320" s="4" t="s">
        <v>6</v>
      </c>
      <c r="O320" s="4">
        <v>2</v>
      </c>
      <c r="P320" s="4"/>
      <c r="Q320" s="4"/>
      <c r="R320" s="4"/>
      <c r="S320" s="4"/>
      <c r="T320" s="4"/>
      <c r="U320" s="4"/>
      <c r="V320" s="4"/>
      <c r="W320" s="4">
        <v>661412.1</v>
      </c>
      <c r="X320" s="4">
        <v>1</v>
      </c>
      <c r="Y320" s="4">
        <v>5961712</v>
      </c>
      <c r="Z320" s="4"/>
      <c r="AA320" s="4"/>
      <c r="AB320" s="4"/>
    </row>
    <row r="321" spans="1:206">
      <c r="A321" s="4">
        <v>50</v>
      </c>
      <c r="B321" s="4">
        <v>1</v>
      </c>
      <c r="C321" s="4">
        <v>0</v>
      </c>
      <c r="D321" s="4">
        <v>2</v>
      </c>
      <c r="E321" s="4">
        <v>0</v>
      </c>
      <c r="F321" s="4">
        <f>ROUND(F320*0.2,O321)</f>
        <v>132282.42000000001</v>
      </c>
      <c r="G321" s="4" t="s">
        <v>31</v>
      </c>
      <c r="H321" s="4" t="s">
        <v>95</v>
      </c>
      <c r="I321" s="4"/>
      <c r="J321" s="4"/>
      <c r="K321" s="4">
        <v>212</v>
      </c>
      <c r="L321" s="4">
        <v>29</v>
      </c>
      <c r="M321" s="4">
        <v>0</v>
      </c>
      <c r="N321" s="4" t="s">
        <v>6</v>
      </c>
      <c r="O321" s="4">
        <v>2</v>
      </c>
      <c r="P321" s="4"/>
      <c r="Q321" s="4"/>
      <c r="R321" s="4"/>
      <c r="S321" s="4"/>
      <c r="T321" s="4"/>
      <c r="U321" s="4"/>
      <c r="V321" s="4"/>
      <c r="W321" s="4">
        <v>132282.42000000001</v>
      </c>
      <c r="X321" s="4">
        <v>1</v>
      </c>
      <c r="Y321" s="4">
        <v>1192342</v>
      </c>
      <c r="Z321" s="4"/>
      <c r="AA321" s="4"/>
      <c r="AB321" s="4"/>
    </row>
    <row r="322" spans="1:206">
      <c r="A322" s="4">
        <v>50</v>
      </c>
      <c r="B322" s="4">
        <v>1</v>
      </c>
      <c r="C322" s="4">
        <v>0</v>
      </c>
      <c r="D322" s="4">
        <v>2</v>
      </c>
      <c r="E322" s="4">
        <v>213</v>
      </c>
      <c r="F322" s="4">
        <f>ROUND(F320+F321,O322)</f>
        <v>793694.52</v>
      </c>
      <c r="G322" s="4" t="s">
        <v>96</v>
      </c>
      <c r="H322" s="4" t="s">
        <v>97</v>
      </c>
      <c r="I322" s="4"/>
      <c r="J322" s="4"/>
      <c r="K322" s="4">
        <v>212</v>
      </c>
      <c r="L322" s="4">
        <v>30</v>
      </c>
      <c r="M322" s="4">
        <v>0</v>
      </c>
      <c r="N322" s="4" t="s">
        <v>6</v>
      </c>
      <c r="O322" s="4">
        <v>2</v>
      </c>
      <c r="P322" s="4"/>
      <c r="Q322" s="4"/>
      <c r="R322" s="4"/>
      <c r="S322" s="4"/>
      <c r="T322" s="4"/>
      <c r="U322" s="4"/>
      <c r="V322" s="4"/>
      <c r="W322" s="4">
        <v>793694.52</v>
      </c>
      <c r="X322" s="4">
        <v>1</v>
      </c>
      <c r="Y322" s="4">
        <v>7154054</v>
      </c>
      <c r="Z322" s="4"/>
      <c r="AA322" s="4"/>
      <c r="AB322" s="4"/>
    </row>
    <row r="324" spans="1:206">
      <c r="A324" s="2">
        <v>51</v>
      </c>
      <c r="B324" s="2">
        <f>B20</f>
        <v>1</v>
      </c>
      <c r="C324" s="2">
        <f>A20</f>
        <v>3</v>
      </c>
      <c r="D324" s="2">
        <f>ROW(A20)</f>
        <v>20</v>
      </c>
      <c r="E324" s="2"/>
      <c r="F324" s="2" t="str">
        <f>IF(F20&lt;&gt;"",F20,"")</f>
        <v>Новая локальная смета</v>
      </c>
      <c r="G324" s="2" t="str">
        <f>IF(G20&lt;&gt;"",G20,"")</f>
        <v>Выявленный объект культурного наследия "Здание рабочей казармы Берговской мануфактуры, 1908г", по адресу: г.Тверь, ул.Спартака, д.45, корп.1</v>
      </c>
      <c r="H324" s="2">
        <v>0</v>
      </c>
      <c r="I324" s="2"/>
      <c r="J324" s="2"/>
      <c r="K324" s="2"/>
      <c r="L324" s="2"/>
      <c r="M324" s="2"/>
      <c r="N324" s="2"/>
      <c r="O324" s="2">
        <f t="shared" ref="O324:T324" si="331">ROUND(O31+O186+O291+AB324,2)</f>
        <v>1323732.72</v>
      </c>
      <c r="P324" s="2">
        <f t="shared" si="331"/>
        <v>1221152.81</v>
      </c>
      <c r="Q324" s="2">
        <f t="shared" si="331"/>
        <v>27885.51</v>
      </c>
      <c r="R324" s="2">
        <f t="shared" si="331"/>
        <v>3438.11</v>
      </c>
      <c r="S324" s="2">
        <f t="shared" si="331"/>
        <v>74694.399999999994</v>
      </c>
      <c r="T324" s="2">
        <f t="shared" si="331"/>
        <v>0</v>
      </c>
      <c r="U324" s="2">
        <f>U31+U186+U291+AH324</f>
        <v>8541.0682726100003</v>
      </c>
      <c r="V324" s="2">
        <f>V31+V186+V291+AI324</f>
        <v>286.20145187499998</v>
      </c>
      <c r="W324" s="2">
        <f>ROUND(W31+W186+W291+AJ324,2)</f>
        <v>0</v>
      </c>
      <c r="X324" s="2">
        <f>ROUND(X31+X186+X291+AK324,2)</f>
        <v>75587.100000000006</v>
      </c>
      <c r="Y324" s="2">
        <f>ROUND(Y31+Y186+Y291+AL324,2)</f>
        <v>42668.11</v>
      </c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>
        <f t="shared" ref="AO324:BD324" si="332">ROUND(AO31+AO186+AO291+BX324,2)</f>
        <v>0</v>
      </c>
      <c r="AP324" s="2">
        <f t="shared" si="332"/>
        <v>0</v>
      </c>
      <c r="AQ324" s="2">
        <f t="shared" si="332"/>
        <v>0</v>
      </c>
      <c r="AR324" s="2">
        <f t="shared" si="332"/>
        <v>1441987.93</v>
      </c>
      <c r="AS324" s="2">
        <f t="shared" si="332"/>
        <v>1423955.45</v>
      </c>
      <c r="AT324" s="2">
        <f t="shared" si="332"/>
        <v>18032.48</v>
      </c>
      <c r="AU324" s="2">
        <f t="shared" si="332"/>
        <v>0</v>
      </c>
      <c r="AV324" s="2">
        <f t="shared" si="332"/>
        <v>1221152.81</v>
      </c>
      <c r="AW324" s="2">
        <f t="shared" si="332"/>
        <v>1221152.81</v>
      </c>
      <c r="AX324" s="2">
        <f t="shared" si="332"/>
        <v>0</v>
      </c>
      <c r="AY324" s="2">
        <f t="shared" si="332"/>
        <v>1221152.81</v>
      </c>
      <c r="AZ324" s="2">
        <f t="shared" si="332"/>
        <v>0</v>
      </c>
      <c r="BA324" s="2">
        <f t="shared" si="332"/>
        <v>0</v>
      </c>
      <c r="BB324" s="2">
        <f t="shared" si="332"/>
        <v>0</v>
      </c>
      <c r="BC324" s="2">
        <f t="shared" si="332"/>
        <v>0</v>
      </c>
      <c r="BD324" s="2">
        <f t="shared" si="332"/>
        <v>3817.27</v>
      </c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  <c r="BQ324" s="2"/>
      <c r="BR324" s="2"/>
      <c r="BS324" s="2"/>
      <c r="BT324" s="2"/>
      <c r="BU324" s="2"/>
      <c r="BV324" s="2"/>
      <c r="BW324" s="2"/>
      <c r="BX324" s="2"/>
      <c r="BY324" s="2"/>
      <c r="BZ324" s="2"/>
      <c r="CA324" s="2"/>
      <c r="CB324" s="2"/>
      <c r="CC324" s="2"/>
      <c r="CD324" s="2"/>
      <c r="CE324" s="2"/>
      <c r="CF324" s="2"/>
      <c r="CG324" s="2"/>
      <c r="CH324" s="2"/>
      <c r="CI324" s="2"/>
      <c r="CJ324" s="2"/>
      <c r="CK324" s="2"/>
      <c r="CL324" s="2"/>
      <c r="CM324" s="2"/>
      <c r="CN324" s="2"/>
      <c r="CO324" s="2"/>
      <c r="CP324" s="2"/>
      <c r="CQ324" s="2"/>
      <c r="CR324" s="2"/>
      <c r="CS324" s="2"/>
      <c r="CT324" s="2"/>
      <c r="CU324" s="2"/>
      <c r="CV324" s="2"/>
      <c r="CW324" s="2"/>
      <c r="CX324" s="2"/>
      <c r="CY324" s="2"/>
      <c r="CZ324" s="2"/>
      <c r="DA324" s="2"/>
      <c r="DB324" s="2"/>
      <c r="DC324" s="2"/>
      <c r="DD324" s="2"/>
      <c r="DE324" s="2"/>
      <c r="DF324" s="2"/>
      <c r="DG324" s="3"/>
      <c r="DH324" s="3"/>
      <c r="DI324" s="3"/>
      <c r="DJ324" s="3"/>
      <c r="DK324" s="3"/>
      <c r="DL324" s="3"/>
      <c r="DM324" s="3"/>
      <c r="DN324" s="3"/>
      <c r="DO324" s="3"/>
      <c r="DP324" s="3"/>
      <c r="DQ324" s="3"/>
      <c r="DR324" s="3"/>
      <c r="DS324" s="3"/>
      <c r="DT324" s="3"/>
      <c r="DU324" s="3"/>
      <c r="DV324" s="3"/>
      <c r="DW324" s="3"/>
      <c r="DX324" s="3"/>
      <c r="DY324" s="3"/>
      <c r="DZ324" s="3"/>
      <c r="EA324" s="3"/>
      <c r="EB324" s="3"/>
      <c r="EC324" s="3"/>
      <c r="ED324" s="3"/>
      <c r="EE324" s="3"/>
      <c r="EF324" s="3"/>
      <c r="EG324" s="3"/>
      <c r="EH324" s="3"/>
      <c r="EI324" s="3"/>
      <c r="EJ324" s="3"/>
      <c r="EK324" s="3"/>
      <c r="EL324" s="3"/>
      <c r="EM324" s="3"/>
      <c r="EN324" s="3"/>
      <c r="EO324" s="3"/>
      <c r="EP324" s="3"/>
      <c r="EQ324" s="3"/>
      <c r="ER324" s="3"/>
      <c r="ES324" s="3"/>
      <c r="ET324" s="3"/>
      <c r="EU324" s="3"/>
      <c r="EV324" s="3"/>
      <c r="EW324" s="3"/>
      <c r="EX324" s="3"/>
      <c r="EY324" s="3"/>
      <c r="EZ324" s="3"/>
      <c r="FA324" s="3"/>
      <c r="FB324" s="3"/>
      <c r="FC324" s="3"/>
      <c r="FD324" s="3"/>
      <c r="FE324" s="3"/>
      <c r="FF324" s="3"/>
      <c r="FG324" s="3"/>
      <c r="FH324" s="3"/>
      <c r="FI324" s="3"/>
      <c r="FJ324" s="3"/>
      <c r="FK324" s="3"/>
      <c r="FL324" s="3"/>
      <c r="FM324" s="3"/>
      <c r="FN324" s="3"/>
      <c r="FO324" s="3"/>
      <c r="FP324" s="3"/>
      <c r="FQ324" s="3"/>
      <c r="FR324" s="3"/>
      <c r="FS324" s="3"/>
      <c r="FT324" s="3"/>
      <c r="FU324" s="3"/>
      <c r="FV324" s="3"/>
      <c r="FW324" s="3"/>
      <c r="FX324" s="3"/>
      <c r="FY324" s="3"/>
      <c r="FZ324" s="3"/>
      <c r="GA324" s="3"/>
      <c r="GB324" s="3"/>
      <c r="GC324" s="3"/>
      <c r="GD324" s="3"/>
      <c r="GE324" s="3"/>
      <c r="GF324" s="3"/>
      <c r="GG324" s="3"/>
      <c r="GH324" s="3"/>
      <c r="GI324" s="3"/>
      <c r="GJ324" s="3"/>
      <c r="GK324" s="3"/>
      <c r="GL324" s="3"/>
      <c r="GM324" s="3"/>
      <c r="GN324" s="3"/>
      <c r="GO324" s="3"/>
      <c r="GP324" s="3"/>
      <c r="GQ324" s="3"/>
      <c r="GR324" s="3"/>
      <c r="GS324" s="3"/>
      <c r="GT324" s="3"/>
      <c r="GU324" s="3"/>
      <c r="GV324" s="3"/>
      <c r="GW324" s="3"/>
      <c r="GX324" s="3">
        <v>0</v>
      </c>
    </row>
    <row r="326" spans="1:206">
      <c r="A326" s="4">
        <v>50</v>
      </c>
      <c r="B326" s="4">
        <v>1</v>
      </c>
      <c r="C326" s="4">
        <v>0</v>
      </c>
      <c r="D326" s="4">
        <v>1</v>
      </c>
      <c r="E326" s="4">
        <v>201</v>
      </c>
      <c r="F326" s="4">
        <f>ROUND(Source!O324,O326)</f>
        <v>1323732.72</v>
      </c>
      <c r="G326" s="4" t="s">
        <v>40</v>
      </c>
      <c r="H326" s="4" t="s">
        <v>41</v>
      </c>
      <c r="I326" s="4"/>
      <c r="J326" s="4"/>
      <c r="K326" s="4">
        <v>201</v>
      </c>
      <c r="L326" s="4">
        <v>1</v>
      </c>
      <c r="M326" s="4">
        <v>0</v>
      </c>
      <c r="N326" s="4" t="s">
        <v>6</v>
      </c>
      <c r="O326" s="4">
        <v>2</v>
      </c>
      <c r="P326" s="4"/>
      <c r="Q326" s="4"/>
      <c r="R326" s="4"/>
      <c r="S326" s="4"/>
      <c r="T326" s="4"/>
      <c r="U326" s="4"/>
      <c r="V326" s="4"/>
      <c r="W326" s="4">
        <v>1324870.24</v>
      </c>
      <c r="X326" s="4">
        <v>1</v>
      </c>
      <c r="Y326" s="4">
        <v>9554231</v>
      </c>
      <c r="Z326" s="4"/>
      <c r="AA326" s="4"/>
      <c r="AB326" s="4"/>
    </row>
    <row r="327" spans="1:206">
      <c r="A327" s="4">
        <v>50</v>
      </c>
      <c r="B327" s="4">
        <v>1</v>
      </c>
      <c r="C327" s="4">
        <v>0</v>
      </c>
      <c r="D327" s="4">
        <v>1</v>
      </c>
      <c r="E327" s="4">
        <v>202</v>
      </c>
      <c r="F327" s="4">
        <f>ROUND(Source!P324,O327)</f>
        <v>1221152.81</v>
      </c>
      <c r="G327" s="4" t="s">
        <v>42</v>
      </c>
      <c r="H327" s="4" t="s">
        <v>43</v>
      </c>
      <c r="I327" s="4"/>
      <c r="J327" s="4"/>
      <c r="K327" s="4">
        <v>202</v>
      </c>
      <c r="L327" s="4">
        <v>2</v>
      </c>
      <c r="M327" s="4">
        <v>0</v>
      </c>
      <c r="N327" s="4" t="s">
        <v>6</v>
      </c>
      <c r="O327" s="4">
        <v>2</v>
      </c>
      <c r="P327" s="4"/>
      <c r="Q327" s="4"/>
      <c r="R327" s="4"/>
      <c r="S327" s="4"/>
      <c r="T327" s="4"/>
      <c r="U327" s="4"/>
      <c r="V327" s="4"/>
      <c r="W327" s="4">
        <v>1221152.81</v>
      </c>
      <c r="X327" s="4">
        <v>1</v>
      </c>
      <c r="Y327" s="4">
        <v>0</v>
      </c>
      <c r="Z327" s="4"/>
      <c r="AA327" s="4"/>
      <c r="AB327" s="4"/>
    </row>
    <row r="328" spans="1:206">
      <c r="A328" s="4">
        <v>50</v>
      </c>
      <c r="B328" s="4">
        <v>0</v>
      </c>
      <c r="C328" s="4">
        <v>0</v>
      </c>
      <c r="D328" s="4">
        <v>1</v>
      </c>
      <c r="E328" s="4">
        <v>30835619</v>
      </c>
      <c r="F328" s="4">
        <f>ROUND(Source!AO324,O328)</f>
        <v>0</v>
      </c>
      <c r="G328" s="4" t="s">
        <v>44</v>
      </c>
      <c r="H328" s="4" t="s">
        <v>45</v>
      </c>
      <c r="I328" s="4"/>
      <c r="J328" s="4"/>
      <c r="K328" s="4">
        <v>222</v>
      </c>
      <c r="L328" s="4">
        <v>3</v>
      </c>
      <c r="M328" s="4">
        <v>3</v>
      </c>
      <c r="N328" s="4" t="s">
        <v>6</v>
      </c>
      <c r="O328" s="4">
        <v>2</v>
      </c>
      <c r="P328" s="4"/>
      <c r="Q328" s="4"/>
      <c r="R328" s="4"/>
      <c r="S328" s="4"/>
      <c r="T328" s="4"/>
      <c r="U328" s="4"/>
      <c r="V328" s="4"/>
      <c r="W328" s="4">
        <v>0</v>
      </c>
      <c r="X328" s="4">
        <v>1</v>
      </c>
      <c r="Y328" s="4">
        <v>0</v>
      </c>
      <c r="Z328" s="4"/>
      <c r="AA328" s="4"/>
      <c r="AB328" s="4"/>
    </row>
    <row r="329" spans="1:206">
      <c r="A329" s="4">
        <v>50</v>
      </c>
      <c r="B329" s="4">
        <v>0</v>
      </c>
      <c r="C329" s="4">
        <v>0</v>
      </c>
      <c r="D329" s="4">
        <v>1</v>
      </c>
      <c r="E329" s="4">
        <v>225</v>
      </c>
      <c r="F329" s="4">
        <f>ROUND(Source!AV324,O329)</f>
        <v>1221152.81</v>
      </c>
      <c r="G329" s="4" t="s">
        <v>46</v>
      </c>
      <c r="H329" s="4" t="s">
        <v>47</v>
      </c>
      <c r="I329" s="4"/>
      <c r="J329" s="4"/>
      <c r="K329" s="4">
        <v>225</v>
      </c>
      <c r="L329" s="4">
        <v>4</v>
      </c>
      <c r="M329" s="4">
        <v>3</v>
      </c>
      <c r="N329" s="4" t="s">
        <v>6</v>
      </c>
      <c r="O329" s="4">
        <v>2</v>
      </c>
      <c r="P329" s="4"/>
      <c r="Q329" s="4"/>
      <c r="R329" s="4"/>
      <c r="S329" s="4"/>
      <c r="T329" s="4"/>
      <c r="U329" s="4"/>
      <c r="V329" s="4"/>
      <c r="W329" s="4">
        <v>1221152.81</v>
      </c>
      <c r="X329" s="4">
        <v>1</v>
      </c>
      <c r="Y329" s="4">
        <v>0</v>
      </c>
      <c r="Z329" s="4"/>
      <c r="AA329" s="4"/>
      <c r="AB329" s="4"/>
    </row>
    <row r="330" spans="1:206">
      <c r="A330" s="4">
        <v>50</v>
      </c>
      <c r="B330" s="4">
        <v>0</v>
      </c>
      <c r="C330" s="4">
        <v>0</v>
      </c>
      <c r="D330" s="4">
        <v>1</v>
      </c>
      <c r="E330" s="4">
        <v>226</v>
      </c>
      <c r="F330" s="4">
        <f>ROUND(Source!AW324,O330)</f>
        <v>1221152.81</v>
      </c>
      <c r="G330" s="4" t="s">
        <v>48</v>
      </c>
      <c r="H330" s="4" t="s">
        <v>49</v>
      </c>
      <c r="I330" s="4"/>
      <c r="J330" s="4"/>
      <c r="K330" s="4">
        <v>226</v>
      </c>
      <c r="L330" s="4">
        <v>5</v>
      </c>
      <c r="M330" s="4">
        <v>3</v>
      </c>
      <c r="N330" s="4" t="s">
        <v>6</v>
      </c>
      <c r="O330" s="4">
        <v>2</v>
      </c>
      <c r="P330" s="4"/>
      <c r="Q330" s="4"/>
      <c r="R330" s="4"/>
      <c r="S330" s="4"/>
      <c r="T330" s="4"/>
      <c r="U330" s="4"/>
      <c r="V330" s="4"/>
      <c r="W330" s="4">
        <v>1221152.81</v>
      </c>
      <c r="X330" s="4">
        <v>1</v>
      </c>
      <c r="Y330" s="4">
        <v>7534513</v>
      </c>
      <c r="Z330" s="4"/>
      <c r="AA330" s="4"/>
      <c r="AB330" s="4"/>
    </row>
    <row r="331" spans="1:206">
      <c r="A331" s="4">
        <v>50</v>
      </c>
      <c r="B331" s="4">
        <v>0</v>
      </c>
      <c r="C331" s="4">
        <v>0</v>
      </c>
      <c r="D331" s="4">
        <v>1</v>
      </c>
      <c r="E331" s="4">
        <v>227</v>
      </c>
      <c r="F331" s="4">
        <f>ROUND(Source!AX324,O331)</f>
        <v>0</v>
      </c>
      <c r="G331" s="4" t="s">
        <v>50</v>
      </c>
      <c r="H331" s="4" t="s">
        <v>51</v>
      </c>
      <c r="I331" s="4"/>
      <c r="J331" s="4"/>
      <c r="K331" s="4">
        <v>227</v>
      </c>
      <c r="L331" s="4">
        <v>6</v>
      </c>
      <c r="M331" s="4">
        <v>3</v>
      </c>
      <c r="N331" s="4" t="s">
        <v>6</v>
      </c>
      <c r="O331" s="4">
        <v>2</v>
      </c>
      <c r="P331" s="4"/>
      <c r="Q331" s="4"/>
      <c r="R331" s="4"/>
      <c r="S331" s="4"/>
      <c r="T331" s="4"/>
      <c r="U331" s="4"/>
      <c r="V331" s="4"/>
      <c r="W331" s="4">
        <v>0</v>
      </c>
      <c r="X331" s="4">
        <v>1</v>
      </c>
      <c r="Y331" s="4">
        <v>0</v>
      </c>
      <c r="Z331" s="4"/>
      <c r="AA331" s="4"/>
      <c r="AB331" s="4"/>
    </row>
    <row r="332" spans="1:206">
      <c r="A332" s="4">
        <v>50</v>
      </c>
      <c r="B332" s="4">
        <v>0</v>
      </c>
      <c r="C332" s="4">
        <v>0</v>
      </c>
      <c r="D332" s="4">
        <v>1</v>
      </c>
      <c r="E332" s="4">
        <v>228</v>
      </c>
      <c r="F332" s="4">
        <f>ROUND(Source!AY324,O332)</f>
        <v>1221152.81</v>
      </c>
      <c r="G332" s="4" t="s">
        <v>52</v>
      </c>
      <c r="H332" s="4" t="s">
        <v>53</v>
      </c>
      <c r="I332" s="4"/>
      <c r="J332" s="4"/>
      <c r="K332" s="4">
        <v>228</v>
      </c>
      <c r="L332" s="4">
        <v>7</v>
      </c>
      <c r="M332" s="4">
        <v>3</v>
      </c>
      <c r="N332" s="4" t="s">
        <v>6</v>
      </c>
      <c r="O332" s="4">
        <v>2</v>
      </c>
      <c r="P332" s="4"/>
      <c r="Q332" s="4"/>
      <c r="R332" s="4"/>
      <c r="S332" s="4"/>
      <c r="T332" s="4"/>
      <c r="U332" s="4"/>
      <c r="V332" s="4"/>
      <c r="W332" s="4">
        <v>1221152.81</v>
      </c>
      <c r="X332" s="4">
        <v>1</v>
      </c>
      <c r="Y332" s="4">
        <v>7534513</v>
      </c>
      <c r="Z332" s="4"/>
      <c r="AA332" s="4"/>
      <c r="AB332" s="4"/>
    </row>
    <row r="333" spans="1:206">
      <c r="A333" s="4">
        <v>50</v>
      </c>
      <c r="B333" s="4">
        <v>0</v>
      </c>
      <c r="C333" s="4">
        <v>0</v>
      </c>
      <c r="D333" s="4">
        <v>1</v>
      </c>
      <c r="E333" s="4">
        <v>216</v>
      </c>
      <c r="F333" s="4">
        <f>ROUND(Source!AP324,O333)</f>
        <v>0</v>
      </c>
      <c r="G333" s="4" t="s">
        <v>54</v>
      </c>
      <c r="H333" s="4" t="s">
        <v>55</v>
      </c>
      <c r="I333" s="4"/>
      <c r="J333" s="4"/>
      <c r="K333" s="4">
        <v>216</v>
      </c>
      <c r="L333" s="4">
        <v>8</v>
      </c>
      <c r="M333" s="4">
        <v>3</v>
      </c>
      <c r="N333" s="4" t="s">
        <v>6</v>
      </c>
      <c r="O333" s="4">
        <v>2</v>
      </c>
      <c r="P333" s="4"/>
      <c r="Q333" s="4"/>
      <c r="R333" s="4"/>
      <c r="S333" s="4"/>
      <c r="T333" s="4"/>
      <c r="U333" s="4"/>
      <c r="V333" s="4"/>
      <c r="W333" s="4">
        <v>0</v>
      </c>
      <c r="X333" s="4">
        <v>1</v>
      </c>
      <c r="Y333" s="4">
        <v>0</v>
      </c>
      <c r="Z333" s="4"/>
      <c r="AA333" s="4"/>
      <c r="AB333" s="4"/>
    </row>
    <row r="334" spans="1:206">
      <c r="A334" s="4">
        <v>50</v>
      </c>
      <c r="B334" s="4">
        <v>0</v>
      </c>
      <c r="C334" s="4">
        <v>0</v>
      </c>
      <c r="D334" s="4">
        <v>1</v>
      </c>
      <c r="E334" s="4">
        <v>223</v>
      </c>
      <c r="F334" s="4">
        <f>ROUND(Source!AQ324,O334)</f>
        <v>0</v>
      </c>
      <c r="G334" s="4" t="s">
        <v>56</v>
      </c>
      <c r="H334" s="4" t="s">
        <v>57</v>
      </c>
      <c r="I334" s="4"/>
      <c r="J334" s="4"/>
      <c r="K334" s="4">
        <v>223</v>
      </c>
      <c r="L334" s="4">
        <v>9</v>
      </c>
      <c r="M334" s="4">
        <v>3</v>
      </c>
      <c r="N334" s="4" t="s">
        <v>6</v>
      </c>
      <c r="O334" s="4">
        <v>2</v>
      </c>
      <c r="P334" s="4"/>
      <c r="Q334" s="4"/>
      <c r="R334" s="4"/>
      <c r="S334" s="4"/>
      <c r="T334" s="4"/>
      <c r="U334" s="4"/>
      <c r="V334" s="4"/>
      <c r="W334" s="4">
        <v>0</v>
      </c>
      <c r="X334" s="4">
        <v>1</v>
      </c>
      <c r="Y334" s="4">
        <v>0</v>
      </c>
      <c r="Z334" s="4"/>
      <c r="AA334" s="4"/>
      <c r="AB334" s="4"/>
    </row>
    <row r="335" spans="1:206">
      <c r="A335" s="4">
        <v>50</v>
      </c>
      <c r="B335" s="4">
        <v>0</v>
      </c>
      <c r="C335" s="4">
        <v>0</v>
      </c>
      <c r="D335" s="4">
        <v>1</v>
      </c>
      <c r="E335" s="4">
        <v>229</v>
      </c>
      <c r="F335" s="4">
        <f>ROUND(Source!AZ324,O335)</f>
        <v>0</v>
      </c>
      <c r="G335" s="4" t="s">
        <v>58</v>
      </c>
      <c r="H335" s="4" t="s">
        <v>59</v>
      </c>
      <c r="I335" s="4"/>
      <c r="J335" s="4"/>
      <c r="K335" s="4">
        <v>229</v>
      </c>
      <c r="L335" s="4">
        <v>10</v>
      </c>
      <c r="M335" s="4">
        <v>3</v>
      </c>
      <c r="N335" s="4" t="s">
        <v>6</v>
      </c>
      <c r="O335" s="4">
        <v>2</v>
      </c>
      <c r="P335" s="4"/>
      <c r="Q335" s="4"/>
      <c r="R335" s="4"/>
      <c r="S335" s="4"/>
      <c r="T335" s="4"/>
      <c r="U335" s="4"/>
      <c r="V335" s="4"/>
      <c r="W335" s="4">
        <v>0</v>
      </c>
      <c r="X335" s="4">
        <v>1</v>
      </c>
      <c r="Y335" s="4">
        <v>0</v>
      </c>
      <c r="Z335" s="4"/>
      <c r="AA335" s="4"/>
      <c r="AB335" s="4"/>
    </row>
    <row r="336" spans="1:206">
      <c r="A336" s="4">
        <v>50</v>
      </c>
      <c r="B336" s="4">
        <v>1</v>
      </c>
      <c r="C336" s="4">
        <v>0</v>
      </c>
      <c r="D336" s="4">
        <v>1</v>
      </c>
      <c r="E336" s="4">
        <v>203</v>
      </c>
      <c r="F336" s="4">
        <f>ROUND(Source!Q324,O336)</f>
        <v>27885.51</v>
      </c>
      <c r="G336" s="4" t="s">
        <v>60</v>
      </c>
      <c r="H336" s="4" t="s">
        <v>61</v>
      </c>
      <c r="I336" s="4"/>
      <c r="J336" s="4"/>
      <c r="K336" s="4">
        <v>203</v>
      </c>
      <c r="L336" s="4">
        <v>11</v>
      </c>
      <c r="M336" s="4">
        <v>0</v>
      </c>
      <c r="N336" s="4" t="s">
        <v>6</v>
      </c>
      <c r="O336" s="4">
        <v>2</v>
      </c>
      <c r="P336" s="4"/>
      <c r="Q336" s="4"/>
      <c r="R336" s="4"/>
      <c r="S336" s="4"/>
      <c r="T336" s="4"/>
      <c r="U336" s="4"/>
      <c r="V336" s="4"/>
      <c r="W336" s="4">
        <v>25876.259999999995</v>
      </c>
      <c r="X336" s="4">
        <v>1</v>
      </c>
      <c r="Y336" s="4">
        <v>197695</v>
      </c>
      <c r="Z336" s="4"/>
      <c r="AA336" s="4"/>
      <c r="AB336" s="4"/>
    </row>
    <row r="337" spans="1:28">
      <c r="A337" s="4">
        <v>50</v>
      </c>
      <c r="B337" s="4">
        <v>0</v>
      </c>
      <c r="C337" s="4">
        <v>0</v>
      </c>
      <c r="D337" s="4">
        <v>1</v>
      </c>
      <c r="E337" s="4">
        <v>231</v>
      </c>
      <c r="F337" s="4">
        <f>ROUND(Source!BB324,O337)</f>
        <v>0</v>
      </c>
      <c r="G337" s="4" t="s">
        <v>62</v>
      </c>
      <c r="H337" s="4" t="s">
        <v>63</v>
      </c>
      <c r="I337" s="4"/>
      <c r="J337" s="4"/>
      <c r="K337" s="4">
        <v>231</v>
      </c>
      <c r="L337" s="4">
        <v>12</v>
      </c>
      <c r="M337" s="4">
        <v>3</v>
      </c>
      <c r="N337" s="4" t="s">
        <v>6</v>
      </c>
      <c r="O337" s="4">
        <v>2</v>
      </c>
      <c r="P337" s="4"/>
      <c r="Q337" s="4"/>
      <c r="R337" s="4"/>
      <c r="S337" s="4"/>
      <c r="T337" s="4"/>
      <c r="U337" s="4"/>
      <c r="V337" s="4"/>
      <c r="W337" s="4">
        <v>0</v>
      </c>
      <c r="X337" s="4">
        <v>1</v>
      </c>
      <c r="Y337" s="4">
        <v>0</v>
      </c>
      <c r="Z337" s="4"/>
      <c r="AA337" s="4"/>
      <c r="AB337" s="4"/>
    </row>
    <row r="338" spans="1:28">
      <c r="A338" s="4">
        <v>50</v>
      </c>
      <c r="B338" s="4">
        <v>1</v>
      </c>
      <c r="C338" s="4">
        <v>0</v>
      </c>
      <c r="D338" s="4">
        <v>1</v>
      </c>
      <c r="E338" s="4">
        <v>204</v>
      </c>
      <c r="F338" s="4">
        <f>ROUND(Source!R324,O338)</f>
        <v>3438.11</v>
      </c>
      <c r="G338" s="4" t="s">
        <v>64</v>
      </c>
      <c r="H338" s="4" t="s">
        <v>65</v>
      </c>
      <c r="I338" s="4"/>
      <c r="J338" s="4"/>
      <c r="K338" s="4">
        <v>204</v>
      </c>
      <c r="L338" s="4">
        <v>13</v>
      </c>
      <c r="M338" s="4">
        <v>0</v>
      </c>
      <c r="N338" s="4" t="s">
        <v>6</v>
      </c>
      <c r="O338" s="4">
        <v>2</v>
      </c>
      <c r="P338" s="4"/>
      <c r="Q338" s="4"/>
      <c r="R338" s="4"/>
      <c r="S338" s="4"/>
      <c r="T338" s="4"/>
      <c r="U338" s="4"/>
      <c r="V338" s="4"/>
      <c r="W338" s="4">
        <v>3438.11</v>
      </c>
      <c r="X338" s="4">
        <v>1</v>
      </c>
      <c r="Y338" s="4">
        <v>83270</v>
      </c>
      <c r="Z338" s="4"/>
      <c r="AA338" s="4"/>
      <c r="AB338" s="4"/>
    </row>
    <row r="339" spans="1:28">
      <c r="A339" s="4">
        <v>50</v>
      </c>
      <c r="B339" s="4">
        <v>1</v>
      </c>
      <c r="C339" s="4">
        <v>0</v>
      </c>
      <c r="D339" s="4">
        <v>1</v>
      </c>
      <c r="E339" s="4">
        <v>205</v>
      </c>
      <c r="F339" s="4">
        <f>ROUND(Source!S324,O339)</f>
        <v>74694.399999999994</v>
      </c>
      <c r="G339" s="4" t="s">
        <v>66</v>
      </c>
      <c r="H339" s="4" t="s">
        <v>67</v>
      </c>
      <c r="I339" s="4"/>
      <c r="J339" s="4"/>
      <c r="K339" s="4">
        <v>205</v>
      </c>
      <c r="L339" s="4">
        <v>14</v>
      </c>
      <c r="M339" s="4">
        <v>0</v>
      </c>
      <c r="N339" s="4" t="s">
        <v>6</v>
      </c>
      <c r="O339" s="4">
        <v>2</v>
      </c>
      <c r="P339" s="4"/>
      <c r="Q339" s="4"/>
      <c r="R339" s="4"/>
      <c r="S339" s="4"/>
      <c r="T339" s="4"/>
      <c r="U339" s="4"/>
      <c r="V339" s="4"/>
      <c r="W339" s="4">
        <v>74023.899999999994</v>
      </c>
      <c r="X339" s="4">
        <v>1</v>
      </c>
      <c r="Y339" s="4">
        <v>1792859</v>
      </c>
      <c r="Z339" s="4"/>
      <c r="AA339" s="4"/>
      <c r="AB339" s="4"/>
    </row>
    <row r="340" spans="1:28">
      <c r="A340" s="4">
        <v>50</v>
      </c>
      <c r="B340" s="4">
        <v>0</v>
      </c>
      <c r="C340" s="4">
        <v>0</v>
      </c>
      <c r="D340" s="4">
        <v>1</v>
      </c>
      <c r="E340" s="4">
        <v>232</v>
      </c>
      <c r="F340" s="4">
        <f>ROUND(Source!BC324,O340)</f>
        <v>0</v>
      </c>
      <c r="G340" s="4" t="s">
        <v>68</v>
      </c>
      <c r="H340" s="4" t="s">
        <v>69</v>
      </c>
      <c r="I340" s="4"/>
      <c r="J340" s="4"/>
      <c r="K340" s="4">
        <v>232</v>
      </c>
      <c r="L340" s="4">
        <v>15</v>
      </c>
      <c r="M340" s="4">
        <v>3</v>
      </c>
      <c r="N340" s="4" t="s">
        <v>6</v>
      </c>
      <c r="O340" s="4">
        <v>2</v>
      </c>
      <c r="P340" s="4"/>
      <c r="Q340" s="4"/>
      <c r="R340" s="4"/>
      <c r="S340" s="4"/>
      <c r="T340" s="4"/>
      <c r="U340" s="4"/>
      <c r="V340" s="4"/>
      <c r="W340" s="4">
        <v>0</v>
      </c>
      <c r="X340" s="4">
        <v>1</v>
      </c>
      <c r="Y340" s="4">
        <v>0</v>
      </c>
      <c r="Z340" s="4"/>
      <c r="AA340" s="4"/>
      <c r="AB340" s="4"/>
    </row>
    <row r="341" spans="1:28">
      <c r="A341" s="4">
        <v>50</v>
      </c>
      <c r="B341" s="4">
        <v>1</v>
      </c>
      <c r="C341" s="4">
        <v>0</v>
      </c>
      <c r="D341" s="4">
        <v>1</v>
      </c>
      <c r="E341" s="4">
        <v>214</v>
      </c>
      <c r="F341" s="4">
        <f>ROUND(Source!AS324,O341)</f>
        <v>1423955.45</v>
      </c>
      <c r="G341" s="4" t="s">
        <v>70</v>
      </c>
      <c r="H341" s="4" t="s">
        <v>71</v>
      </c>
      <c r="I341" s="4"/>
      <c r="J341" s="4"/>
      <c r="K341" s="4">
        <v>214</v>
      </c>
      <c r="L341" s="4">
        <v>16</v>
      </c>
      <c r="M341" s="4">
        <v>0</v>
      </c>
      <c r="N341" s="4" t="s">
        <v>6</v>
      </c>
      <c r="O341" s="4">
        <v>2</v>
      </c>
      <c r="P341" s="4"/>
      <c r="Q341" s="4"/>
      <c r="R341" s="4"/>
      <c r="S341" s="4"/>
      <c r="T341" s="4"/>
      <c r="U341" s="4"/>
      <c r="V341" s="4"/>
      <c r="W341" s="4">
        <v>1423955.45</v>
      </c>
      <c r="X341" s="4">
        <v>1</v>
      </c>
      <c r="Y341" s="4">
        <v>12206349</v>
      </c>
      <c r="Z341" s="4"/>
      <c r="AA341" s="4"/>
      <c r="AB341" s="4"/>
    </row>
    <row r="342" spans="1:28">
      <c r="A342" s="4">
        <v>50</v>
      </c>
      <c r="B342" s="4">
        <v>0</v>
      </c>
      <c r="C342" s="4">
        <v>0</v>
      </c>
      <c r="D342" s="4">
        <v>1</v>
      </c>
      <c r="E342" s="4">
        <v>215</v>
      </c>
      <c r="F342" s="4">
        <f>ROUND(Source!AT324,O342)</f>
        <v>18032.48</v>
      </c>
      <c r="G342" s="4" t="s">
        <v>72</v>
      </c>
      <c r="H342" s="4" t="s">
        <v>73</v>
      </c>
      <c r="I342" s="4"/>
      <c r="J342" s="4"/>
      <c r="K342" s="4">
        <v>215</v>
      </c>
      <c r="L342" s="4">
        <v>17</v>
      </c>
      <c r="M342" s="4">
        <v>3</v>
      </c>
      <c r="N342" s="4" t="s">
        <v>6</v>
      </c>
      <c r="O342" s="4">
        <v>2</v>
      </c>
      <c r="P342" s="4"/>
      <c r="Q342" s="4"/>
      <c r="R342" s="4"/>
      <c r="S342" s="4"/>
      <c r="T342" s="4"/>
      <c r="U342" s="4"/>
      <c r="V342" s="4"/>
      <c r="W342" s="4">
        <v>18032.48</v>
      </c>
      <c r="X342" s="4">
        <v>1</v>
      </c>
      <c r="Y342" s="4">
        <v>212022</v>
      </c>
      <c r="Z342" s="4"/>
      <c r="AA342" s="4"/>
      <c r="AB342" s="4"/>
    </row>
    <row r="343" spans="1:28">
      <c r="A343" s="4">
        <v>50</v>
      </c>
      <c r="B343" s="4">
        <v>0</v>
      </c>
      <c r="C343" s="4">
        <v>0</v>
      </c>
      <c r="D343" s="4">
        <v>1</v>
      </c>
      <c r="E343" s="4">
        <v>217</v>
      </c>
      <c r="F343" s="4">
        <f>ROUND(Source!AU324,O343)</f>
        <v>0</v>
      </c>
      <c r="G343" s="4" t="s">
        <v>74</v>
      </c>
      <c r="H343" s="4" t="s">
        <v>75</v>
      </c>
      <c r="I343" s="4"/>
      <c r="J343" s="4"/>
      <c r="K343" s="4">
        <v>217</v>
      </c>
      <c r="L343" s="4">
        <v>18</v>
      </c>
      <c r="M343" s="4">
        <v>3</v>
      </c>
      <c r="N343" s="4" t="s">
        <v>6</v>
      </c>
      <c r="O343" s="4">
        <v>2</v>
      </c>
      <c r="P343" s="4"/>
      <c r="Q343" s="4"/>
      <c r="R343" s="4"/>
      <c r="S343" s="4"/>
      <c r="T343" s="4"/>
      <c r="U343" s="4"/>
      <c r="V343" s="4"/>
      <c r="W343" s="4">
        <v>0</v>
      </c>
      <c r="X343" s="4">
        <v>1</v>
      </c>
      <c r="Y343" s="4">
        <v>0</v>
      </c>
      <c r="Z343" s="4"/>
      <c r="AA343" s="4"/>
      <c r="AB343" s="4"/>
    </row>
    <row r="344" spans="1:28">
      <c r="A344" s="4">
        <v>50</v>
      </c>
      <c r="B344" s="4">
        <v>0</v>
      </c>
      <c r="C344" s="4">
        <v>0</v>
      </c>
      <c r="D344" s="4">
        <v>1</v>
      </c>
      <c r="E344" s="4">
        <v>230</v>
      </c>
      <c r="F344" s="4">
        <f>ROUND(Source!BA324,O344)</f>
        <v>0</v>
      </c>
      <c r="G344" s="4" t="s">
        <v>76</v>
      </c>
      <c r="H344" s="4" t="s">
        <v>77</v>
      </c>
      <c r="I344" s="4"/>
      <c r="J344" s="4"/>
      <c r="K344" s="4">
        <v>230</v>
      </c>
      <c r="L344" s="4">
        <v>19</v>
      </c>
      <c r="M344" s="4">
        <v>3</v>
      </c>
      <c r="N344" s="4" t="s">
        <v>6</v>
      </c>
      <c r="O344" s="4">
        <v>2</v>
      </c>
      <c r="P344" s="4"/>
      <c r="Q344" s="4"/>
      <c r="R344" s="4"/>
      <c r="S344" s="4"/>
      <c r="T344" s="4"/>
      <c r="U344" s="4"/>
      <c r="V344" s="4"/>
      <c r="W344" s="4">
        <v>0</v>
      </c>
      <c r="X344" s="4">
        <v>1</v>
      </c>
      <c r="Y344" s="4">
        <v>0</v>
      </c>
      <c r="Z344" s="4"/>
      <c r="AA344" s="4"/>
      <c r="AB344" s="4"/>
    </row>
    <row r="345" spans="1:28">
      <c r="A345" s="4">
        <v>50</v>
      </c>
      <c r="B345" s="4">
        <v>0</v>
      </c>
      <c r="C345" s="4">
        <v>0</v>
      </c>
      <c r="D345" s="4">
        <v>1</v>
      </c>
      <c r="E345" s="4">
        <v>206</v>
      </c>
      <c r="F345" s="4">
        <f>ROUND(Source!T324,O345)</f>
        <v>0</v>
      </c>
      <c r="G345" s="4" t="s">
        <v>78</v>
      </c>
      <c r="H345" s="4" t="s">
        <v>79</v>
      </c>
      <c r="I345" s="4"/>
      <c r="J345" s="4"/>
      <c r="K345" s="4">
        <v>206</v>
      </c>
      <c r="L345" s="4">
        <v>20</v>
      </c>
      <c r="M345" s="4">
        <v>3</v>
      </c>
      <c r="N345" s="4" t="s">
        <v>6</v>
      </c>
      <c r="O345" s="4">
        <v>2</v>
      </c>
      <c r="P345" s="4"/>
      <c r="Q345" s="4"/>
      <c r="R345" s="4"/>
      <c r="S345" s="4"/>
      <c r="T345" s="4"/>
      <c r="U345" s="4"/>
      <c r="V345" s="4"/>
      <c r="W345" s="4">
        <v>0</v>
      </c>
      <c r="X345" s="4">
        <v>1</v>
      </c>
      <c r="Y345" s="4">
        <v>0</v>
      </c>
      <c r="Z345" s="4"/>
      <c r="AA345" s="4"/>
      <c r="AB345" s="4"/>
    </row>
    <row r="346" spans="1:28">
      <c r="A346" s="4">
        <v>50</v>
      </c>
      <c r="B346" s="4">
        <v>0</v>
      </c>
      <c r="C346" s="4">
        <v>0</v>
      </c>
      <c r="D346" s="4">
        <v>1</v>
      </c>
      <c r="E346" s="4">
        <v>207</v>
      </c>
      <c r="F346" s="4">
        <f>Source!U324</f>
        <v>8541.0682726100003</v>
      </c>
      <c r="G346" s="4" t="s">
        <v>80</v>
      </c>
      <c r="H346" s="4" t="s">
        <v>81</v>
      </c>
      <c r="I346" s="4"/>
      <c r="J346" s="4"/>
      <c r="K346" s="4">
        <v>207</v>
      </c>
      <c r="L346" s="4">
        <v>21</v>
      </c>
      <c r="M346" s="4">
        <v>3</v>
      </c>
      <c r="N346" s="4" t="s">
        <v>6</v>
      </c>
      <c r="O346" s="4">
        <v>-1</v>
      </c>
      <c r="P346" s="4"/>
      <c r="Q346" s="4"/>
      <c r="R346" s="4"/>
      <c r="S346" s="4"/>
      <c r="T346" s="4"/>
      <c r="U346" s="4"/>
      <c r="V346" s="4"/>
      <c r="W346" s="4">
        <v>8541.0682726100022</v>
      </c>
      <c r="X346" s="4">
        <v>1</v>
      </c>
      <c r="Y346" s="4">
        <v>8541.0682726100022</v>
      </c>
      <c r="Z346" s="4"/>
      <c r="AA346" s="4"/>
      <c r="AB346" s="4"/>
    </row>
    <row r="347" spans="1:28">
      <c r="A347" s="4">
        <v>50</v>
      </c>
      <c r="B347" s="4">
        <v>0</v>
      </c>
      <c r="C347" s="4">
        <v>0</v>
      </c>
      <c r="D347" s="4">
        <v>1</v>
      </c>
      <c r="E347" s="4">
        <v>208</v>
      </c>
      <c r="F347" s="4">
        <f>Source!V324</f>
        <v>286.20145187499998</v>
      </c>
      <c r="G347" s="4" t="s">
        <v>82</v>
      </c>
      <c r="H347" s="4" t="s">
        <v>83</v>
      </c>
      <c r="I347" s="4"/>
      <c r="J347" s="4"/>
      <c r="K347" s="4">
        <v>208</v>
      </c>
      <c r="L347" s="4">
        <v>22</v>
      </c>
      <c r="M347" s="4">
        <v>3</v>
      </c>
      <c r="N347" s="4" t="s">
        <v>6</v>
      </c>
      <c r="O347" s="4">
        <v>-1</v>
      </c>
      <c r="P347" s="4"/>
      <c r="Q347" s="4"/>
      <c r="R347" s="4"/>
      <c r="S347" s="4"/>
      <c r="T347" s="4"/>
      <c r="U347" s="4"/>
      <c r="V347" s="4"/>
      <c r="W347" s="4">
        <v>286.20145187500015</v>
      </c>
      <c r="X347" s="4">
        <v>1</v>
      </c>
      <c r="Y347" s="4">
        <v>286.20145187500015</v>
      </c>
      <c r="Z347" s="4"/>
      <c r="AA347" s="4"/>
      <c r="AB347" s="4"/>
    </row>
    <row r="348" spans="1:28">
      <c r="A348" s="4">
        <v>50</v>
      </c>
      <c r="B348" s="4">
        <v>0</v>
      </c>
      <c r="C348" s="4">
        <v>0</v>
      </c>
      <c r="D348" s="4">
        <v>1</v>
      </c>
      <c r="E348" s="4">
        <v>209</v>
      </c>
      <c r="F348" s="4">
        <f>ROUND(Source!W324,O348)</f>
        <v>0</v>
      </c>
      <c r="G348" s="4" t="s">
        <v>84</v>
      </c>
      <c r="H348" s="4" t="s">
        <v>85</v>
      </c>
      <c r="I348" s="4"/>
      <c r="J348" s="4"/>
      <c r="K348" s="4">
        <v>209</v>
      </c>
      <c r="L348" s="4">
        <v>23</v>
      </c>
      <c r="M348" s="4">
        <v>3</v>
      </c>
      <c r="N348" s="4" t="s">
        <v>6</v>
      </c>
      <c r="O348" s="4">
        <v>2</v>
      </c>
      <c r="P348" s="4"/>
      <c r="Q348" s="4"/>
      <c r="R348" s="4"/>
      <c r="S348" s="4"/>
      <c r="T348" s="4"/>
      <c r="U348" s="4"/>
      <c r="V348" s="4"/>
      <c r="W348" s="4">
        <v>0</v>
      </c>
      <c r="X348" s="4">
        <v>1</v>
      </c>
      <c r="Y348" s="4">
        <v>0</v>
      </c>
      <c r="Z348" s="4"/>
      <c r="AA348" s="4"/>
      <c r="AB348" s="4"/>
    </row>
    <row r="349" spans="1:28">
      <c r="A349" s="4">
        <v>50</v>
      </c>
      <c r="B349" s="4">
        <v>0</v>
      </c>
      <c r="C349" s="4">
        <v>0</v>
      </c>
      <c r="D349" s="4">
        <v>1</v>
      </c>
      <c r="E349" s="4">
        <v>233</v>
      </c>
      <c r="F349" s="4">
        <f>ROUND(Source!BD324,O349)</f>
        <v>3817.27</v>
      </c>
      <c r="G349" s="4" t="s">
        <v>86</v>
      </c>
      <c r="H349" s="4" t="s">
        <v>87</v>
      </c>
      <c r="I349" s="4"/>
      <c r="J349" s="4"/>
      <c r="K349" s="4">
        <v>233</v>
      </c>
      <c r="L349" s="4">
        <v>24</v>
      </c>
      <c r="M349" s="4">
        <v>3</v>
      </c>
      <c r="N349" s="4" t="s">
        <v>6</v>
      </c>
      <c r="O349" s="4">
        <v>2</v>
      </c>
      <c r="P349" s="4"/>
      <c r="Q349" s="4"/>
      <c r="R349" s="4"/>
      <c r="S349" s="4"/>
      <c r="T349" s="4"/>
      <c r="U349" s="4"/>
      <c r="V349" s="4"/>
      <c r="W349" s="4">
        <v>3817.27</v>
      </c>
      <c r="X349" s="4">
        <v>1</v>
      </c>
      <c r="Y349" s="4">
        <v>29164</v>
      </c>
      <c r="Z349" s="4"/>
      <c r="AA349" s="4"/>
      <c r="AB349" s="4"/>
    </row>
    <row r="350" spans="1:28">
      <c r="A350" s="4">
        <v>50</v>
      </c>
      <c r="B350" s="4">
        <v>1</v>
      </c>
      <c r="C350" s="4">
        <v>0</v>
      </c>
      <c r="D350" s="4">
        <v>1</v>
      </c>
      <c r="E350" s="4">
        <v>210</v>
      </c>
      <c r="F350" s="4">
        <f>ROUND(Source!X324,O350)</f>
        <v>75587.100000000006</v>
      </c>
      <c r="G350" s="4" t="s">
        <v>88</v>
      </c>
      <c r="H350" s="4" t="s">
        <v>89</v>
      </c>
      <c r="I350" s="4"/>
      <c r="J350" s="4"/>
      <c r="K350" s="4">
        <v>210</v>
      </c>
      <c r="L350" s="4">
        <v>25</v>
      </c>
      <c r="M350" s="4">
        <v>0</v>
      </c>
      <c r="N350" s="4" t="s">
        <v>6</v>
      </c>
      <c r="O350" s="4">
        <v>2</v>
      </c>
      <c r="P350" s="4"/>
      <c r="Q350" s="4"/>
      <c r="R350" s="4"/>
      <c r="S350" s="4"/>
      <c r="T350" s="4"/>
      <c r="U350" s="4"/>
      <c r="V350" s="4"/>
      <c r="W350" s="4">
        <v>75587.100000000006</v>
      </c>
      <c r="X350" s="4">
        <v>1</v>
      </c>
      <c r="Y350" s="4">
        <v>1830716</v>
      </c>
      <c r="Z350" s="4"/>
      <c r="AA350" s="4"/>
      <c r="AB350" s="4"/>
    </row>
    <row r="351" spans="1:28">
      <c r="A351" s="4">
        <v>50</v>
      </c>
      <c r="B351" s="4">
        <v>1</v>
      </c>
      <c r="C351" s="4">
        <v>0</v>
      </c>
      <c r="D351" s="4">
        <v>1</v>
      </c>
      <c r="E351" s="4">
        <v>211</v>
      </c>
      <c r="F351" s="4">
        <f>ROUND(Source!Y324,O351)</f>
        <v>42668.11</v>
      </c>
      <c r="G351" s="4" t="s">
        <v>90</v>
      </c>
      <c r="H351" s="4" t="s">
        <v>91</v>
      </c>
      <c r="I351" s="4"/>
      <c r="J351" s="4"/>
      <c r="K351" s="4">
        <v>211</v>
      </c>
      <c r="L351" s="4">
        <v>26</v>
      </c>
      <c r="M351" s="4">
        <v>0</v>
      </c>
      <c r="N351" s="4" t="s">
        <v>6</v>
      </c>
      <c r="O351" s="4">
        <v>2</v>
      </c>
      <c r="P351" s="4"/>
      <c r="Q351" s="4"/>
      <c r="R351" s="4"/>
      <c r="S351" s="4"/>
      <c r="T351" s="4"/>
      <c r="U351" s="4"/>
      <c r="V351" s="4"/>
      <c r="W351" s="4">
        <v>42668.11</v>
      </c>
      <c r="X351" s="4">
        <v>1</v>
      </c>
      <c r="Y351" s="4">
        <v>1033424</v>
      </c>
      <c r="Z351" s="4"/>
      <c r="AA351" s="4"/>
      <c r="AB351" s="4"/>
    </row>
    <row r="352" spans="1:28">
      <c r="A352" s="4">
        <v>50</v>
      </c>
      <c r="B352" s="4">
        <v>0</v>
      </c>
      <c r="C352" s="4">
        <v>0</v>
      </c>
      <c r="D352" s="4">
        <v>1</v>
      </c>
      <c r="E352" s="4">
        <v>224</v>
      </c>
      <c r="F352" s="4">
        <f>ROUND(Source!AR324,O352)</f>
        <v>1441987.93</v>
      </c>
      <c r="G352" s="4" t="s">
        <v>92</v>
      </c>
      <c r="H352" s="4" t="s">
        <v>93</v>
      </c>
      <c r="I352" s="4"/>
      <c r="J352" s="4"/>
      <c r="K352" s="4">
        <v>224</v>
      </c>
      <c r="L352" s="4">
        <v>27</v>
      </c>
      <c r="M352" s="4">
        <v>3</v>
      </c>
      <c r="N352" s="4" t="s">
        <v>6</v>
      </c>
      <c r="O352" s="4">
        <v>2</v>
      </c>
      <c r="P352" s="4"/>
      <c r="Q352" s="4"/>
      <c r="R352" s="4"/>
      <c r="S352" s="4"/>
      <c r="T352" s="4"/>
      <c r="U352" s="4"/>
      <c r="V352" s="4"/>
      <c r="W352" s="4">
        <v>1443125.4500000002</v>
      </c>
      <c r="X352" s="4">
        <v>1</v>
      </c>
      <c r="Y352" s="4">
        <v>12418371</v>
      </c>
      <c r="Z352" s="4"/>
      <c r="AA352" s="4"/>
      <c r="AB352" s="4"/>
    </row>
    <row r="353" spans="1:206">
      <c r="A353" s="4">
        <v>50</v>
      </c>
      <c r="B353" s="4">
        <v>1</v>
      </c>
      <c r="C353" s="4">
        <v>0</v>
      </c>
      <c r="D353" s="4">
        <v>2</v>
      </c>
      <c r="E353" s="4">
        <v>0</v>
      </c>
      <c r="F353" s="4">
        <f>ROUND(F352,O353)</f>
        <v>1441987.93</v>
      </c>
      <c r="G353" s="4" t="s">
        <v>19</v>
      </c>
      <c r="H353" s="4" t="s">
        <v>94</v>
      </c>
      <c r="I353" s="4"/>
      <c r="J353" s="4"/>
      <c r="K353" s="4">
        <v>212</v>
      </c>
      <c r="L353" s="4">
        <v>28</v>
      </c>
      <c r="M353" s="4">
        <v>0</v>
      </c>
      <c r="N353" s="4" t="s">
        <v>6</v>
      </c>
      <c r="O353" s="4">
        <v>2</v>
      </c>
      <c r="P353" s="4"/>
      <c r="Q353" s="4"/>
      <c r="R353" s="4"/>
      <c r="S353" s="4"/>
      <c r="T353" s="4"/>
      <c r="U353" s="4"/>
      <c r="V353" s="4"/>
      <c r="W353" s="4">
        <v>1443125.45</v>
      </c>
      <c r="X353" s="4">
        <v>1</v>
      </c>
      <c r="Y353" s="4">
        <v>12418371</v>
      </c>
      <c r="Z353" s="4"/>
      <c r="AA353" s="4"/>
      <c r="AB353" s="4"/>
    </row>
    <row r="354" spans="1:206">
      <c r="A354" s="4">
        <v>50</v>
      </c>
      <c r="B354" s="4">
        <v>1</v>
      </c>
      <c r="C354" s="4">
        <v>0</v>
      </c>
      <c r="D354" s="4">
        <v>2</v>
      </c>
      <c r="E354" s="4">
        <v>0</v>
      </c>
      <c r="F354" s="4">
        <f>ROUND(F353*0.2,O354)</f>
        <v>288397.59000000003</v>
      </c>
      <c r="G354" s="4" t="s">
        <v>31</v>
      </c>
      <c r="H354" s="4" t="s">
        <v>95</v>
      </c>
      <c r="I354" s="4"/>
      <c r="J354" s="4"/>
      <c r="K354" s="4">
        <v>212</v>
      </c>
      <c r="L354" s="4">
        <v>29</v>
      </c>
      <c r="M354" s="4">
        <v>0</v>
      </c>
      <c r="N354" s="4" t="s">
        <v>6</v>
      </c>
      <c r="O354" s="4">
        <v>2</v>
      </c>
      <c r="P354" s="4"/>
      <c r="Q354" s="4"/>
      <c r="R354" s="4"/>
      <c r="S354" s="4"/>
      <c r="T354" s="4"/>
      <c r="U354" s="4"/>
      <c r="V354" s="4"/>
      <c r="W354" s="4">
        <v>288625.09000000003</v>
      </c>
      <c r="X354" s="4">
        <v>1</v>
      </c>
      <c r="Y354" s="4">
        <v>2483674</v>
      </c>
      <c r="Z354" s="4"/>
      <c r="AA354" s="4"/>
      <c r="AB354" s="4"/>
    </row>
    <row r="355" spans="1:206">
      <c r="A355" s="4">
        <v>50</v>
      </c>
      <c r="B355" s="4">
        <v>1</v>
      </c>
      <c r="C355" s="4">
        <v>0</v>
      </c>
      <c r="D355" s="4">
        <v>2</v>
      </c>
      <c r="E355" s="4">
        <v>213</v>
      </c>
      <c r="F355" s="4">
        <f>ROUND(F353+F354,O355)</f>
        <v>1730385.52</v>
      </c>
      <c r="G355" s="4" t="s">
        <v>96</v>
      </c>
      <c r="H355" s="4" t="s">
        <v>97</v>
      </c>
      <c r="I355" s="4"/>
      <c r="J355" s="4"/>
      <c r="K355" s="4">
        <v>212</v>
      </c>
      <c r="L355" s="4">
        <v>30</v>
      </c>
      <c r="M355" s="4">
        <v>0</v>
      </c>
      <c r="N355" s="4" t="s">
        <v>6</v>
      </c>
      <c r="O355" s="4">
        <v>2</v>
      </c>
      <c r="P355" s="4"/>
      <c r="Q355" s="4"/>
      <c r="R355" s="4"/>
      <c r="S355" s="4"/>
      <c r="T355" s="4"/>
      <c r="U355" s="4"/>
      <c r="V355" s="4"/>
      <c r="W355" s="4">
        <v>1731750.54</v>
      </c>
      <c r="X355" s="4">
        <v>1</v>
      </c>
      <c r="Y355" s="4">
        <v>14902045</v>
      </c>
      <c r="Z355" s="4"/>
      <c r="AA355" s="4"/>
      <c r="AB355" s="4"/>
    </row>
    <row r="357" spans="1:206">
      <c r="A357" s="2">
        <v>51</v>
      </c>
      <c r="B357" s="2">
        <f>B12</f>
        <v>413</v>
      </c>
      <c r="C357" s="2">
        <f>A12</f>
        <v>1</v>
      </c>
      <c r="D357" s="2">
        <f>ROW(A12)</f>
        <v>12</v>
      </c>
      <c r="E357" s="2"/>
      <c r="F357" s="2" t="str">
        <f>IF(F12&lt;&gt;"",F12,"")</f>
        <v>И 2 Выявленный объект культурного наследия "Здание рабочей казармы Берговской мануфактуры, 1908г", по адресу: г.Тверь, ул.Спартака, д.45, корп.1_(Копия)</v>
      </c>
      <c r="G357" s="2" t="str">
        <f>IF(G12&lt;&gt;"",G12,"")</f>
        <v>И 3 Выявленный объект культурного наследия "Здание рабочей казармы Берговской мануфактуры, 1908г", по адресу: г.Тверь, ул.Спартака, д.45, корп.1_(Копия)</v>
      </c>
      <c r="H357" s="2">
        <v>0</v>
      </c>
      <c r="I357" s="2"/>
      <c r="J357" s="2"/>
      <c r="K357" s="2"/>
      <c r="L357" s="2"/>
      <c r="M357" s="2"/>
      <c r="N357" s="2"/>
      <c r="O357" s="2">
        <f t="shared" ref="O357:T357" si="333">ROUND(O324,2)</f>
        <v>1323732.72</v>
      </c>
      <c r="P357" s="2">
        <f t="shared" si="333"/>
        <v>1221152.81</v>
      </c>
      <c r="Q357" s="2">
        <f t="shared" si="333"/>
        <v>27885.51</v>
      </c>
      <c r="R357" s="2">
        <f t="shared" si="333"/>
        <v>3438.11</v>
      </c>
      <c r="S357" s="2">
        <f t="shared" si="333"/>
        <v>74694.399999999994</v>
      </c>
      <c r="T357" s="2">
        <f t="shared" si="333"/>
        <v>0</v>
      </c>
      <c r="U357" s="2">
        <f>U324</f>
        <v>8541.0682726100003</v>
      </c>
      <c r="V357" s="2">
        <f>V324</f>
        <v>286.20145187499998</v>
      </c>
      <c r="W357" s="2">
        <f>ROUND(W324,2)</f>
        <v>0</v>
      </c>
      <c r="X357" s="2">
        <f>ROUND(X324,2)</f>
        <v>75587.100000000006</v>
      </c>
      <c r="Y357" s="2">
        <f>ROUND(Y324,2)</f>
        <v>42668.11</v>
      </c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>
        <f t="shared" ref="AO357:BD357" si="334">ROUND(AO324,2)</f>
        <v>0</v>
      </c>
      <c r="AP357" s="2">
        <f t="shared" si="334"/>
        <v>0</v>
      </c>
      <c r="AQ357" s="2">
        <f t="shared" si="334"/>
        <v>0</v>
      </c>
      <c r="AR357" s="2">
        <f t="shared" si="334"/>
        <v>1441987.93</v>
      </c>
      <c r="AS357" s="2">
        <f t="shared" si="334"/>
        <v>1423955.45</v>
      </c>
      <c r="AT357" s="2">
        <f t="shared" si="334"/>
        <v>18032.48</v>
      </c>
      <c r="AU357" s="2">
        <f t="shared" si="334"/>
        <v>0</v>
      </c>
      <c r="AV357" s="2">
        <f t="shared" si="334"/>
        <v>1221152.81</v>
      </c>
      <c r="AW357" s="2">
        <f t="shared" si="334"/>
        <v>1221152.81</v>
      </c>
      <c r="AX357" s="2">
        <f t="shared" si="334"/>
        <v>0</v>
      </c>
      <c r="AY357" s="2">
        <f t="shared" si="334"/>
        <v>1221152.81</v>
      </c>
      <c r="AZ357" s="2">
        <f t="shared" si="334"/>
        <v>0</v>
      </c>
      <c r="BA357" s="2">
        <f t="shared" si="334"/>
        <v>0</v>
      </c>
      <c r="BB357" s="2">
        <f t="shared" si="334"/>
        <v>0</v>
      </c>
      <c r="BC357" s="2">
        <f t="shared" si="334"/>
        <v>0</v>
      </c>
      <c r="BD357" s="2">
        <f t="shared" si="334"/>
        <v>3817.27</v>
      </c>
      <c r="BE357" s="2"/>
      <c r="BF357" s="2"/>
      <c r="BG357" s="2"/>
      <c r="BH357" s="2"/>
      <c r="BI357" s="2"/>
      <c r="BJ357" s="2"/>
      <c r="BK357" s="2"/>
      <c r="BL357" s="2"/>
      <c r="BM357" s="2"/>
      <c r="BN357" s="2"/>
      <c r="BO357" s="2"/>
      <c r="BP357" s="2"/>
      <c r="BQ357" s="2"/>
      <c r="BR357" s="2"/>
      <c r="BS357" s="2"/>
      <c r="BT357" s="2"/>
      <c r="BU357" s="2"/>
      <c r="BV357" s="2"/>
      <c r="BW357" s="2"/>
      <c r="BX357" s="2"/>
      <c r="BY357" s="2"/>
      <c r="BZ357" s="2"/>
      <c r="CA357" s="2"/>
      <c r="CB357" s="2"/>
      <c r="CC357" s="2"/>
      <c r="CD357" s="2"/>
      <c r="CE357" s="2"/>
      <c r="CF357" s="2"/>
      <c r="CG357" s="2"/>
      <c r="CH357" s="2"/>
      <c r="CI357" s="2"/>
      <c r="CJ357" s="2"/>
      <c r="CK357" s="2"/>
      <c r="CL357" s="2"/>
      <c r="CM357" s="2"/>
      <c r="CN357" s="2"/>
      <c r="CO357" s="2"/>
      <c r="CP357" s="2"/>
      <c r="CQ357" s="2"/>
      <c r="CR357" s="2"/>
      <c r="CS357" s="2"/>
      <c r="CT357" s="2"/>
      <c r="CU357" s="2"/>
      <c r="CV357" s="2"/>
      <c r="CW357" s="2"/>
      <c r="CX357" s="2"/>
      <c r="CY357" s="2"/>
      <c r="CZ357" s="2"/>
      <c r="DA357" s="2"/>
      <c r="DB357" s="2"/>
      <c r="DC357" s="2"/>
      <c r="DD357" s="2"/>
      <c r="DE357" s="2"/>
      <c r="DF357" s="2"/>
      <c r="DG357" s="3"/>
      <c r="DH357" s="3"/>
      <c r="DI357" s="3"/>
      <c r="DJ357" s="3"/>
      <c r="DK357" s="3"/>
      <c r="DL357" s="3"/>
      <c r="DM357" s="3"/>
      <c r="DN357" s="3"/>
      <c r="DO357" s="3"/>
      <c r="DP357" s="3"/>
      <c r="DQ357" s="3"/>
      <c r="DR357" s="3"/>
      <c r="DS357" s="3"/>
      <c r="DT357" s="3"/>
      <c r="DU357" s="3"/>
      <c r="DV357" s="3"/>
      <c r="DW357" s="3"/>
      <c r="DX357" s="3"/>
      <c r="DY357" s="3"/>
      <c r="DZ357" s="3"/>
      <c r="EA357" s="3"/>
      <c r="EB357" s="3"/>
      <c r="EC357" s="3"/>
      <c r="ED357" s="3"/>
      <c r="EE357" s="3"/>
      <c r="EF357" s="3"/>
      <c r="EG357" s="3"/>
      <c r="EH357" s="3"/>
      <c r="EI357" s="3"/>
      <c r="EJ357" s="3"/>
      <c r="EK357" s="3"/>
      <c r="EL357" s="3"/>
      <c r="EM357" s="3"/>
      <c r="EN357" s="3"/>
      <c r="EO357" s="3"/>
      <c r="EP357" s="3"/>
      <c r="EQ357" s="3"/>
      <c r="ER357" s="3"/>
      <c r="ES357" s="3"/>
      <c r="ET357" s="3"/>
      <c r="EU357" s="3"/>
      <c r="EV357" s="3"/>
      <c r="EW357" s="3"/>
      <c r="EX357" s="3"/>
      <c r="EY357" s="3"/>
      <c r="EZ357" s="3"/>
      <c r="FA357" s="3"/>
      <c r="FB357" s="3"/>
      <c r="FC357" s="3"/>
      <c r="FD357" s="3"/>
      <c r="FE357" s="3"/>
      <c r="FF357" s="3"/>
      <c r="FG357" s="3"/>
      <c r="FH357" s="3"/>
      <c r="FI357" s="3"/>
      <c r="FJ357" s="3"/>
      <c r="FK357" s="3"/>
      <c r="FL357" s="3"/>
      <c r="FM357" s="3"/>
      <c r="FN357" s="3"/>
      <c r="FO357" s="3"/>
      <c r="FP357" s="3"/>
      <c r="FQ357" s="3"/>
      <c r="FR357" s="3"/>
      <c r="FS357" s="3"/>
      <c r="FT357" s="3"/>
      <c r="FU357" s="3"/>
      <c r="FV357" s="3"/>
      <c r="FW357" s="3"/>
      <c r="FX357" s="3"/>
      <c r="FY357" s="3"/>
      <c r="FZ357" s="3"/>
      <c r="GA357" s="3"/>
      <c r="GB357" s="3"/>
      <c r="GC357" s="3"/>
      <c r="GD357" s="3"/>
      <c r="GE357" s="3"/>
      <c r="GF357" s="3"/>
      <c r="GG357" s="3"/>
      <c r="GH357" s="3"/>
      <c r="GI357" s="3"/>
      <c r="GJ357" s="3"/>
      <c r="GK357" s="3"/>
      <c r="GL357" s="3"/>
      <c r="GM357" s="3"/>
      <c r="GN357" s="3"/>
      <c r="GO357" s="3"/>
      <c r="GP357" s="3"/>
      <c r="GQ357" s="3"/>
      <c r="GR357" s="3"/>
      <c r="GS357" s="3"/>
      <c r="GT357" s="3"/>
      <c r="GU357" s="3"/>
      <c r="GV357" s="3"/>
      <c r="GW357" s="3"/>
      <c r="GX357" s="3">
        <v>0</v>
      </c>
    </row>
    <row r="359" spans="1:206">
      <c r="A359" s="4">
        <v>50</v>
      </c>
      <c r="B359" s="4">
        <v>1</v>
      </c>
      <c r="C359" s="4">
        <v>0</v>
      </c>
      <c r="D359" s="4">
        <v>1</v>
      </c>
      <c r="E359" s="4">
        <v>201</v>
      </c>
      <c r="F359" s="4">
        <f>ROUND(Source!O357,O359)</f>
        <v>1323732.72</v>
      </c>
      <c r="G359" s="4" t="s">
        <v>40</v>
      </c>
      <c r="H359" s="4" t="s">
        <v>41</v>
      </c>
      <c r="I359" s="4"/>
      <c r="J359" s="4"/>
      <c r="K359" s="4">
        <v>201</v>
      </c>
      <c r="L359" s="4">
        <v>1</v>
      </c>
      <c r="M359" s="4">
        <v>0</v>
      </c>
      <c r="N359" s="4" t="s">
        <v>6</v>
      </c>
      <c r="O359" s="4">
        <v>2</v>
      </c>
      <c r="P359" s="4"/>
      <c r="Q359" s="4"/>
      <c r="R359" s="4"/>
      <c r="S359" s="4"/>
      <c r="T359" s="4"/>
      <c r="U359" s="4"/>
      <c r="V359" s="4"/>
      <c r="W359" s="4">
        <v>1324870.24</v>
      </c>
      <c r="X359" s="4">
        <v>1</v>
      </c>
      <c r="Y359" s="4">
        <v>9554231</v>
      </c>
      <c r="Z359" s="4"/>
      <c r="AA359" s="4"/>
      <c r="AB359" s="4"/>
    </row>
    <row r="360" spans="1:206">
      <c r="A360" s="4">
        <v>50</v>
      </c>
      <c r="B360" s="4">
        <v>1</v>
      </c>
      <c r="C360" s="4">
        <v>0</v>
      </c>
      <c r="D360" s="4">
        <v>1</v>
      </c>
      <c r="E360" s="4">
        <v>202</v>
      </c>
      <c r="F360" s="4">
        <f>ROUND(Source!P357,O360)</f>
        <v>1221152.81</v>
      </c>
      <c r="G360" s="4" t="s">
        <v>42</v>
      </c>
      <c r="H360" s="4" t="s">
        <v>43</v>
      </c>
      <c r="I360" s="4"/>
      <c r="J360" s="4"/>
      <c r="K360" s="4">
        <v>202</v>
      </c>
      <c r="L360" s="4">
        <v>2</v>
      </c>
      <c r="M360" s="4">
        <v>0</v>
      </c>
      <c r="N360" s="4" t="s">
        <v>6</v>
      </c>
      <c r="O360" s="4">
        <v>2</v>
      </c>
      <c r="P360" s="4"/>
      <c r="Q360" s="4"/>
      <c r="R360" s="4"/>
      <c r="S360" s="4"/>
      <c r="T360" s="4"/>
      <c r="U360" s="4"/>
      <c r="V360" s="4"/>
      <c r="W360" s="4">
        <v>1221152.81</v>
      </c>
      <c r="X360" s="4">
        <v>1</v>
      </c>
      <c r="Y360" s="4">
        <v>0</v>
      </c>
      <c r="Z360" s="4"/>
      <c r="AA360" s="4"/>
      <c r="AB360" s="4"/>
    </row>
    <row r="361" spans="1:206">
      <c r="A361" s="4">
        <v>50</v>
      </c>
      <c r="B361" s="4">
        <v>0</v>
      </c>
      <c r="C361" s="4">
        <v>0</v>
      </c>
      <c r="D361" s="4">
        <v>1</v>
      </c>
      <c r="E361" s="4">
        <v>30835619</v>
      </c>
      <c r="F361" s="4">
        <f>ROUND(Source!AO357,O361)</f>
        <v>0</v>
      </c>
      <c r="G361" s="4" t="s">
        <v>44</v>
      </c>
      <c r="H361" s="4" t="s">
        <v>45</v>
      </c>
      <c r="I361" s="4"/>
      <c r="J361" s="4"/>
      <c r="K361" s="4">
        <v>222</v>
      </c>
      <c r="L361" s="4">
        <v>3</v>
      </c>
      <c r="M361" s="4">
        <v>3</v>
      </c>
      <c r="N361" s="4" t="s">
        <v>6</v>
      </c>
      <c r="O361" s="4">
        <v>2</v>
      </c>
      <c r="P361" s="4"/>
      <c r="Q361" s="4"/>
      <c r="R361" s="4"/>
      <c r="S361" s="4"/>
      <c r="T361" s="4"/>
      <c r="U361" s="4"/>
      <c r="V361" s="4"/>
      <c r="W361" s="4">
        <v>0</v>
      </c>
      <c r="X361" s="4">
        <v>1</v>
      </c>
      <c r="Y361" s="4">
        <v>0</v>
      </c>
      <c r="Z361" s="4"/>
      <c r="AA361" s="4"/>
      <c r="AB361" s="4"/>
    </row>
    <row r="362" spans="1:206">
      <c r="A362" s="4">
        <v>50</v>
      </c>
      <c r="B362" s="4">
        <v>0</v>
      </c>
      <c r="C362" s="4">
        <v>0</v>
      </c>
      <c r="D362" s="4">
        <v>1</v>
      </c>
      <c r="E362" s="4">
        <v>225</v>
      </c>
      <c r="F362" s="4">
        <f>ROUND(Source!AV357,O362)</f>
        <v>1221152.81</v>
      </c>
      <c r="G362" s="4" t="s">
        <v>46</v>
      </c>
      <c r="H362" s="4" t="s">
        <v>47</v>
      </c>
      <c r="I362" s="4"/>
      <c r="J362" s="4"/>
      <c r="K362" s="4">
        <v>225</v>
      </c>
      <c r="L362" s="4">
        <v>4</v>
      </c>
      <c r="M362" s="4">
        <v>3</v>
      </c>
      <c r="N362" s="4" t="s">
        <v>6</v>
      </c>
      <c r="O362" s="4">
        <v>2</v>
      </c>
      <c r="P362" s="4"/>
      <c r="Q362" s="4"/>
      <c r="R362" s="4"/>
      <c r="S362" s="4"/>
      <c r="T362" s="4"/>
      <c r="U362" s="4"/>
      <c r="V362" s="4"/>
      <c r="W362" s="4">
        <v>1221152.81</v>
      </c>
      <c r="X362" s="4">
        <v>1</v>
      </c>
      <c r="Y362" s="4">
        <v>0</v>
      </c>
      <c r="Z362" s="4"/>
      <c r="AA362" s="4"/>
      <c r="AB362" s="4"/>
    </row>
    <row r="363" spans="1:206">
      <c r="A363" s="4">
        <v>50</v>
      </c>
      <c r="B363" s="4">
        <v>0</v>
      </c>
      <c r="C363" s="4">
        <v>0</v>
      </c>
      <c r="D363" s="4">
        <v>1</v>
      </c>
      <c r="E363" s="4">
        <v>226</v>
      </c>
      <c r="F363" s="4">
        <f>ROUND(Source!AW357,O363)</f>
        <v>1221152.81</v>
      </c>
      <c r="G363" s="4" t="s">
        <v>48</v>
      </c>
      <c r="H363" s="4" t="s">
        <v>49</v>
      </c>
      <c r="I363" s="4"/>
      <c r="J363" s="4"/>
      <c r="K363" s="4">
        <v>226</v>
      </c>
      <c r="L363" s="4">
        <v>5</v>
      </c>
      <c r="M363" s="4">
        <v>3</v>
      </c>
      <c r="N363" s="4" t="s">
        <v>6</v>
      </c>
      <c r="O363" s="4">
        <v>2</v>
      </c>
      <c r="P363" s="4"/>
      <c r="Q363" s="4"/>
      <c r="R363" s="4"/>
      <c r="S363" s="4"/>
      <c r="T363" s="4"/>
      <c r="U363" s="4"/>
      <c r="V363" s="4"/>
      <c r="W363" s="4">
        <v>1221152.81</v>
      </c>
      <c r="X363" s="4">
        <v>1</v>
      </c>
      <c r="Y363" s="4">
        <v>7534513</v>
      </c>
      <c r="Z363" s="4"/>
      <c r="AA363" s="4"/>
      <c r="AB363" s="4"/>
    </row>
    <row r="364" spans="1:206">
      <c r="A364" s="4">
        <v>50</v>
      </c>
      <c r="B364" s="4">
        <v>0</v>
      </c>
      <c r="C364" s="4">
        <v>0</v>
      </c>
      <c r="D364" s="4">
        <v>1</v>
      </c>
      <c r="E364" s="4">
        <v>227</v>
      </c>
      <c r="F364" s="4">
        <f>ROUND(Source!AX357,O364)</f>
        <v>0</v>
      </c>
      <c r="G364" s="4" t="s">
        <v>50</v>
      </c>
      <c r="H364" s="4" t="s">
        <v>51</v>
      </c>
      <c r="I364" s="4"/>
      <c r="J364" s="4"/>
      <c r="K364" s="4">
        <v>227</v>
      </c>
      <c r="L364" s="4">
        <v>6</v>
      </c>
      <c r="M364" s="4">
        <v>3</v>
      </c>
      <c r="N364" s="4" t="s">
        <v>6</v>
      </c>
      <c r="O364" s="4">
        <v>2</v>
      </c>
      <c r="P364" s="4"/>
      <c r="Q364" s="4"/>
      <c r="R364" s="4"/>
      <c r="S364" s="4"/>
      <c r="T364" s="4"/>
      <c r="U364" s="4"/>
      <c r="V364" s="4"/>
      <c r="W364" s="4">
        <v>0</v>
      </c>
      <c r="X364" s="4">
        <v>1</v>
      </c>
      <c r="Y364" s="4">
        <v>0</v>
      </c>
      <c r="Z364" s="4"/>
      <c r="AA364" s="4"/>
      <c r="AB364" s="4"/>
    </row>
    <row r="365" spans="1:206">
      <c r="A365" s="4">
        <v>50</v>
      </c>
      <c r="B365" s="4">
        <v>0</v>
      </c>
      <c r="C365" s="4">
        <v>0</v>
      </c>
      <c r="D365" s="4">
        <v>1</v>
      </c>
      <c r="E365" s="4">
        <v>228</v>
      </c>
      <c r="F365" s="4">
        <f>ROUND(Source!AY357,O365)</f>
        <v>1221152.81</v>
      </c>
      <c r="G365" s="4" t="s">
        <v>52</v>
      </c>
      <c r="H365" s="4" t="s">
        <v>53</v>
      </c>
      <c r="I365" s="4"/>
      <c r="J365" s="4"/>
      <c r="K365" s="4">
        <v>228</v>
      </c>
      <c r="L365" s="4">
        <v>7</v>
      </c>
      <c r="M365" s="4">
        <v>3</v>
      </c>
      <c r="N365" s="4" t="s">
        <v>6</v>
      </c>
      <c r="O365" s="4">
        <v>2</v>
      </c>
      <c r="P365" s="4"/>
      <c r="Q365" s="4"/>
      <c r="R365" s="4"/>
      <c r="S365" s="4"/>
      <c r="T365" s="4"/>
      <c r="U365" s="4"/>
      <c r="V365" s="4"/>
      <c r="W365" s="4">
        <v>1221152.81</v>
      </c>
      <c r="X365" s="4">
        <v>1</v>
      </c>
      <c r="Y365" s="4">
        <v>7534513</v>
      </c>
      <c r="Z365" s="4"/>
      <c r="AA365" s="4"/>
      <c r="AB365" s="4"/>
    </row>
    <row r="366" spans="1:206">
      <c r="A366" s="4">
        <v>50</v>
      </c>
      <c r="B366" s="4">
        <v>0</v>
      </c>
      <c r="C366" s="4">
        <v>0</v>
      </c>
      <c r="D366" s="4">
        <v>1</v>
      </c>
      <c r="E366" s="4">
        <v>216</v>
      </c>
      <c r="F366" s="4">
        <f>ROUND(Source!AP357,O366)</f>
        <v>0</v>
      </c>
      <c r="G366" s="4" t="s">
        <v>54</v>
      </c>
      <c r="H366" s="4" t="s">
        <v>55</v>
      </c>
      <c r="I366" s="4"/>
      <c r="J366" s="4"/>
      <c r="K366" s="4">
        <v>216</v>
      </c>
      <c r="L366" s="4">
        <v>8</v>
      </c>
      <c r="M366" s="4">
        <v>3</v>
      </c>
      <c r="N366" s="4" t="s">
        <v>6</v>
      </c>
      <c r="O366" s="4">
        <v>2</v>
      </c>
      <c r="P366" s="4"/>
      <c r="Q366" s="4"/>
      <c r="R366" s="4"/>
      <c r="S366" s="4"/>
      <c r="T366" s="4"/>
      <c r="U366" s="4"/>
      <c r="V366" s="4"/>
      <c r="W366" s="4">
        <v>0</v>
      </c>
      <c r="X366" s="4">
        <v>1</v>
      </c>
      <c r="Y366" s="4">
        <v>0</v>
      </c>
      <c r="Z366" s="4"/>
      <c r="AA366" s="4"/>
      <c r="AB366" s="4"/>
    </row>
    <row r="367" spans="1:206">
      <c r="A367" s="4">
        <v>50</v>
      </c>
      <c r="B367" s="4">
        <v>0</v>
      </c>
      <c r="C367" s="4">
        <v>0</v>
      </c>
      <c r="D367" s="4">
        <v>1</v>
      </c>
      <c r="E367" s="4">
        <v>223</v>
      </c>
      <c r="F367" s="4">
        <f>ROUND(Source!AQ357,O367)</f>
        <v>0</v>
      </c>
      <c r="G367" s="4" t="s">
        <v>56</v>
      </c>
      <c r="H367" s="4" t="s">
        <v>57</v>
      </c>
      <c r="I367" s="4"/>
      <c r="J367" s="4"/>
      <c r="K367" s="4">
        <v>223</v>
      </c>
      <c r="L367" s="4">
        <v>9</v>
      </c>
      <c r="M367" s="4">
        <v>3</v>
      </c>
      <c r="N367" s="4" t="s">
        <v>6</v>
      </c>
      <c r="O367" s="4">
        <v>2</v>
      </c>
      <c r="P367" s="4"/>
      <c r="Q367" s="4"/>
      <c r="R367" s="4"/>
      <c r="S367" s="4"/>
      <c r="T367" s="4"/>
      <c r="U367" s="4"/>
      <c r="V367" s="4"/>
      <c r="W367" s="4">
        <v>0</v>
      </c>
      <c r="X367" s="4">
        <v>1</v>
      </c>
      <c r="Y367" s="4">
        <v>0</v>
      </c>
      <c r="Z367" s="4"/>
      <c r="AA367" s="4"/>
      <c r="AB367" s="4"/>
    </row>
    <row r="368" spans="1:206">
      <c r="A368" s="4">
        <v>50</v>
      </c>
      <c r="B368" s="4">
        <v>0</v>
      </c>
      <c r="C368" s="4">
        <v>0</v>
      </c>
      <c r="D368" s="4">
        <v>1</v>
      </c>
      <c r="E368" s="4">
        <v>229</v>
      </c>
      <c r="F368" s="4">
        <f>ROUND(Source!AZ357,O368)</f>
        <v>0</v>
      </c>
      <c r="G368" s="4" t="s">
        <v>58</v>
      </c>
      <c r="H368" s="4" t="s">
        <v>59</v>
      </c>
      <c r="I368" s="4"/>
      <c r="J368" s="4"/>
      <c r="K368" s="4">
        <v>229</v>
      </c>
      <c r="L368" s="4">
        <v>10</v>
      </c>
      <c r="M368" s="4">
        <v>3</v>
      </c>
      <c r="N368" s="4" t="s">
        <v>6</v>
      </c>
      <c r="O368" s="4">
        <v>2</v>
      </c>
      <c r="P368" s="4"/>
      <c r="Q368" s="4"/>
      <c r="R368" s="4"/>
      <c r="S368" s="4"/>
      <c r="T368" s="4"/>
      <c r="U368" s="4"/>
      <c r="V368" s="4"/>
      <c r="W368" s="4">
        <v>0</v>
      </c>
      <c r="X368" s="4">
        <v>1</v>
      </c>
      <c r="Y368" s="4">
        <v>0</v>
      </c>
      <c r="Z368" s="4"/>
      <c r="AA368" s="4"/>
      <c r="AB368" s="4"/>
    </row>
    <row r="369" spans="1:28">
      <c r="A369" s="4">
        <v>50</v>
      </c>
      <c r="B369" s="4">
        <v>1</v>
      </c>
      <c r="C369" s="4">
        <v>0</v>
      </c>
      <c r="D369" s="4">
        <v>1</v>
      </c>
      <c r="E369" s="4">
        <v>203</v>
      </c>
      <c r="F369" s="4">
        <f>ROUND(Source!Q357,O369)</f>
        <v>27885.51</v>
      </c>
      <c r="G369" s="4" t="s">
        <v>60</v>
      </c>
      <c r="H369" s="4" t="s">
        <v>61</v>
      </c>
      <c r="I369" s="4"/>
      <c r="J369" s="4"/>
      <c r="K369" s="4">
        <v>203</v>
      </c>
      <c r="L369" s="4">
        <v>11</v>
      </c>
      <c r="M369" s="4">
        <v>0</v>
      </c>
      <c r="N369" s="4" t="s">
        <v>6</v>
      </c>
      <c r="O369" s="4">
        <v>2</v>
      </c>
      <c r="P369" s="4"/>
      <c r="Q369" s="4"/>
      <c r="R369" s="4"/>
      <c r="S369" s="4"/>
      <c r="T369" s="4"/>
      <c r="U369" s="4"/>
      <c r="V369" s="4"/>
      <c r="W369" s="4">
        <v>25876.259999999991</v>
      </c>
      <c r="X369" s="4">
        <v>1</v>
      </c>
      <c r="Y369" s="4">
        <v>197695</v>
      </c>
      <c r="Z369" s="4"/>
      <c r="AA369" s="4"/>
      <c r="AB369" s="4"/>
    </row>
    <row r="370" spans="1:28">
      <c r="A370" s="4">
        <v>50</v>
      </c>
      <c r="B370" s="4">
        <v>0</v>
      </c>
      <c r="C370" s="4">
        <v>0</v>
      </c>
      <c r="D370" s="4">
        <v>1</v>
      </c>
      <c r="E370" s="4">
        <v>231</v>
      </c>
      <c r="F370" s="4">
        <f>ROUND(Source!BB357,O370)</f>
        <v>0</v>
      </c>
      <c r="G370" s="4" t="s">
        <v>62</v>
      </c>
      <c r="H370" s="4" t="s">
        <v>63</v>
      </c>
      <c r="I370" s="4"/>
      <c r="J370" s="4"/>
      <c r="K370" s="4">
        <v>231</v>
      </c>
      <c r="L370" s="4">
        <v>12</v>
      </c>
      <c r="M370" s="4">
        <v>3</v>
      </c>
      <c r="N370" s="4" t="s">
        <v>6</v>
      </c>
      <c r="O370" s="4">
        <v>2</v>
      </c>
      <c r="P370" s="4"/>
      <c r="Q370" s="4"/>
      <c r="R370" s="4"/>
      <c r="S370" s="4"/>
      <c r="T370" s="4"/>
      <c r="U370" s="4"/>
      <c r="V370" s="4"/>
      <c r="W370" s="4">
        <v>0</v>
      </c>
      <c r="X370" s="4">
        <v>1</v>
      </c>
      <c r="Y370" s="4">
        <v>0</v>
      </c>
      <c r="Z370" s="4"/>
      <c r="AA370" s="4"/>
      <c r="AB370" s="4"/>
    </row>
    <row r="371" spans="1:28">
      <c r="A371" s="4">
        <v>50</v>
      </c>
      <c r="B371" s="4">
        <v>1</v>
      </c>
      <c r="C371" s="4">
        <v>0</v>
      </c>
      <c r="D371" s="4">
        <v>1</v>
      </c>
      <c r="E371" s="4">
        <v>204</v>
      </c>
      <c r="F371" s="4">
        <f>ROUND(Source!R357,O371)</f>
        <v>3438.11</v>
      </c>
      <c r="G371" s="4" t="s">
        <v>64</v>
      </c>
      <c r="H371" s="4" t="s">
        <v>65</v>
      </c>
      <c r="I371" s="4"/>
      <c r="J371" s="4"/>
      <c r="K371" s="4">
        <v>204</v>
      </c>
      <c r="L371" s="4">
        <v>13</v>
      </c>
      <c r="M371" s="4">
        <v>0</v>
      </c>
      <c r="N371" s="4" t="s">
        <v>6</v>
      </c>
      <c r="O371" s="4">
        <v>2</v>
      </c>
      <c r="P371" s="4"/>
      <c r="Q371" s="4"/>
      <c r="R371" s="4"/>
      <c r="S371" s="4"/>
      <c r="T371" s="4"/>
      <c r="U371" s="4"/>
      <c r="V371" s="4"/>
      <c r="W371" s="4">
        <v>3438.11</v>
      </c>
      <c r="X371" s="4">
        <v>1</v>
      </c>
      <c r="Y371" s="4">
        <v>83270</v>
      </c>
      <c r="Z371" s="4"/>
      <c r="AA371" s="4"/>
      <c r="AB371" s="4"/>
    </row>
    <row r="372" spans="1:28">
      <c r="A372" s="4">
        <v>50</v>
      </c>
      <c r="B372" s="4">
        <v>1</v>
      </c>
      <c r="C372" s="4">
        <v>0</v>
      </c>
      <c r="D372" s="4">
        <v>1</v>
      </c>
      <c r="E372" s="4">
        <v>205</v>
      </c>
      <c r="F372" s="4">
        <f>ROUND(Source!S357,O372)</f>
        <v>74694.399999999994</v>
      </c>
      <c r="G372" s="4" t="s">
        <v>66</v>
      </c>
      <c r="H372" s="4" t="s">
        <v>67</v>
      </c>
      <c r="I372" s="4"/>
      <c r="J372" s="4"/>
      <c r="K372" s="4">
        <v>205</v>
      </c>
      <c r="L372" s="4">
        <v>14</v>
      </c>
      <c r="M372" s="4">
        <v>0</v>
      </c>
      <c r="N372" s="4" t="s">
        <v>6</v>
      </c>
      <c r="O372" s="4">
        <v>2</v>
      </c>
      <c r="P372" s="4"/>
      <c r="Q372" s="4"/>
      <c r="R372" s="4"/>
      <c r="S372" s="4"/>
      <c r="T372" s="4"/>
      <c r="U372" s="4"/>
      <c r="V372" s="4"/>
      <c r="W372" s="4">
        <v>74023.900000000038</v>
      </c>
      <c r="X372" s="4">
        <v>1</v>
      </c>
      <c r="Y372" s="4">
        <v>1792859</v>
      </c>
      <c r="Z372" s="4"/>
      <c r="AA372" s="4"/>
      <c r="AB372" s="4"/>
    </row>
    <row r="373" spans="1:28">
      <c r="A373" s="4">
        <v>50</v>
      </c>
      <c r="B373" s="4">
        <v>0</v>
      </c>
      <c r="C373" s="4">
        <v>0</v>
      </c>
      <c r="D373" s="4">
        <v>1</v>
      </c>
      <c r="E373" s="4">
        <v>232</v>
      </c>
      <c r="F373" s="4">
        <f>ROUND(Source!BC357,O373)</f>
        <v>0</v>
      </c>
      <c r="G373" s="4" t="s">
        <v>68</v>
      </c>
      <c r="H373" s="4" t="s">
        <v>69</v>
      </c>
      <c r="I373" s="4"/>
      <c r="J373" s="4"/>
      <c r="K373" s="4">
        <v>232</v>
      </c>
      <c r="L373" s="4">
        <v>15</v>
      </c>
      <c r="M373" s="4">
        <v>3</v>
      </c>
      <c r="N373" s="4" t="s">
        <v>6</v>
      </c>
      <c r="O373" s="4">
        <v>2</v>
      </c>
      <c r="P373" s="4"/>
      <c r="Q373" s="4"/>
      <c r="R373" s="4"/>
      <c r="S373" s="4"/>
      <c r="T373" s="4"/>
      <c r="U373" s="4"/>
      <c r="V373" s="4"/>
      <c r="W373" s="4">
        <v>0</v>
      </c>
      <c r="X373" s="4">
        <v>1</v>
      </c>
      <c r="Y373" s="4">
        <v>0</v>
      </c>
      <c r="Z373" s="4"/>
      <c r="AA373" s="4"/>
      <c r="AB373" s="4"/>
    </row>
    <row r="374" spans="1:28">
      <c r="A374" s="4">
        <v>50</v>
      </c>
      <c r="B374" s="4">
        <v>0</v>
      </c>
      <c r="C374" s="4">
        <v>0</v>
      </c>
      <c r="D374" s="4">
        <v>1</v>
      </c>
      <c r="E374" s="4">
        <v>214</v>
      </c>
      <c r="F374" s="4">
        <f>ROUND(Source!AS357,O374)</f>
        <v>1423955.45</v>
      </c>
      <c r="G374" s="4" t="s">
        <v>70</v>
      </c>
      <c r="H374" s="4" t="s">
        <v>71</v>
      </c>
      <c r="I374" s="4"/>
      <c r="J374" s="4"/>
      <c r="K374" s="4">
        <v>214</v>
      </c>
      <c r="L374" s="4">
        <v>16</v>
      </c>
      <c r="M374" s="4">
        <v>3</v>
      </c>
      <c r="N374" s="4" t="s">
        <v>6</v>
      </c>
      <c r="O374" s="4">
        <v>2</v>
      </c>
      <c r="P374" s="4"/>
      <c r="Q374" s="4"/>
      <c r="R374" s="4"/>
      <c r="S374" s="4"/>
      <c r="T374" s="4"/>
      <c r="U374" s="4"/>
      <c r="V374" s="4"/>
      <c r="W374" s="4">
        <v>1423955.45</v>
      </c>
      <c r="X374" s="4">
        <v>1</v>
      </c>
      <c r="Y374" s="4">
        <v>12206349</v>
      </c>
      <c r="Z374" s="4"/>
      <c r="AA374" s="4"/>
      <c r="AB374" s="4"/>
    </row>
    <row r="375" spans="1:28">
      <c r="A375" s="4">
        <v>50</v>
      </c>
      <c r="B375" s="4">
        <v>0</v>
      </c>
      <c r="C375" s="4">
        <v>0</v>
      </c>
      <c r="D375" s="4">
        <v>1</v>
      </c>
      <c r="E375" s="4">
        <v>215</v>
      </c>
      <c r="F375" s="4">
        <f>ROUND(Source!AT357,O375)</f>
        <v>18032.48</v>
      </c>
      <c r="G375" s="4" t="s">
        <v>72</v>
      </c>
      <c r="H375" s="4" t="s">
        <v>73</v>
      </c>
      <c r="I375" s="4"/>
      <c r="J375" s="4"/>
      <c r="K375" s="4">
        <v>215</v>
      </c>
      <c r="L375" s="4">
        <v>17</v>
      </c>
      <c r="M375" s="4">
        <v>3</v>
      </c>
      <c r="N375" s="4" t="s">
        <v>6</v>
      </c>
      <c r="O375" s="4">
        <v>2</v>
      </c>
      <c r="P375" s="4"/>
      <c r="Q375" s="4"/>
      <c r="R375" s="4"/>
      <c r="S375" s="4"/>
      <c r="T375" s="4"/>
      <c r="U375" s="4"/>
      <c r="V375" s="4"/>
      <c r="W375" s="4">
        <v>18032.48</v>
      </c>
      <c r="X375" s="4">
        <v>1</v>
      </c>
      <c r="Y375" s="4">
        <v>212022</v>
      </c>
      <c r="Z375" s="4"/>
      <c r="AA375" s="4"/>
      <c r="AB375" s="4"/>
    </row>
    <row r="376" spans="1:28">
      <c r="A376" s="4">
        <v>50</v>
      </c>
      <c r="B376" s="4">
        <v>0</v>
      </c>
      <c r="C376" s="4">
        <v>0</v>
      </c>
      <c r="D376" s="4">
        <v>1</v>
      </c>
      <c r="E376" s="4">
        <v>217</v>
      </c>
      <c r="F376" s="4">
        <f>ROUND(Source!AU357,O376)</f>
        <v>0</v>
      </c>
      <c r="G376" s="4" t="s">
        <v>74</v>
      </c>
      <c r="H376" s="4" t="s">
        <v>75</v>
      </c>
      <c r="I376" s="4"/>
      <c r="J376" s="4"/>
      <c r="K376" s="4">
        <v>217</v>
      </c>
      <c r="L376" s="4">
        <v>18</v>
      </c>
      <c r="M376" s="4">
        <v>3</v>
      </c>
      <c r="N376" s="4" t="s">
        <v>6</v>
      </c>
      <c r="O376" s="4">
        <v>2</v>
      </c>
      <c r="P376" s="4"/>
      <c r="Q376" s="4"/>
      <c r="R376" s="4"/>
      <c r="S376" s="4"/>
      <c r="T376" s="4"/>
      <c r="U376" s="4"/>
      <c r="V376" s="4"/>
      <c r="W376" s="4">
        <v>0</v>
      </c>
      <c r="X376" s="4">
        <v>1</v>
      </c>
      <c r="Y376" s="4">
        <v>0</v>
      </c>
      <c r="Z376" s="4"/>
      <c r="AA376" s="4"/>
      <c r="AB376" s="4"/>
    </row>
    <row r="377" spans="1:28">
      <c r="A377" s="4">
        <v>50</v>
      </c>
      <c r="B377" s="4">
        <v>0</v>
      </c>
      <c r="C377" s="4">
        <v>0</v>
      </c>
      <c r="D377" s="4">
        <v>1</v>
      </c>
      <c r="E377" s="4">
        <v>230</v>
      </c>
      <c r="F377" s="4">
        <f>ROUND(Source!BA357,O377)</f>
        <v>0</v>
      </c>
      <c r="G377" s="4" t="s">
        <v>76</v>
      </c>
      <c r="H377" s="4" t="s">
        <v>77</v>
      </c>
      <c r="I377" s="4"/>
      <c r="J377" s="4"/>
      <c r="K377" s="4">
        <v>230</v>
      </c>
      <c r="L377" s="4">
        <v>19</v>
      </c>
      <c r="M377" s="4">
        <v>3</v>
      </c>
      <c r="N377" s="4" t="s">
        <v>6</v>
      </c>
      <c r="O377" s="4">
        <v>2</v>
      </c>
      <c r="P377" s="4"/>
      <c r="Q377" s="4"/>
      <c r="R377" s="4"/>
      <c r="S377" s="4"/>
      <c r="T377" s="4"/>
      <c r="U377" s="4"/>
      <c r="V377" s="4"/>
      <c r="W377" s="4">
        <v>0</v>
      </c>
      <c r="X377" s="4">
        <v>1</v>
      </c>
      <c r="Y377" s="4">
        <v>0</v>
      </c>
      <c r="Z377" s="4"/>
      <c r="AA377" s="4"/>
      <c r="AB377" s="4"/>
    </row>
    <row r="378" spans="1:28">
      <c r="A378" s="4">
        <v>50</v>
      </c>
      <c r="B378" s="4">
        <v>0</v>
      </c>
      <c r="C378" s="4">
        <v>0</v>
      </c>
      <c r="D378" s="4">
        <v>1</v>
      </c>
      <c r="E378" s="4">
        <v>206</v>
      </c>
      <c r="F378" s="4">
        <f>ROUND(Source!T357,O378)</f>
        <v>0</v>
      </c>
      <c r="G378" s="4" t="s">
        <v>78</v>
      </c>
      <c r="H378" s="4" t="s">
        <v>79</v>
      </c>
      <c r="I378" s="4"/>
      <c r="J378" s="4"/>
      <c r="K378" s="4">
        <v>206</v>
      </c>
      <c r="L378" s="4">
        <v>20</v>
      </c>
      <c r="M378" s="4">
        <v>3</v>
      </c>
      <c r="N378" s="4" t="s">
        <v>6</v>
      </c>
      <c r="O378" s="4">
        <v>2</v>
      </c>
      <c r="P378" s="4"/>
      <c r="Q378" s="4"/>
      <c r="R378" s="4"/>
      <c r="S378" s="4"/>
      <c r="T378" s="4"/>
      <c r="U378" s="4"/>
      <c r="V378" s="4"/>
      <c r="W378" s="4">
        <v>0</v>
      </c>
      <c r="X378" s="4">
        <v>1</v>
      </c>
      <c r="Y378" s="4">
        <v>0</v>
      </c>
      <c r="Z378" s="4"/>
      <c r="AA378" s="4"/>
      <c r="AB378" s="4"/>
    </row>
    <row r="379" spans="1:28">
      <c r="A379" s="4">
        <v>50</v>
      </c>
      <c r="B379" s="4">
        <v>0</v>
      </c>
      <c r="C379" s="4">
        <v>0</v>
      </c>
      <c r="D379" s="4">
        <v>1</v>
      </c>
      <c r="E379" s="4">
        <v>207</v>
      </c>
      <c r="F379" s="4">
        <f>Source!U357</f>
        <v>8541.0682726100003</v>
      </c>
      <c r="G379" s="4" t="s">
        <v>80</v>
      </c>
      <c r="H379" s="4" t="s">
        <v>81</v>
      </c>
      <c r="I379" s="4"/>
      <c r="J379" s="4"/>
      <c r="K379" s="4">
        <v>207</v>
      </c>
      <c r="L379" s="4">
        <v>21</v>
      </c>
      <c r="M379" s="4">
        <v>3</v>
      </c>
      <c r="N379" s="4" t="s">
        <v>6</v>
      </c>
      <c r="O379" s="4">
        <v>-1</v>
      </c>
      <c r="P379" s="4"/>
      <c r="Q379" s="4"/>
      <c r="R379" s="4"/>
      <c r="S379" s="4"/>
      <c r="T379" s="4"/>
      <c r="U379" s="4"/>
      <c r="V379" s="4"/>
      <c r="W379" s="4">
        <v>8541.0682726100022</v>
      </c>
      <c r="X379" s="4">
        <v>1</v>
      </c>
      <c r="Y379" s="4">
        <v>8541.0682726100022</v>
      </c>
      <c r="Z379" s="4"/>
      <c r="AA379" s="4"/>
      <c r="AB379" s="4"/>
    </row>
    <row r="380" spans="1:28">
      <c r="A380" s="4">
        <v>50</v>
      </c>
      <c r="B380" s="4">
        <v>0</v>
      </c>
      <c r="C380" s="4">
        <v>0</v>
      </c>
      <c r="D380" s="4">
        <v>1</v>
      </c>
      <c r="E380" s="4">
        <v>208</v>
      </c>
      <c r="F380" s="4">
        <f>Source!V357</f>
        <v>286.20145187499998</v>
      </c>
      <c r="G380" s="4" t="s">
        <v>82</v>
      </c>
      <c r="H380" s="4" t="s">
        <v>83</v>
      </c>
      <c r="I380" s="4"/>
      <c r="J380" s="4"/>
      <c r="K380" s="4">
        <v>208</v>
      </c>
      <c r="L380" s="4">
        <v>22</v>
      </c>
      <c r="M380" s="4">
        <v>3</v>
      </c>
      <c r="N380" s="4" t="s">
        <v>6</v>
      </c>
      <c r="O380" s="4">
        <v>-1</v>
      </c>
      <c r="P380" s="4"/>
      <c r="Q380" s="4"/>
      <c r="R380" s="4"/>
      <c r="S380" s="4"/>
      <c r="T380" s="4"/>
      <c r="U380" s="4"/>
      <c r="V380" s="4"/>
      <c r="W380" s="4">
        <v>286.20145187500015</v>
      </c>
      <c r="X380" s="4">
        <v>1</v>
      </c>
      <c r="Y380" s="4">
        <v>286.20145187500015</v>
      </c>
      <c r="Z380" s="4"/>
      <c r="AA380" s="4"/>
      <c r="AB380" s="4"/>
    </row>
    <row r="381" spans="1:28">
      <c r="A381" s="4">
        <v>50</v>
      </c>
      <c r="B381" s="4">
        <v>0</v>
      </c>
      <c r="C381" s="4">
        <v>0</v>
      </c>
      <c r="D381" s="4">
        <v>1</v>
      </c>
      <c r="E381" s="4">
        <v>209</v>
      </c>
      <c r="F381" s="4">
        <f>ROUND(Source!W357,O381)</f>
        <v>0</v>
      </c>
      <c r="G381" s="4" t="s">
        <v>84</v>
      </c>
      <c r="H381" s="4" t="s">
        <v>85</v>
      </c>
      <c r="I381" s="4"/>
      <c r="J381" s="4"/>
      <c r="K381" s="4">
        <v>209</v>
      </c>
      <c r="L381" s="4">
        <v>23</v>
      </c>
      <c r="M381" s="4">
        <v>3</v>
      </c>
      <c r="N381" s="4" t="s">
        <v>6</v>
      </c>
      <c r="O381" s="4">
        <v>2</v>
      </c>
      <c r="P381" s="4"/>
      <c r="Q381" s="4"/>
      <c r="R381" s="4"/>
      <c r="S381" s="4"/>
      <c r="T381" s="4"/>
      <c r="U381" s="4"/>
      <c r="V381" s="4"/>
      <c r="W381" s="4">
        <v>0</v>
      </c>
      <c r="X381" s="4">
        <v>1</v>
      </c>
      <c r="Y381" s="4">
        <v>0</v>
      </c>
      <c r="Z381" s="4"/>
      <c r="AA381" s="4"/>
      <c r="AB381" s="4"/>
    </row>
    <row r="382" spans="1:28">
      <c r="A382" s="4">
        <v>50</v>
      </c>
      <c r="B382" s="4">
        <v>0</v>
      </c>
      <c r="C382" s="4">
        <v>0</v>
      </c>
      <c r="D382" s="4">
        <v>1</v>
      </c>
      <c r="E382" s="4">
        <v>233</v>
      </c>
      <c r="F382" s="4">
        <f>ROUND(Source!BD357,O382)</f>
        <v>3817.27</v>
      </c>
      <c r="G382" s="4" t="s">
        <v>86</v>
      </c>
      <c r="H382" s="4" t="s">
        <v>87</v>
      </c>
      <c r="I382" s="4"/>
      <c r="J382" s="4"/>
      <c r="K382" s="4">
        <v>233</v>
      </c>
      <c r="L382" s="4">
        <v>24</v>
      </c>
      <c r="M382" s="4">
        <v>3</v>
      </c>
      <c r="N382" s="4" t="s">
        <v>6</v>
      </c>
      <c r="O382" s="4">
        <v>2</v>
      </c>
      <c r="P382" s="4"/>
      <c r="Q382" s="4"/>
      <c r="R382" s="4"/>
      <c r="S382" s="4"/>
      <c r="T382" s="4"/>
      <c r="U382" s="4"/>
      <c r="V382" s="4"/>
      <c r="W382" s="4">
        <v>3817.27</v>
      </c>
      <c r="X382" s="4">
        <v>1</v>
      </c>
      <c r="Y382" s="4">
        <v>29164</v>
      </c>
      <c r="Z382" s="4"/>
      <c r="AA382" s="4"/>
      <c r="AB382" s="4"/>
    </row>
    <row r="383" spans="1:28">
      <c r="A383" s="4">
        <v>50</v>
      </c>
      <c r="B383" s="4">
        <v>1</v>
      </c>
      <c r="C383" s="4">
        <v>0</v>
      </c>
      <c r="D383" s="4">
        <v>1</v>
      </c>
      <c r="E383" s="4">
        <v>210</v>
      </c>
      <c r="F383" s="4">
        <f>ROUND(Source!X357,O383)</f>
        <v>75587.100000000006</v>
      </c>
      <c r="G383" s="4" t="s">
        <v>88</v>
      </c>
      <c r="H383" s="4" t="s">
        <v>89</v>
      </c>
      <c r="I383" s="4"/>
      <c r="J383" s="4"/>
      <c r="K383" s="4">
        <v>210</v>
      </c>
      <c r="L383" s="4">
        <v>25</v>
      </c>
      <c r="M383" s="4">
        <v>0</v>
      </c>
      <c r="N383" s="4" t="s">
        <v>6</v>
      </c>
      <c r="O383" s="4">
        <v>2</v>
      </c>
      <c r="P383" s="4"/>
      <c r="Q383" s="4"/>
      <c r="R383" s="4"/>
      <c r="S383" s="4"/>
      <c r="T383" s="4"/>
      <c r="U383" s="4"/>
      <c r="V383" s="4"/>
      <c r="W383" s="4">
        <v>75587.100000000006</v>
      </c>
      <c r="X383" s="4">
        <v>1</v>
      </c>
      <c r="Y383" s="4">
        <v>1830716</v>
      </c>
      <c r="Z383" s="4"/>
      <c r="AA383" s="4"/>
      <c r="AB383" s="4"/>
    </row>
    <row r="384" spans="1:28">
      <c r="A384" s="4">
        <v>50</v>
      </c>
      <c r="B384" s="4">
        <v>1</v>
      </c>
      <c r="C384" s="4">
        <v>0</v>
      </c>
      <c r="D384" s="4">
        <v>1</v>
      </c>
      <c r="E384" s="4">
        <v>211</v>
      </c>
      <c r="F384" s="4">
        <f>ROUND(Source!Y357,O384)</f>
        <v>42668.11</v>
      </c>
      <c r="G384" s="4" t="s">
        <v>90</v>
      </c>
      <c r="H384" s="4" t="s">
        <v>91</v>
      </c>
      <c r="I384" s="4"/>
      <c r="J384" s="4"/>
      <c r="K384" s="4">
        <v>211</v>
      </c>
      <c r="L384" s="4">
        <v>26</v>
      </c>
      <c r="M384" s="4">
        <v>0</v>
      </c>
      <c r="N384" s="4" t="s">
        <v>6</v>
      </c>
      <c r="O384" s="4">
        <v>2</v>
      </c>
      <c r="P384" s="4"/>
      <c r="Q384" s="4"/>
      <c r="R384" s="4"/>
      <c r="S384" s="4"/>
      <c r="T384" s="4"/>
      <c r="U384" s="4"/>
      <c r="V384" s="4"/>
      <c r="W384" s="4">
        <v>42668.11</v>
      </c>
      <c r="X384" s="4">
        <v>1</v>
      </c>
      <c r="Y384" s="4">
        <v>1033424</v>
      </c>
      <c r="Z384" s="4"/>
      <c r="AA384" s="4"/>
      <c r="AB384" s="4"/>
    </row>
    <row r="385" spans="1:28">
      <c r="A385" s="4">
        <v>50</v>
      </c>
      <c r="B385" s="4">
        <v>0</v>
      </c>
      <c r="C385" s="4">
        <v>0</v>
      </c>
      <c r="D385" s="4">
        <v>1</v>
      </c>
      <c r="E385" s="4">
        <v>224</v>
      </c>
      <c r="F385" s="4">
        <f>ROUND(Source!AR357,O385)</f>
        <v>1441987.93</v>
      </c>
      <c r="G385" s="4" t="s">
        <v>92</v>
      </c>
      <c r="H385" s="4" t="s">
        <v>93</v>
      </c>
      <c r="I385" s="4"/>
      <c r="J385" s="4"/>
      <c r="K385" s="4">
        <v>224</v>
      </c>
      <c r="L385" s="4">
        <v>27</v>
      </c>
      <c r="M385" s="4">
        <v>3</v>
      </c>
      <c r="N385" s="4" t="s">
        <v>6</v>
      </c>
      <c r="O385" s="4">
        <v>2</v>
      </c>
      <c r="P385" s="4"/>
      <c r="Q385" s="4"/>
      <c r="R385" s="4"/>
      <c r="S385" s="4"/>
      <c r="T385" s="4"/>
      <c r="U385" s="4"/>
      <c r="V385" s="4"/>
      <c r="W385" s="4">
        <v>1443125.4500000002</v>
      </c>
      <c r="X385" s="4">
        <v>1</v>
      </c>
      <c r="Y385" s="4">
        <v>12418371</v>
      </c>
      <c r="Z385" s="4"/>
      <c r="AA385" s="4"/>
      <c r="AB385" s="4"/>
    </row>
    <row r="386" spans="1:28">
      <c r="A386" s="4">
        <v>50</v>
      </c>
      <c r="B386" s="4">
        <v>1</v>
      </c>
      <c r="C386" s="4">
        <v>0</v>
      </c>
      <c r="D386" s="4">
        <v>2</v>
      </c>
      <c r="E386" s="4">
        <v>0</v>
      </c>
      <c r="F386" s="4">
        <f>ROUND(F385,O386)</f>
        <v>1441987.93</v>
      </c>
      <c r="G386" s="4" t="s">
        <v>19</v>
      </c>
      <c r="H386" s="4" t="s">
        <v>94</v>
      </c>
      <c r="I386" s="4"/>
      <c r="J386" s="4"/>
      <c r="K386" s="4">
        <v>212</v>
      </c>
      <c r="L386" s="4">
        <v>28</v>
      </c>
      <c r="M386" s="4">
        <v>0</v>
      </c>
      <c r="N386" s="4" t="s">
        <v>6</v>
      </c>
      <c r="O386" s="4">
        <v>2</v>
      </c>
      <c r="P386" s="4"/>
      <c r="Q386" s="4"/>
      <c r="R386" s="4"/>
      <c r="S386" s="4"/>
      <c r="T386" s="4"/>
      <c r="U386" s="4"/>
      <c r="V386" s="4"/>
      <c r="W386" s="4">
        <v>1443125.45</v>
      </c>
      <c r="X386" s="4">
        <v>1</v>
      </c>
      <c r="Y386" s="4">
        <v>12418371</v>
      </c>
      <c r="Z386" s="4"/>
      <c r="AA386" s="4"/>
      <c r="AB386" s="4"/>
    </row>
    <row r="387" spans="1:28">
      <c r="A387" s="4">
        <v>50</v>
      </c>
      <c r="B387" s="4">
        <v>1</v>
      </c>
      <c r="C387" s="4">
        <v>0</v>
      </c>
      <c r="D387" s="4">
        <v>2</v>
      </c>
      <c r="E387" s="4">
        <v>0</v>
      </c>
      <c r="F387" s="4">
        <f>ROUND(F386*0.2,O387)</f>
        <v>288397.59000000003</v>
      </c>
      <c r="G387" s="4" t="s">
        <v>31</v>
      </c>
      <c r="H387" s="4" t="s">
        <v>95</v>
      </c>
      <c r="I387" s="4"/>
      <c r="J387" s="4"/>
      <c r="K387" s="4">
        <v>212</v>
      </c>
      <c r="L387" s="4">
        <v>29</v>
      </c>
      <c r="M387" s="4">
        <v>0</v>
      </c>
      <c r="N387" s="4" t="s">
        <v>6</v>
      </c>
      <c r="O387" s="4">
        <v>2</v>
      </c>
      <c r="P387" s="4"/>
      <c r="Q387" s="4"/>
      <c r="R387" s="4"/>
      <c r="S387" s="4"/>
      <c r="T387" s="4"/>
      <c r="U387" s="4"/>
      <c r="V387" s="4"/>
      <c r="W387" s="4">
        <v>288625.09000000003</v>
      </c>
      <c r="X387" s="4">
        <v>1</v>
      </c>
      <c r="Y387" s="4">
        <v>2483674</v>
      </c>
      <c r="Z387" s="4"/>
      <c r="AA387" s="4"/>
      <c r="AB387" s="4"/>
    </row>
    <row r="388" spans="1:28">
      <c r="A388" s="4">
        <v>50</v>
      </c>
      <c r="B388" s="4">
        <v>1</v>
      </c>
      <c r="C388" s="4">
        <v>0</v>
      </c>
      <c r="D388" s="4">
        <v>2</v>
      </c>
      <c r="E388" s="4">
        <v>213</v>
      </c>
      <c r="F388" s="4">
        <f>ROUND(F386+F387,O388)</f>
        <v>1730385.52</v>
      </c>
      <c r="G388" s="4" t="s">
        <v>96</v>
      </c>
      <c r="H388" s="4" t="s">
        <v>97</v>
      </c>
      <c r="I388" s="4"/>
      <c r="J388" s="4"/>
      <c r="K388" s="4">
        <v>212</v>
      </c>
      <c r="L388" s="4">
        <v>30</v>
      </c>
      <c r="M388" s="4">
        <v>0</v>
      </c>
      <c r="N388" s="4" t="s">
        <v>6</v>
      </c>
      <c r="O388" s="4">
        <v>2</v>
      </c>
      <c r="P388" s="4"/>
      <c r="Q388" s="4"/>
      <c r="R388" s="4"/>
      <c r="S388" s="4"/>
      <c r="T388" s="4"/>
      <c r="U388" s="4"/>
      <c r="V388" s="4"/>
      <c r="W388" s="4">
        <v>1731750.54</v>
      </c>
      <c r="X388" s="4">
        <v>1</v>
      </c>
      <c r="Y388" s="4">
        <v>14902045</v>
      </c>
      <c r="Z388" s="4"/>
      <c r="AA388" s="4"/>
      <c r="AB388" s="4"/>
    </row>
    <row r="391" spans="1:28">
      <c r="A391">
        <v>70</v>
      </c>
      <c r="B391">
        <v>1</v>
      </c>
      <c r="D391">
        <v>1</v>
      </c>
      <c r="E391" t="s">
        <v>714</v>
      </c>
      <c r="F391" t="s">
        <v>715</v>
      </c>
      <c r="G391">
        <v>0</v>
      </c>
      <c r="H391">
        <v>0</v>
      </c>
      <c r="I391" t="s">
        <v>6</v>
      </c>
      <c r="J391">
        <v>1</v>
      </c>
      <c r="K391">
        <v>0</v>
      </c>
      <c r="L391" t="s">
        <v>6</v>
      </c>
      <c r="M391" t="s">
        <v>6</v>
      </c>
      <c r="N391">
        <v>0</v>
      </c>
      <c r="P391" t="s">
        <v>716</v>
      </c>
    </row>
    <row r="392" spans="1:28">
      <c r="A392">
        <v>70</v>
      </c>
      <c r="B392">
        <v>1</v>
      </c>
      <c r="D392">
        <v>2</v>
      </c>
      <c r="E392" t="s">
        <v>717</v>
      </c>
      <c r="F392" t="s">
        <v>718</v>
      </c>
      <c r="G392">
        <v>1</v>
      </c>
      <c r="H392">
        <v>0</v>
      </c>
      <c r="I392" t="s">
        <v>6</v>
      </c>
      <c r="J392">
        <v>1</v>
      </c>
      <c r="K392">
        <v>0</v>
      </c>
      <c r="L392" t="s">
        <v>6</v>
      </c>
      <c r="M392" t="s">
        <v>6</v>
      </c>
      <c r="N392">
        <v>0</v>
      </c>
      <c r="P392" t="s">
        <v>719</v>
      </c>
    </row>
    <row r="393" spans="1:28">
      <c r="A393">
        <v>70</v>
      </c>
      <c r="B393">
        <v>1</v>
      </c>
      <c r="D393">
        <v>3</v>
      </c>
      <c r="E393" t="s">
        <v>720</v>
      </c>
      <c r="F393" t="s">
        <v>721</v>
      </c>
      <c r="G393">
        <v>0</v>
      </c>
      <c r="H393">
        <v>0</v>
      </c>
      <c r="I393" t="s">
        <v>6</v>
      </c>
      <c r="J393">
        <v>1</v>
      </c>
      <c r="K393">
        <v>0</v>
      </c>
      <c r="L393" t="s">
        <v>6</v>
      </c>
      <c r="M393" t="s">
        <v>6</v>
      </c>
      <c r="N393">
        <v>0</v>
      </c>
      <c r="P393" t="s">
        <v>722</v>
      </c>
    </row>
    <row r="394" spans="1:28">
      <c r="A394">
        <v>70</v>
      </c>
      <c r="B394">
        <v>1</v>
      </c>
      <c r="D394">
        <v>4</v>
      </c>
      <c r="E394" t="s">
        <v>723</v>
      </c>
      <c r="F394" t="s">
        <v>724</v>
      </c>
      <c r="G394">
        <v>1</v>
      </c>
      <c r="H394">
        <v>0</v>
      </c>
      <c r="I394" t="s">
        <v>6</v>
      </c>
      <c r="J394">
        <v>2</v>
      </c>
      <c r="K394">
        <v>0</v>
      </c>
      <c r="L394" t="s">
        <v>6</v>
      </c>
      <c r="M394" t="s">
        <v>6</v>
      </c>
      <c r="N394">
        <v>0</v>
      </c>
      <c r="P394" t="s">
        <v>6</v>
      </c>
    </row>
    <row r="395" spans="1:28">
      <c r="A395">
        <v>70</v>
      </c>
      <c r="B395">
        <v>1</v>
      </c>
      <c r="D395">
        <v>5</v>
      </c>
      <c r="E395" t="s">
        <v>725</v>
      </c>
      <c r="F395" t="s">
        <v>726</v>
      </c>
      <c r="G395">
        <v>0</v>
      </c>
      <c r="H395">
        <v>0</v>
      </c>
      <c r="I395" t="s">
        <v>6</v>
      </c>
      <c r="J395">
        <v>2</v>
      </c>
      <c r="K395">
        <v>0</v>
      </c>
      <c r="L395" t="s">
        <v>6</v>
      </c>
      <c r="M395" t="s">
        <v>6</v>
      </c>
      <c r="N395">
        <v>0</v>
      </c>
      <c r="P395" t="s">
        <v>6</v>
      </c>
    </row>
    <row r="396" spans="1:28">
      <c r="A396">
        <v>70</v>
      </c>
      <c r="B396">
        <v>1</v>
      </c>
      <c r="D396">
        <v>6</v>
      </c>
      <c r="E396" t="s">
        <v>727</v>
      </c>
      <c r="F396" t="s">
        <v>728</v>
      </c>
      <c r="G396">
        <v>0</v>
      </c>
      <c r="H396">
        <v>0</v>
      </c>
      <c r="I396" t="s">
        <v>6</v>
      </c>
      <c r="J396">
        <v>2</v>
      </c>
      <c r="K396">
        <v>0</v>
      </c>
      <c r="L396" t="s">
        <v>6</v>
      </c>
      <c r="M396" t="s">
        <v>6</v>
      </c>
      <c r="N396">
        <v>0</v>
      </c>
      <c r="P396" t="s">
        <v>6</v>
      </c>
    </row>
    <row r="397" spans="1:28">
      <c r="A397">
        <v>70</v>
      </c>
      <c r="B397">
        <v>1</v>
      </c>
      <c r="D397">
        <v>7</v>
      </c>
      <c r="E397" t="s">
        <v>729</v>
      </c>
      <c r="F397" t="s">
        <v>730</v>
      </c>
      <c r="G397">
        <v>0</v>
      </c>
      <c r="H397">
        <v>0</v>
      </c>
      <c r="I397" t="s">
        <v>731</v>
      </c>
      <c r="J397">
        <v>0</v>
      </c>
      <c r="K397">
        <v>0</v>
      </c>
      <c r="L397" t="s">
        <v>6</v>
      </c>
      <c r="M397" t="s">
        <v>6</v>
      </c>
      <c r="N397">
        <v>0</v>
      </c>
      <c r="P397" t="s">
        <v>732</v>
      </c>
    </row>
    <row r="398" spans="1:28">
      <c r="A398">
        <v>70</v>
      </c>
      <c r="B398">
        <v>1</v>
      </c>
      <c r="D398">
        <v>8</v>
      </c>
      <c r="E398" t="s">
        <v>733</v>
      </c>
      <c r="F398" t="s">
        <v>734</v>
      </c>
      <c r="G398">
        <v>0</v>
      </c>
      <c r="H398">
        <v>0</v>
      </c>
      <c r="I398" t="s">
        <v>735</v>
      </c>
      <c r="J398">
        <v>0</v>
      </c>
      <c r="K398">
        <v>0</v>
      </c>
      <c r="L398" t="s">
        <v>6</v>
      </c>
      <c r="M398" t="s">
        <v>6</v>
      </c>
      <c r="N398">
        <v>0</v>
      </c>
      <c r="P398" t="s">
        <v>733</v>
      </c>
    </row>
    <row r="399" spans="1:28">
      <c r="A399">
        <v>70</v>
      </c>
      <c r="B399">
        <v>1</v>
      </c>
      <c r="D399">
        <v>9</v>
      </c>
      <c r="E399" t="s">
        <v>736</v>
      </c>
      <c r="F399" t="s">
        <v>737</v>
      </c>
      <c r="G399">
        <v>0</v>
      </c>
      <c r="H399">
        <v>0</v>
      </c>
      <c r="I399" t="s">
        <v>738</v>
      </c>
      <c r="J399">
        <v>0</v>
      </c>
      <c r="K399">
        <v>0</v>
      </c>
      <c r="L399" t="s">
        <v>6</v>
      </c>
      <c r="M399" t="s">
        <v>6</v>
      </c>
      <c r="N399">
        <v>0</v>
      </c>
      <c r="P399" t="s">
        <v>739</v>
      </c>
    </row>
    <row r="400" spans="1:28">
      <c r="A400">
        <v>70</v>
      </c>
      <c r="B400">
        <v>1</v>
      </c>
      <c r="D400">
        <v>10</v>
      </c>
      <c r="E400" t="s">
        <v>740</v>
      </c>
      <c r="F400" t="s">
        <v>741</v>
      </c>
      <c r="G400">
        <v>0</v>
      </c>
      <c r="H400">
        <v>0</v>
      </c>
      <c r="I400" t="s">
        <v>742</v>
      </c>
      <c r="J400">
        <v>0</v>
      </c>
      <c r="K400">
        <v>0</v>
      </c>
      <c r="L400" t="s">
        <v>6</v>
      </c>
      <c r="M400" t="s">
        <v>6</v>
      </c>
      <c r="N400">
        <v>0</v>
      </c>
      <c r="P400" t="s">
        <v>743</v>
      </c>
    </row>
    <row r="401" spans="1:40">
      <c r="A401">
        <v>70</v>
      </c>
      <c r="B401">
        <v>1</v>
      </c>
      <c r="D401">
        <v>11</v>
      </c>
      <c r="E401" t="s">
        <v>744</v>
      </c>
      <c r="F401" t="s">
        <v>745</v>
      </c>
      <c r="G401">
        <v>0</v>
      </c>
      <c r="H401">
        <v>0</v>
      </c>
      <c r="I401" t="s">
        <v>746</v>
      </c>
      <c r="J401">
        <v>0</v>
      </c>
      <c r="K401">
        <v>0</v>
      </c>
      <c r="L401" t="s">
        <v>6</v>
      </c>
      <c r="M401" t="s">
        <v>6</v>
      </c>
      <c r="N401">
        <v>0</v>
      </c>
      <c r="P401" t="s">
        <v>747</v>
      </c>
    </row>
    <row r="402" spans="1:40">
      <c r="A402">
        <v>70</v>
      </c>
      <c r="B402">
        <v>1</v>
      </c>
      <c r="D402">
        <v>12</v>
      </c>
      <c r="E402" t="s">
        <v>748</v>
      </c>
      <c r="F402" t="s">
        <v>749</v>
      </c>
      <c r="G402">
        <v>0</v>
      </c>
      <c r="H402">
        <v>0</v>
      </c>
      <c r="I402" t="s">
        <v>6</v>
      </c>
      <c r="J402">
        <v>0</v>
      </c>
      <c r="K402">
        <v>0</v>
      </c>
      <c r="L402" t="s">
        <v>6</v>
      </c>
      <c r="M402" t="s">
        <v>6</v>
      </c>
      <c r="N402">
        <v>0</v>
      </c>
      <c r="P402" t="s">
        <v>750</v>
      </c>
    </row>
    <row r="403" spans="1:40">
      <c r="A403">
        <v>70</v>
      </c>
      <c r="B403">
        <v>1</v>
      </c>
      <c r="D403">
        <v>13</v>
      </c>
      <c r="E403" t="s">
        <v>751</v>
      </c>
      <c r="F403" t="s">
        <v>752</v>
      </c>
      <c r="G403">
        <v>0</v>
      </c>
      <c r="H403">
        <v>0</v>
      </c>
      <c r="I403" t="s">
        <v>6</v>
      </c>
      <c r="J403">
        <v>0</v>
      </c>
      <c r="K403">
        <v>0</v>
      </c>
      <c r="L403" t="s">
        <v>6</v>
      </c>
      <c r="M403" t="s">
        <v>6</v>
      </c>
      <c r="N403">
        <v>0</v>
      </c>
      <c r="P403" t="s">
        <v>6</v>
      </c>
    </row>
    <row r="404" spans="1:40">
      <c r="A404">
        <v>70</v>
      </c>
      <c r="B404">
        <v>1</v>
      </c>
      <c r="D404">
        <v>1</v>
      </c>
      <c r="E404" t="s">
        <v>753</v>
      </c>
      <c r="F404" t="s">
        <v>754</v>
      </c>
      <c r="G404">
        <v>0.9</v>
      </c>
      <c r="H404">
        <v>1</v>
      </c>
      <c r="I404" t="s">
        <v>755</v>
      </c>
      <c r="J404">
        <v>0</v>
      </c>
      <c r="K404">
        <v>0</v>
      </c>
      <c r="L404" t="s">
        <v>6</v>
      </c>
      <c r="M404" t="s">
        <v>6</v>
      </c>
      <c r="N404">
        <v>0</v>
      </c>
      <c r="P404" t="s">
        <v>6</v>
      </c>
    </row>
    <row r="405" spans="1:40">
      <c r="A405">
        <v>70</v>
      </c>
      <c r="B405">
        <v>1</v>
      </c>
      <c r="D405">
        <v>2</v>
      </c>
      <c r="E405" t="s">
        <v>756</v>
      </c>
      <c r="F405" t="s">
        <v>757</v>
      </c>
      <c r="G405">
        <v>0.85</v>
      </c>
      <c r="H405">
        <v>1</v>
      </c>
      <c r="I405" t="s">
        <v>758</v>
      </c>
      <c r="J405">
        <v>0</v>
      </c>
      <c r="K405">
        <v>0</v>
      </c>
      <c r="L405" t="s">
        <v>6</v>
      </c>
      <c r="M405" t="s">
        <v>6</v>
      </c>
      <c r="N405">
        <v>0</v>
      </c>
      <c r="P405" t="s">
        <v>6</v>
      </c>
    </row>
    <row r="406" spans="1:40">
      <c r="A406">
        <v>70</v>
      </c>
      <c r="B406">
        <v>1</v>
      </c>
      <c r="D406">
        <v>3</v>
      </c>
      <c r="E406" t="s">
        <v>759</v>
      </c>
      <c r="F406" t="s">
        <v>760</v>
      </c>
      <c r="G406">
        <v>1.03</v>
      </c>
      <c r="H406">
        <v>0</v>
      </c>
      <c r="I406" t="s">
        <v>6</v>
      </c>
      <c r="J406">
        <v>0</v>
      </c>
      <c r="K406">
        <v>0</v>
      </c>
      <c r="L406" t="s">
        <v>6</v>
      </c>
      <c r="M406" t="s">
        <v>6</v>
      </c>
      <c r="N406">
        <v>0</v>
      </c>
      <c r="P406" t="s">
        <v>6</v>
      </c>
    </row>
    <row r="407" spans="1:40">
      <c r="A407">
        <v>70</v>
      </c>
      <c r="B407">
        <v>1</v>
      </c>
      <c r="D407">
        <v>4</v>
      </c>
      <c r="E407" t="s">
        <v>761</v>
      </c>
      <c r="F407" t="s">
        <v>762</v>
      </c>
      <c r="G407">
        <v>1.0900000000000001</v>
      </c>
      <c r="H407">
        <v>0</v>
      </c>
      <c r="I407" t="s">
        <v>6</v>
      </c>
      <c r="J407">
        <v>0</v>
      </c>
      <c r="K407">
        <v>0</v>
      </c>
      <c r="L407" t="s">
        <v>6</v>
      </c>
      <c r="M407" t="s">
        <v>6</v>
      </c>
      <c r="N407">
        <v>0</v>
      </c>
      <c r="P407" t="s">
        <v>6</v>
      </c>
    </row>
    <row r="408" spans="1:40">
      <c r="A408">
        <v>70</v>
      </c>
      <c r="B408">
        <v>1</v>
      </c>
      <c r="D408">
        <v>5</v>
      </c>
      <c r="E408" t="s">
        <v>763</v>
      </c>
      <c r="F408" t="s">
        <v>764</v>
      </c>
      <c r="G408">
        <v>7</v>
      </c>
      <c r="H408">
        <v>0</v>
      </c>
      <c r="I408" t="s">
        <v>6</v>
      </c>
      <c r="J408">
        <v>0</v>
      </c>
      <c r="K408">
        <v>0</v>
      </c>
      <c r="L408" t="s">
        <v>6</v>
      </c>
      <c r="M408" t="s">
        <v>6</v>
      </c>
      <c r="N408">
        <v>0</v>
      </c>
      <c r="P408" t="s">
        <v>6</v>
      </c>
    </row>
    <row r="409" spans="1:40">
      <c r="A409">
        <v>70</v>
      </c>
      <c r="B409">
        <v>1</v>
      </c>
      <c r="D409">
        <v>6</v>
      </c>
      <c r="E409" t="s">
        <v>765</v>
      </c>
      <c r="F409" t="s">
        <v>6</v>
      </c>
      <c r="G409">
        <v>2</v>
      </c>
      <c r="H409">
        <v>0</v>
      </c>
      <c r="I409" t="s">
        <v>6</v>
      </c>
      <c r="J409">
        <v>0</v>
      </c>
      <c r="K409">
        <v>0</v>
      </c>
      <c r="L409" t="s">
        <v>6</v>
      </c>
      <c r="M409" t="s">
        <v>6</v>
      </c>
      <c r="N409">
        <v>0</v>
      </c>
      <c r="P409" t="s">
        <v>6</v>
      </c>
    </row>
    <row r="411" spans="1:40">
      <c r="A411">
        <v>-1</v>
      </c>
    </row>
    <row r="413" spans="1:40">
      <c r="A413" s="3">
        <v>75</v>
      </c>
      <c r="B413" s="3" t="s">
        <v>766</v>
      </c>
      <c r="C413" s="3">
        <v>2021</v>
      </c>
      <c r="D413" s="3">
        <v>2</v>
      </c>
      <c r="E413" s="3">
        <v>0</v>
      </c>
      <c r="F413" s="3"/>
      <c r="G413" s="3">
        <v>0</v>
      </c>
      <c r="H413" s="3">
        <v>1</v>
      </c>
      <c r="I413" s="3">
        <v>0</v>
      </c>
      <c r="J413" s="3">
        <v>1</v>
      </c>
      <c r="K413" s="3">
        <v>0</v>
      </c>
      <c r="L413" s="3">
        <v>0</v>
      </c>
      <c r="M413" s="3">
        <v>0</v>
      </c>
      <c r="N413" s="3">
        <v>31028412</v>
      </c>
      <c r="O413" s="3">
        <v>1</v>
      </c>
    </row>
    <row r="414" spans="1:40">
      <c r="A414" s="5">
        <v>3</v>
      </c>
      <c r="B414" s="5" t="s">
        <v>767</v>
      </c>
      <c r="C414" s="5">
        <v>1</v>
      </c>
      <c r="D414" s="5">
        <v>6.17</v>
      </c>
      <c r="E414" s="5">
        <v>7.64</v>
      </c>
      <c r="F414" s="5">
        <v>24.22</v>
      </c>
      <c r="G414" s="5">
        <v>24.22</v>
      </c>
      <c r="H414" s="5">
        <v>1</v>
      </c>
      <c r="I414" s="5">
        <v>1</v>
      </c>
      <c r="J414" s="5">
        <v>2</v>
      </c>
      <c r="K414" s="5">
        <v>1</v>
      </c>
      <c r="L414" s="5">
        <v>7.64</v>
      </c>
      <c r="M414" s="5">
        <v>1</v>
      </c>
      <c r="N414" s="5">
        <v>6.17</v>
      </c>
      <c r="O414" s="5">
        <v>1</v>
      </c>
      <c r="P414" s="5">
        <v>1</v>
      </c>
      <c r="Q414" s="5">
        <v>1</v>
      </c>
      <c r="R414" s="5">
        <v>7.64</v>
      </c>
      <c r="S414" s="5" t="s">
        <v>768</v>
      </c>
      <c r="T414" s="5" t="s">
        <v>6</v>
      </c>
      <c r="U414" s="5" t="s">
        <v>111</v>
      </c>
      <c r="V414" s="5" t="s">
        <v>111</v>
      </c>
      <c r="W414" s="5" t="s">
        <v>769</v>
      </c>
      <c r="X414" s="5" t="s">
        <v>769</v>
      </c>
      <c r="Y414" s="5" t="s">
        <v>6</v>
      </c>
      <c r="Z414" s="5" t="s">
        <v>6</v>
      </c>
      <c r="AA414" s="5" t="s">
        <v>6</v>
      </c>
      <c r="AB414" s="5" t="s">
        <v>111</v>
      </c>
      <c r="AC414" s="5" t="s">
        <v>6</v>
      </c>
      <c r="AD414" s="5" t="s">
        <v>111</v>
      </c>
      <c r="AE414" s="5" t="s">
        <v>6</v>
      </c>
      <c r="AF414" s="5" t="s">
        <v>6</v>
      </c>
      <c r="AG414" s="5" t="s">
        <v>6</v>
      </c>
      <c r="AH414" s="5" t="s">
        <v>111</v>
      </c>
      <c r="AI414" s="5"/>
      <c r="AJ414" s="5"/>
      <c r="AK414" s="5"/>
      <c r="AL414" s="5"/>
      <c r="AM414" s="5"/>
      <c r="AN414" s="5">
        <v>31028413</v>
      </c>
    </row>
    <row r="418" spans="1:5">
      <c r="A418">
        <v>65</v>
      </c>
      <c r="C418">
        <v>1</v>
      </c>
      <c r="D418">
        <v>0</v>
      </c>
      <c r="E418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EC55"/>
  <sheetViews>
    <sheetView workbookViewId="0"/>
  </sheetViews>
  <sheetFormatPr defaultColWidth="9.109375" defaultRowHeight="13.2"/>
  <cols>
    <col min="1" max="256" width="9.109375" customWidth="1"/>
  </cols>
  <sheetData>
    <row r="1" spans="1:133">
      <c r="A1">
        <v>0</v>
      </c>
      <c r="B1" t="s">
        <v>0</v>
      </c>
      <c r="D1" t="s">
        <v>770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1</v>
      </c>
      <c r="L1">
        <v>35086</v>
      </c>
      <c r="M1">
        <v>10</v>
      </c>
      <c r="N1">
        <v>11</v>
      </c>
      <c r="O1">
        <v>3</v>
      </c>
      <c r="P1">
        <v>2</v>
      </c>
      <c r="Q1">
        <v>5</v>
      </c>
    </row>
    <row r="12" spans="1:133">
      <c r="A12" s="1">
        <v>1</v>
      </c>
      <c r="B12" s="1">
        <v>54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7</v>
      </c>
      <c r="K12" s="1">
        <v>0</v>
      </c>
      <c r="L12" s="1">
        <v>0</v>
      </c>
      <c r="M12" s="1">
        <v>6</v>
      </c>
      <c r="N12" s="1"/>
      <c r="O12" s="1">
        <v>2021</v>
      </c>
      <c r="P12" s="1">
        <v>6</v>
      </c>
      <c r="Q12" s="1">
        <v>0</v>
      </c>
      <c r="R12" s="1">
        <v>0</v>
      </c>
      <c r="S12" s="1"/>
      <c r="T12" s="1">
        <v>3</v>
      </c>
      <c r="U12" s="1" t="s">
        <v>7</v>
      </c>
      <c r="V12" s="1">
        <v>0</v>
      </c>
      <c r="W12" s="1" t="s">
        <v>8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>
        <v>0</v>
      </c>
      <c r="BC12" s="1"/>
      <c r="BD12" s="1"/>
      <c r="BE12" s="1"/>
      <c r="BF12" s="1"/>
      <c r="BG12" s="1"/>
      <c r="BH12" s="1" t="s">
        <v>9</v>
      </c>
      <c r="BI12" s="1" t="s">
        <v>10</v>
      </c>
      <c r="BJ12" s="1">
        <v>0</v>
      </c>
      <c r="BK12" s="1">
        <v>1</v>
      </c>
      <c r="BL12" s="1">
        <v>0</v>
      </c>
      <c r="BM12" s="1">
        <v>1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1</v>
      </c>
      <c r="BW12" s="1">
        <v>0</v>
      </c>
      <c r="BX12" s="1">
        <v>0</v>
      </c>
      <c r="BY12" s="1" t="s">
        <v>11</v>
      </c>
      <c r="BZ12" s="1" t="s">
        <v>12</v>
      </c>
      <c r="CA12" s="1" t="s">
        <v>13</v>
      </c>
      <c r="CB12" s="1" t="s">
        <v>13</v>
      </c>
      <c r="CC12" s="1" t="s">
        <v>13</v>
      </c>
      <c r="CD12" s="1" t="s">
        <v>13</v>
      </c>
      <c r="CE12" s="1" t="s">
        <v>14</v>
      </c>
      <c r="CF12" s="1">
        <v>0</v>
      </c>
      <c r="CG12" s="1">
        <v>0</v>
      </c>
      <c r="CH12" s="1">
        <v>403177480</v>
      </c>
      <c r="CI12" s="1" t="s">
        <v>6</v>
      </c>
      <c r="CJ12" s="1" t="s">
        <v>6</v>
      </c>
      <c r="CK12" s="1">
        <v>0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>
      <c r="A14" s="1">
        <v>22</v>
      </c>
      <c r="B14" s="1">
        <v>0</v>
      </c>
      <c r="C14" s="1">
        <v>0</v>
      </c>
      <c r="D14" s="1">
        <v>31028412</v>
      </c>
      <c r="E14" s="1">
        <v>0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>
      <c r="A16" s="6">
        <v>3</v>
      </c>
      <c r="B16" s="6">
        <v>1</v>
      </c>
      <c r="C16" s="6" t="s">
        <v>15</v>
      </c>
      <c r="D16" s="6" t="s">
        <v>16</v>
      </c>
      <c r="E16" s="7">
        <v>12206.349</v>
      </c>
      <c r="F16" s="7">
        <v>212.02199999999999</v>
      </c>
      <c r="G16" s="7">
        <v>0</v>
      </c>
      <c r="H16" s="7">
        <v>0</v>
      </c>
      <c r="I16" s="7">
        <v>12418.370999999999</v>
      </c>
      <c r="J16" s="7">
        <v>1792.8589999999999</v>
      </c>
      <c r="AI16" s="6">
        <v>0</v>
      </c>
      <c r="AJ16" s="6">
        <v>0</v>
      </c>
      <c r="AK16" s="6" t="s">
        <v>6</v>
      </c>
      <c r="AL16" s="6" t="s">
        <v>6</v>
      </c>
      <c r="AM16" s="6" t="s">
        <v>6</v>
      </c>
      <c r="AN16" s="6">
        <v>0</v>
      </c>
      <c r="AO16" s="6" t="s">
        <v>6</v>
      </c>
      <c r="AP16" s="6" t="s">
        <v>6</v>
      </c>
      <c r="AT16" s="7">
        <v>9554231</v>
      </c>
      <c r="AU16" s="7">
        <v>0</v>
      </c>
      <c r="AW16" s="7">
        <v>0</v>
      </c>
      <c r="AX16" s="7">
        <v>0</v>
      </c>
      <c r="AY16" s="7">
        <v>197695</v>
      </c>
      <c r="AZ16" s="7">
        <v>83270</v>
      </c>
      <c r="BA16" s="7">
        <v>1792859</v>
      </c>
      <c r="BB16" s="7">
        <v>12206349</v>
      </c>
      <c r="BC16" s="7">
        <v>212022</v>
      </c>
      <c r="BD16" s="7">
        <v>0</v>
      </c>
      <c r="BE16" s="7">
        <v>0</v>
      </c>
      <c r="BF16" s="7">
        <v>8541.0682726100022</v>
      </c>
      <c r="BG16" s="7">
        <v>286.20145187500015</v>
      </c>
      <c r="BH16" s="7">
        <v>0</v>
      </c>
      <c r="BI16" s="7">
        <v>1830716</v>
      </c>
      <c r="BJ16" s="7">
        <v>1033424</v>
      </c>
      <c r="BK16" s="7">
        <v>12418371</v>
      </c>
    </row>
    <row r="18" spans="1:19">
      <c r="A18">
        <v>51</v>
      </c>
      <c r="E18" s="8">
        <f>SUMIF(A16:A17,3,E16:E17)</f>
        <v>12206.349</v>
      </c>
      <c r="F18" s="8">
        <f>SUMIF(A16:A17,3,F16:F17)</f>
        <v>212.02199999999999</v>
      </c>
      <c r="G18" s="8">
        <f>SUMIF(A16:A17,3,G16:G17)</f>
        <v>0</v>
      </c>
      <c r="H18" s="8">
        <f>SUMIF(A16:A17,3,H16:H17)</f>
        <v>0</v>
      </c>
      <c r="I18" s="8">
        <f>SUMIF(A16:A17,3,I16:I17)</f>
        <v>12418.370999999999</v>
      </c>
      <c r="J18" s="8">
        <f>SUMIF(A16:A17,3,J16:J17)</f>
        <v>1792.8589999999999</v>
      </c>
      <c r="K18" s="8"/>
      <c r="L18" s="8"/>
      <c r="M18" s="8"/>
      <c r="N18" s="8"/>
      <c r="O18" s="8"/>
      <c r="P18" s="8"/>
      <c r="Q18" s="8"/>
      <c r="R18" s="8"/>
      <c r="S18" s="8"/>
    </row>
    <row r="20" spans="1:19">
      <c r="A20" s="4">
        <v>50</v>
      </c>
      <c r="B20" s="4">
        <v>1</v>
      </c>
      <c r="C20" s="4">
        <v>0</v>
      </c>
      <c r="D20" s="4">
        <v>1</v>
      </c>
      <c r="E20" s="4">
        <v>201</v>
      </c>
      <c r="F20" s="4">
        <v>9554231</v>
      </c>
      <c r="G20" s="4" t="s">
        <v>40</v>
      </c>
      <c r="H20" s="4" t="s">
        <v>41</v>
      </c>
      <c r="I20" s="4"/>
      <c r="J20" s="4"/>
      <c r="K20" s="4">
        <v>201</v>
      </c>
      <c r="L20" s="4">
        <v>1</v>
      </c>
      <c r="M20" s="4">
        <v>0</v>
      </c>
      <c r="N20" s="4" t="s">
        <v>6</v>
      </c>
      <c r="O20" s="4">
        <v>2</v>
      </c>
      <c r="P20" s="4"/>
    </row>
    <row r="21" spans="1:19">
      <c r="A21" s="4">
        <v>50</v>
      </c>
      <c r="B21" s="4">
        <v>1</v>
      </c>
      <c r="C21" s="4">
        <v>0</v>
      </c>
      <c r="D21" s="4">
        <v>1</v>
      </c>
      <c r="E21" s="4">
        <v>202</v>
      </c>
      <c r="F21" s="4">
        <v>0</v>
      </c>
      <c r="G21" s="4" t="s">
        <v>42</v>
      </c>
      <c r="H21" s="4" t="s">
        <v>43</v>
      </c>
      <c r="I21" s="4"/>
      <c r="J21" s="4"/>
      <c r="K21" s="4">
        <v>202</v>
      </c>
      <c r="L21" s="4">
        <v>2</v>
      </c>
      <c r="M21" s="4">
        <v>0</v>
      </c>
      <c r="N21" s="4" t="s">
        <v>6</v>
      </c>
      <c r="O21" s="4">
        <v>2</v>
      </c>
      <c r="P21" s="4"/>
    </row>
    <row r="22" spans="1:19">
      <c r="A22" s="4">
        <v>50</v>
      </c>
      <c r="B22" s="4">
        <v>0</v>
      </c>
      <c r="C22" s="4">
        <v>0</v>
      </c>
      <c r="D22" s="4">
        <v>1</v>
      </c>
      <c r="E22" s="4">
        <v>30835619</v>
      </c>
      <c r="F22" s="4">
        <v>0</v>
      </c>
      <c r="G22" s="4" t="s">
        <v>44</v>
      </c>
      <c r="H22" s="4" t="s">
        <v>45</v>
      </c>
      <c r="I22" s="4"/>
      <c r="J22" s="4"/>
      <c r="K22" s="4">
        <v>222</v>
      </c>
      <c r="L22" s="4">
        <v>3</v>
      </c>
      <c r="M22" s="4">
        <v>3</v>
      </c>
      <c r="N22" s="4" t="s">
        <v>6</v>
      </c>
      <c r="O22" s="4">
        <v>2</v>
      </c>
      <c r="P22" s="4"/>
    </row>
    <row r="23" spans="1:19">
      <c r="A23" s="4">
        <v>50</v>
      </c>
      <c r="B23" s="4">
        <v>0</v>
      </c>
      <c r="C23" s="4">
        <v>0</v>
      </c>
      <c r="D23" s="4">
        <v>1</v>
      </c>
      <c r="E23" s="4">
        <v>225</v>
      </c>
      <c r="F23" s="4">
        <v>0</v>
      </c>
      <c r="G23" s="4" t="s">
        <v>46</v>
      </c>
      <c r="H23" s="4" t="s">
        <v>47</v>
      </c>
      <c r="I23" s="4"/>
      <c r="J23" s="4"/>
      <c r="K23" s="4">
        <v>225</v>
      </c>
      <c r="L23" s="4">
        <v>4</v>
      </c>
      <c r="M23" s="4">
        <v>3</v>
      </c>
      <c r="N23" s="4" t="s">
        <v>6</v>
      </c>
      <c r="O23" s="4">
        <v>2</v>
      </c>
      <c r="P23" s="4"/>
    </row>
    <row r="24" spans="1:19">
      <c r="A24" s="4">
        <v>50</v>
      </c>
      <c r="B24" s="4">
        <v>0</v>
      </c>
      <c r="C24" s="4">
        <v>0</v>
      </c>
      <c r="D24" s="4">
        <v>1</v>
      </c>
      <c r="E24" s="4">
        <v>226</v>
      </c>
      <c r="F24" s="4">
        <v>7534513</v>
      </c>
      <c r="G24" s="4" t="s">
        <v>48</v>
      </c>
      <c r="H24" s="4" t="s">
        <v>49</v>
      </c>
      <c r="I24" s="4"/>
      <c r="J24" s="4"/>
      <c r="K24" s="4">
        <v>226</v>
      </c>
      <c r="L24" s="4">
        <v>5</v>
      </c>
      <c r="M24" s="4">
        <v>3</v>
      </c>
      <c r="N24" s="4" t="s">
        <v>6</v>
      </c>
      <c r="O24" s="4">
        <v>2</v>
      </c>
      <c r="P24" s="4"/>
    </row>
    <row r="25" spans="1:19">
      <c r="A25" s="4">
        <v>50</v>
      </c>
      <c r="B25" s="4">
        <v>0</v>
      </c>
      <c r="C25" s="4">
        <v>0</v>
      </c>
      <c r="D25" s="4">
        <v>1</v>
      </c>
      <c r="E25" s="4">
        <v>227</v>
      </c>
      <c r="F25" s="4">
        <v>0</v>
      </c>
      <c r="G25" s="4" t="s">
        <v>50</v>
      </c>
      <c r="H25" s="4" t="s">
        <v>51</v>
      </c>
      <c r="I25" s="4"/>
      <c r="J25" s="4"/>
      <c r="K25" s="4">
        <v>227</v>
      </c>
      <c r="L25" s="4">
        <v>6</v>
      </c>
      <c r="M25" s="4">
        <v>3</v>
      </c>
      <c r="N25" s="4" t="s">
        <v>6</v>
      </c>
      <c r="O25" s="4">
        <v>2</v>
      </c>
      <c r="P25" s="4"/>
    </row>
    <row r="26" spans="1:19">
      <c r="A26" s="4">
        <v>50</v>
      </c>
      <c r="B26" s="4">
        <v>0</v>
      </c>
      <c r="C26" s="4">
        <v>0</v>
      </c>
      <c r="D26" s="4">
        <v>1</v>
      </c>
      <c r="E26" s="4">
        <v>228</v>
      </c>
      <c r="F26" s="4">
        <v>7534513</v>
      </c>
      <c r="G26" s="4" t="s">
        <v>52</v>
      </c>
      <c r="H26" s="4" t="s">
        <v>53</v>
      </c>
      <c r="I26" s="4"/>
      <c r="J26" s="4"/>
      <c r="K26" s="4">
        <v>228</v>
      </c>
      <c r="L26" s="4">
        <v>7</v>
      </c>
      <c r="M26" s="4">
        <v>3</v>
      </c>
      <c r="N26" s="4" t="s">
        <v>6</v>
      </c>
      <c r="O26" s="4">
        <v>2</v>
      </c>
      <c r="P26" s="4"/>
    </row>
    <row r="27" spans="1:19">
      <c r="A27" s="4">
        <v>50</v>
      </c>
      <c r="B27" s="4">
        <v>0</v>
      </c>
      <c r="C27" s="4">
        <v>0</v>
      </c>
      <c r="D27" s="4">
        <v>1</v>
      </c>
      <c r="E27" s="4">
        <v>216</v>
      </c>
      <c r="F27" s="4">
        <v>0</v>
      </c>
      <c r="G27" s="4" t="s">
        <v>54</v>
      </c>
      <c r="H27" s="4" t="s">
        <v>55</v>
      </c>
      <c r="I27" s="4"/>
      <c r="J27" s="4"/>
      <c r="K27" s="4">
        <v>216</v>
      </c>
      <c r="L27" s="4">
        <v>8</v>
      </c>
      <c r="M27" s="4">
        <v>3</v>
      </c>
      <c r="N27" s="4" t="s">
        <v>6</v>
      </c>
      <c r="O27" s="4">
        <v>2</v>
      </c>
      <c r="P27" s="4"/>
    </row>
    <row r="28" spans="1:19">
      <c r="A28" s="4">
        <v>50</v>
      </c>
      <c r="B28" s="4">
        <v>0</v>
      </c>
      <c r="C28" s="4">
        <v>0</v>
      </c>
      <c r="D28" s="4">
        <v>1</v>
      </c>
      <c r="E28" s="4">
        <v>223</v>
      </c>
      <c r="F28" s="4">
        <v>0</v>
      </c>
      <c r="G28" s="4" t="s">
        <v>56</v>
      </c>
      <c r="H28" s="4" t="s">
        <v>57</v>
      </c>
      <c r="I28" s="4"/>
      <c r="J28" s="4"/>
      <c r="K28" s="4">
        <v>223</v>
      </c>
      <c r="L28" s="4">
        <v>9</v>
      </c>
      <c r="M28" s="4">
        <v>3</v>
      </c>
      <c r="N28" s="4" t="s">
        <v>6</v>
      </c>
      <c r="O28" s="4">
        <v>2</v>
      </c>
      <c r="P28" s="4"/>
    </row>
    <row r="29" spans="1:19">
      <c r="A29" s="4">
        <v>50</v>
      </c>
      <c r="B29" s="4">
        <v>0</v>
      </c>
      <c r="C29" s="4">
        <v>0</v>
      </c>
      <c r="D29" s="4">
        <v>1</v>
      </c>
      <c r="E29" s="4">
        <v>229</v>
      </c>
      <c r="F29" s="4">
        <v>0</v>
      </c>
      <c r="G29" s="4" t="s">
        <v>58</v>
      </c>
      <c r="H29" s="4" t="s">
        <v>59</v>
      </c>
      <c r="I29" s="4"/>
      <c r="J29" s="4"/>
      <c r="K29" s="4">
        <v>229</v>
      </c>
      <c r="L29" s="4">
        <v>10</v>
      </c>
      <c r="M29" s="4">
        <v>3</v>
      </c>
      <c r="N29" s="4" t="s">
        <v>6</v>
      </c>
      <c r="O29" s="4">
        <v>2</v>
      </c>
      <c r="P29" s="4"/>
    </row>
    <row r="30" spans="1:19">
      <c r="A30" s="4">
        <v>50</v>
      </c>
      <c r="B30" s="4">
        <v>1</v>
      </c>
      <c r="C30" s="4">
        <v>0</v>
      </c>
      <c r="D30" s="4">
        <v>1</v>
      </c>
      <c r="E30" s="4">
        <v>203</v>
      </c>
      <c r="F30" s="4">
        <v>197695</v>
      </c>
      <c r="G30" s="4" t="s">
        <v>60</v>
      </c>
      <c r="H30" s="4" t="s">
        <v>61</v>
      </c>
      <c r="I30" s="4"/>
      <c r="J30" s="4"/>
      <c r="K30" s="4">
        <v>203</v>
      </c>
      <c r="L30" s="4">
        <v>11</v>
      </c>
      <c r="M30" s="4">
        <v>0</v>
      </c>
      <c r="N30" s="4" t="s">
        <v>6</v>
      </c>
      <c r="O30" s="4">
        <v>2</v>
      </c>
      <c r="P30" s="4"/>
    </row>
    <row r="31" spans="1:19">
      <c r="A31" s="4">
        <v>50</v>
      </c>
      <c r="B31" s="4">
        <v>0</v>
      </c>
      <c r="C31" s="4">
        <v>0</v>
      </c>
      <c r="D31" s="4">
        <v>1</v>
      </c>
      <c r="E31" s="4">
        <v>231</v>
      </c>
      <c r="F31" s="4">
        <v>0</v>
      </c>
      <c r="G31" s="4" t="s">
        <v>62</v>
      </c>
      <c r="H31" s="4" t="s">
        <v>63</v>
      </c>
      <c r="I31" s="4"/>
      <c r="J31" s="4"/>
      <c r="K31" s="4">
        <v>231</v>
      </c>
      <c r="L31" s="4">
        <v>12</v>
      </c>
      <c r="M31" s="4">
        <v>3</v>
      </c>
      <c r="N31" s="4" t="s">
        <v>6</v>
      </c>
      <c r="O31" s="4">
        <v>2</v>
      </c>
      <c r="P31" s="4"/>
    </row>
    <row r="32" spans="1:19">
      <c r="A32" s="4">
        <v>50</v>
      </c>
      <c r="B32" s="4">
        <v>1</v>
      </c>
      <c r="C32" s="4">
        <v>0</v>
      </c>
      <c r="D32" s="4">
        <v>1</v>
      </c>
      <c r="E32" s="4">
        <v>204</v>
      </c>
      <c r="F32" s="4">
        <v>83270</v>
      </c>
      <c r="G32" s="4" t="s">
        <v>64</v>
      </c>
      <c r="H32" s="4" t="s">
        <v>65</v>
      </c>
      <c r="I32" s="4"/>
      <c r="J32" s="4"/>
      <c r="K32" s="4">
        <v>204</v>
      </c>
      <c r="L32" s="4">
        <v>13</v>
      </c>
      <c r="M32" s="4">
        <v>0</v>
      </c>
      <c r="N32" s="4" t="s">
        <v>6</v>
      </c>
      <c r="O32" s="4">
        <v>2</v>
      </c>
      <c r="P32" s="4"/>
    </row>
    <row r="33" spans="1:16">
      <c r="A33" s="4">
        <v>50</v>
      </c>
      <c r="B33" s="4">
        <v>1</v>
      </c>
      <c r="C33" s="4">
        <v>0</v>
      </c>
      <c r="D33" s="4">
        <v>1</v>
      </c>
      <c r="E33" s="4">
        <v>205</v>
      </c>
      <c r="F33" s="4">
        <v>1792859</v>
      </c>
      <c r="G33" s="4" t="s">
        <v>66</v>
      </c>
      <c r="H33" s="4" t="s">
        <v>67</v>
      </c>
      <c r="I33" s="4"/>
      <c r="J33" s="4"/>
      <c r="K33" s="4">
        <v>205</v>
      </c>
      <c r="L33" s="4">
        <v>14</v>
      </c>
      <c r="M33" s="4">
        <v>0</v>
      </c>
      <c r="N33" s="4" t="s">
        <v>6</v>
      </c>
      <c r="O33" s="4">
        <v>2</v>
      </c>
      <c r="P33" s="4"/>
    </row>
    <row r="34" spans="1:16">
      <c r="A34" s="4">
        <v>50</v>
      </c>
      <c r="B34" s="4">
        <v>0</v>
      </c>
      <c r="C34" s="4">
        <v>0</v>
      </c>
      <c r="D34" s="4">
        <v>1</v>
      </c>
      <c r="E34" s="4">
        <v>232</v>
      </c>
      <c r="F34" s="4">
        <v>0</v>
      </c>
      <c r="G34" s="4" t="s">
        <v>68</v>
      </c>
      <c r="H34" s="4" t="s">
        <v>69</v>
      </c>
      <c r="I34" s="4"/>
      <c r="J34" s="4"/>
      <c r="K34" s="4">
        <v>232</v>
      </c>
      <c r="L34" s="4">
        <v>15</v>
      </c>
      <c r="M34" s="4">
        <v>3</v>
      </c>
      <c r="N34" s="4" t="s">
        <v>6</v>
      </c>
      <c r="O34" s="4">
        <v>2</v>
      </c>
      <c r="P34" s="4"/>
    </row>
    <row r="35" spans="1:16">
      <c r="A35" s="4">
        <v>50</v>
      </c>
      <c r="B35" s="4">
        <v>0</v>
      </c>
      <c r="C35" s="4">
        <v>0</v>
      </c>
      <c r="D35" s="4">
        <v>1</v>
      </c>
      <c r="E35" s="4">
        <v>214</v>
      </c>
      <c r="F35" s="4">
        <v>12206349</v>
      </c>
      <c r="G35" s="4" t="s">
        <v>70</v>
      </c>
      <c r="H35" s="4" t="s">
        <v>71</v>
      </c>
      <c r="I35" s="4"/>
      <c r="J35" s="4"/>
      <c r="K35" s="4">
        <v>214</v>
      </c>
      <c r="L35" s="4">
        <v>16</v>
      </c>
      <c r="M35" s="4">
        <v>3</v>
      </c>
      <c r="N35" s="4" t="s">
        <v>6</v>
      </c>
      <c r="O35" s="4">
        <v>2</v>
      </c>
      <c r="P35" s="4"/>
    </row>
    <row r="36" spans="1:16">
      <c r="A36" s="4">
        <v>50</v>
      </c>
      <c r="B36" s="4">
        <v>0</v>
      </c>
      <c r="C36" s="4">
        <v>0</v>
      </c>
      <c r="D36" s="4">
        <v>1</v>
      </c>
      <c r="E36" s="4">
        <v>215</v>
      </c>
      <c r="F36" s="4">
        <v>212022</v>
      </c>
      <c r="G36" s="4" t="s">
        <v>72</v>
      </c>
      <c r="H36" s="4" t="s">
        <v>73</v>
      </c>
      <c r="I36" s="4"/>
      <c r="J36" s="4"/>
      <c r="K36" s="4">
        <v>215</v>
      </c>
      <c r="L36" s="4">
        <v>17</v>
      </c>
      <c r="M36" s="4">
        <v>3</v>
      </c>
      <c r="N36" s="4" t="s">
        <v>6</v>
      </c>
      <c r="O36" s="4">
        <v>2</v>
      </c>
      <c r="P36" s="4"/>
    </row>
    <row r="37" spans="1:16">
      <c r="A37" s="4">
        <v>50</v>
      </c>
      <c r="B37" s="4">
        <v>0</v>
      </c>
      <c r="C37" s="4">
        <v>0</v>
      </c>
      <c r="D37" s="4">
        <v>1</v>
      </c>
      <c r="E37" s="4">
        <v>217</v>
      </c>
      <c r="F37" s="4">
        <v>0</v>
      </c>
      <c r="G37" s="4" t="s">
        <v>74</v>
      </c>
      <c r="H37" s="4" t="s">
        <v>75</v>
      </c>
      <c r="I37" s="4"/>
      <c r="J37" s="4"/>
      <c r="K37" s="4">
        <v>217</v>
      </c>
      <c r="L37" s="4">
        <v>18</v>
      </c>
      <c r="M37" s="4">
        <v>3</v>
      </c>
      <c r="N37" s="4" t="s">
        <v>6</v>
      </c>
      <c r="O37" s="4">
        <v>2</v>
      </c>
      <c r="P37" s="4"/>
    </row>
    <row r="38" spans="1:16">
      <c r="A38" s="4">
        <v>50</v>
      </c>
      <c r="B38" s="4">
        <v>0</v>
      </c>
      <c r="C38" s="4">
        <v>0</v>
      </c>
      <c r="D38" s="4">
        <v>1</v>
      </c>
      <c r="E38" s="4">
        <v>230</v>
      </c>
      <c r="F38" s="4">
        <v>0</v>
      </c>
      <c r="G38" s="4" t="s">
        <v>76</v>
      </c>
      <c r="H38" s="4" t="s">
        <v>77</v>
      </c>
      <c r="I38" s="4"/>
      <c r="J38" s="4"/>
      <c r="K38" s="4">
        <v>230</v>
      </c>
      <c r="L38" s="4">
        <v>19</v>
      </c>
      <c r="M38" s="4">
        <v>3</v>
      </c>
      <c r="N38" s="4" t="s">
        <v>6</v>
      </c>
      <c r="O38" s="4">
        <v>2</v>
      </c>
      <c r="P38" s="4"/>
    </row>
    <row r="39" spans="1:16">
      <c r="A39" s="4">
        <v>50</v>
      </c>
      <c r="B39" s="4">
        <v>0</v>
      </c>
      <c r="C39" s="4">
        <v>0</v>
      </c>
      <c r="D39" s="4">
        <v>1</v>
      </c>
      <c r="E39" s="4">
        <v>206</v>
      </c>
      <c r="F39" s="4">
        <v>0</v>
      </c>
      <c r="G39" s="4" t="s">
        <v>78</v>
      </c>
      <c r="H39" s="4" t="s">
        <v>79</v>
      </c>
      <c r="I39" s="4"/>
      <c r="J39" s="4"/>
      <c r="K39" s="4">
        <v>206</v>
      </c>
      <c r="L39" s="4">
        <v>20</v>
      </c>
      <c r="M39" s="4">
        <v>3</v>
      </c>
      <c r="N39" s="4" t="s">
        <v>6</v>
      </c>
      <c r="O39" s="4">
        <v>2</v>
      </c>
      <c r="P39" s="4"/>
    </row>
    <row r="40" spans="1:16">
      <c r="A40" s="4">
        <v>50</v>
      </c>
      <c r="B40" s="4">
        <v>0</v>
      </c>
      <c r="C40" s="4">
        <v>0</v>
      </c>
      <c r="D40" s="4">
        <v>1</v>
      </c>
      <c r="E40" s="4">
        <v>207</v>
      </c>
      <c r="F40" s="4">
        <v>8541.0682726100022</v>
      </c>
      <c r="G40" s="4" t="s">
        <v>80</v>
      </c>
      <c r="H40" s="4" t="s">
        <v>81</v>
      </c>
      <c r="I40" s="4"/>
      <c r="J40" s="4"/>
      <c r="K40" s="4">
        <v>207</v>
      </c>
      <c r="L40" s="4">
        <v>21</v>
      </c>
      <c r="M40" s="4">
        <v>3</v>
      </c>
      <c r="N40" s="4" t="s">
        <v>6</v>
      </c>
      <c r="O40" s="4">
        <v>-1</v>
      </c>
      <c r="P40" s="4"/>
    </row>
    <row r="41" spans="1:16">
      <c r="A41" s="4">
        <v>50</v>
      </c>
      <c r="B41" s="4">
        <v>0</v>
      </c>
      <c r="C41" s="4">
        <v>0</v>
      </c>
      <c r="D41" s="4">
        <v>1</v>
      </c>
      <c r="E41" s="4">
        <v>208</v>
      </c>
      <c r="F41" s="4">
        <v>286.20145187500015</v>
      </c>
      <c r="G41" s="4" t="s">
        <v>82</v>
      </c>
      <c r="H41" s="4" t="s">
        <v>83</v>
      </c>
      <c r="I41" s="4"/>
      <c r="J41" s="4"/>
      <c r="K41" s="4">
        <v>208</v>
      </c>
      <c r="L41" s="4">
        <v>22</v>
      </c>
      <c r="M41" s="4">
        <v>3</v>
      </c>
      <c r="N41" s="4" t="s">
        <v>6</v>
      </c>
      <c r="O41" s="4">
        <v>-1</v>
      </c>
      <c r="P41" s="4"/>
    </row>
    <row r="42" spans="1:16">
      <c r="A42" s="4">
        <v>50</v>
      </c>
      <c r="B42" s="4">
        <v>0</v>
      </c>
      <c r="C42" s="4">
        <v>0</v>
      </c>
      <c r="D42" s="4">
        <v>1</v>
      </c>
      <c r="E42" s="4">
        <v>209</v>
      </c>
      <c r="F42" s="4">
        <v>0</v>
      </c>
      <c r="G42" s="4" t="s">
        <v>84</v>
      </c>
      <c r="H42" s="4" t="s">
        <v>85</v>
      </c>
      <c r="I42" s="4"/>
      <c r="J42" s="4"/>
      <c r="K42" s="4">
        <v>209</v>
      </c>
      <c r="L42" s="4">
        <v>23</v>
      </c>
      <c r="M42" s="4">
        <v>3</v>
      </c>
      <c r="N42" s="4" t="s">
        <v>6</v>
      </c>
      <c r="O42" s="4">
        <v>2</v>
      </c>
      <c r="P42" s="4"/>
    </row>
    <row r="43" spans="1:16">
      <c r="A43" s="4">
        <v>50</v>
      </c>
      <c r="B43" s="4">
        <v>0</v>
      </c>
      <c r="C43" s="4">
        <v>0</v>
      </c>
      <c r="D43" s="4">
        <v>1</v>
      </c>
      <c r="E43" s="4">
        <v>233</v>
      </c>
      <c r="F43" s="4">
        <v>29164</v>
      </c>
      <c r="G43" s="4" t="s">
        <v>86</v>
      </c>
      <c r="H43" s="4" t="s">
        <v>87</v>
      </c>
      <c r="I43" s="4"/>
      <c r="J43" s="4"/>
      <c r="K43" s="4">
        <v>233</v>
      </c>
      <c r="L43" s="4">
        <v>24</v>
      </c>
      <c r="M43" s="4">
        <v>3</v>
      </c>
      <c r="N43" s="4" t="s">
        <v>6</v>
      </c>
      <c r="O43" s="4">
        <v>2</v>
      </c>
      <c r="P43" s="4"/>
    </row>
    <row r="44" spans="1:16">
      <c r="A44" s="4">
        <v>50</v>
      </c>
      <c r="B44" s="4">
        <v>1</v>
      </c>
      <c r="C44" s="4">
        <v>0</v>
      </c>
      <c r="D44" s="4">
        <v>1</v>
      </c>
      <c r="E44" s="4">
        <v>210</v>
      </c>
      <c r="F44" s="4">
        <v>1830716</v>
      </c>
      <c r="G44" s="4" t="s">
        <v>88</v>
      </c>
      <c r="H44" s="4" t="s">
        <v>89</v>
      </c>
      <c r="I44" s="4"/>
      <c r="J44" s="4"/>
      <c r="K44" s="4">
        <v>210</v>
      </c>
      <c r="L44" s="4">
        <v>25</v>
      </c>
      <c r="M44" s="4">
        <v>0</v>
      </c>
      <c r="N44" s="4" t="s">
        <v>6</v>
      </c>
      <c r="O44" s="4">
        <v>2</v>
      </c>
      <c r="P44" s="4"/>
    </row>
    <row r="45" spans="1:16">
      <c r="A45" s="4">
        <v>50</v>
      </c>
      <c r="B45" s="4">
        <v>1</v>
      </c>
      <c r="C45" s="4">
        <v>0</v>
      </c>
      <c r="D45" s="4">
        <v>1</v>
      </c>
      <c r="E45" s="4">
        <v>211</v>
      </c>
      <c r="F45" s="4">
        <v>1033424</v>
      </c>
      <c r="G45" s="4" t="s">
        <v>90</v>
      </c>
      <c r="H45" s="4" t="s">
        <v>91</v>
      </c>
      <c r="I45" s="4"/>
      <c r="J45" s="4"/>
      <c r="K45" s="4">
        <v>211</v>
      </c>
      <c r="L45" s="4">
        <v>26</v>
      </c>
      <c r="M45" s="4">
        <v>0</v>
      </c>
      <c r="N45" s="4" t="s">
        <v>6</v>
      </c>
      <c r="O45" s="4">
        <v>2</v>
      </c>
      <c r="P45" s="4"/>
    </row>
    <row r="46" spans="1:16">
      <c r="A46" s="4">
        <v>50</v>
      </c>
      <c r="B46" s="4">
        <v>0</v>
      </c>
      <c r="C46" s="4">
        <v>0</v>
      </c>
      <c r="D46" s="4">
        <v>1</v>
      </c>
      <c r="E46" s="4">
        <v>224</v>
      </c>
      <c r="F46" s="4">
        <v>12418371</v>
      </c>
      <c r="G46" s="4" t="s">
        <v>92</v>
      </c>
      <c r="H46" s="4" t="s">
        <v>93</v>
      </c>
      <c r="I46" s="4"/>
      <c r="J46" s="4"/>
      <c r="K46" s="4">
        <v>224</v>
      </c>
      <c r="L46" s="4">
        <v>27</v>
      </c>
      <c r="M46" s="4">
        <v>3</v>
      </c>
      <c r="N46" s="4" t="s">
        <v>6</v>
      </c>
      <c r="O46" s="4">
        <v>2</v>
      </c>
      <c r="P46" s="4"/>
    </row>
    <row r="47" spans="1:16">
      <c r="A47" s="4">
        <v>50</v>
      </c>
      <c r="B47" s="4">
        <v>1</v>
      </c>
      <c r="C47" s="4">
        <v>0</v>
      </c>
      <c r="D47" s="4">
        <v>2</v>
      </c>
      <c r="E47" s="4">
        <v>0</v>
      </c>
      <c r="F47" s="4">
        <v>12418371</v>
      </c>
      <c r="G47" s="4" t="s">
        <v>19</v>
      </c>
      <c r="H47" s="4" t="s">
        <v>94</v>
      </c>
      <c r="I47" s="4"/>
      <c r="J47" s="4"/>
      <c r="K47" s="4">
        <v>212</v>
      </c>
      <c r="L47" s="4">
        <v>28</v>
      </c>
      <c r="M47" s="4">
        <v>0</v>
      </c>
      <c r="N47" s="4" t="s">
        <v>6</v>
      </c>
      <c r="O47" s="4">
        <v>2</v>
      </c>
      <c r="P47" s="4"/>
    </row>
    <row r="48" spans="1:16">
      <c r="A48" s="4">
        <v>50</v>
      </c>
      <c r="B48" s="4">
        <v>1</v>
      </c>
      <c r="C48" s="4">
        <v>0</v>
      </c>
      <c r="D48" s="4">
        <v>2</v>
      </c>
      <c r="E48" s="4">
        <v>0</v>
      </c>
      <c r="F48" s="4">
        <v>2483674</v>
      </c>
      <c r="G48" s="4" t="s">
        <v>31</v>
      </c>
      <c r="H48" s="4" t="s">
        <v>95</v>
      </c>
      <c r="I48" s="4"/>
      <c r="J48" s="4"/>
      <c r="K48" s="4">
        <v>212</v>
      </c>
      <c r="L48" s="4">
        <v>29</v>
      </c>
      <c r="M48" s="4">
        <v>0</v>
      </c>
      <c r="N48" s="4" t="s">
        <v>6</v>
      </c>
      <c r="O48" s="4">
        <v>2</v>
      </c>
      <c r="P48" s="4"/>
    </row>
    <row r="49" spans="1:40">
      <c r="A49" s="4">
        <v>50</v>
      </c>
      <c r="B49" s="4">
        <v>1</v>
      </c>
      <c r="C49" s="4">
        <v>0</v>
      </c>
      <c r="D49" s="4">
        <v>2</v>
      </c>
      <c r="E49" s="4">
        <v>213</v>
      </c>
      <c r="F49" s="4">
        <v>14902045</v>
      </c>
      <c r="G49" s="4" t="s">
        <v>96</v>
      </c>
      <c r="H49" s="4" t="s">
        <v>97</v>
      </c>
      <c r="I49" s="4"/>
      <c r="J49" s="4"/>
      <c r="K49" s="4">
        <v>212</v>
      </c>
      <c r="L49" s="4">
        <v>30</v>
      </c>
      <c r="M49" s="4">
        <v>0</v>
      </c>
      <c r="N49" s="4" t="s">
        <v>6</v>
      </c>
      <c r="O49" s="4">
        <v>2</v>
      </c>
      <c r="P49" s="4"/>
    </row>
    <row r="51" spans="1:40">
      <c r="A51">
        <v>-1</v>
      </c>
    </row>
    <row r="54" spans="1:40">
      <c r="A54" s="3">
        <v>75</v>
      </c>
      <c r="B54" s="3" t="s">
        <v>766</v>
      </c>
      <c r="C54" s="3">
        <v>2021</v>
      </c>
      <c r="D54" s="3">
        <v>2</v>
      </c>
      <c r="E54" s="3">
        <v>0</v>
      </c>
      <c r="F54" s="3"/>
      <c r="G54" s="3">
        <v>0</v>
      </c>
      <c r="H54" s="3">
        <v>1</v>
      </c>
      <c r="I54" s="3">
        <v>0</v>
      </c>
      <c r="J54" s="3">
        <v>1</v>
      </c>
      <c r="K54" s="3">
        <v>0</v>
      </c>
      <c r="L54" s="3">
        <v>0</v>
      </c>
      <c r="M54" s="3">
        <v>0</v>
      </c>
      <c r="N54" s="3">
        <v>31028412</v>
      </c>
      <c r="O54" s="3">
        <v>1</v>
      </c>
    </row>
    <row r="55" spans="1:40">
      <c r="A55" s="5">
        <v>3</v>
      </c>
      <c r="B55" s="5" t="s">
        <v>767</v>
      </c>
      <c r="C55" s="5">
        <v>1</v>
      </c>
      <c r="D55" s="5">
        <v>6.17</v>
      </c>
      <c r="E55" s="5">
        <v>7.64</v>
      </c>
      <c r="F55" s="5">
        <v>24.22</v>
      </c>
      <c r="G55" s="5">
        <v>24.22</v>
      </c>
      <c r="H55" s="5">
        <v>1</v>
      </c>
      <c r="I55" s="5">
        <v>1</v>
      </c>
      <c r="J55" s="5">
        <v>2</v>
      </c>
      <c r="K55" s="5">
        <v>1</v>
      </c>
      <c r="L55" s="5">
        <v>7.64</v>
      </c>
      <c r="M55" s="5">
        <v>1</v>
      </c>
      <c r="N55" s="5">
        <v>6.17</v>
      </c>
      <c r="O55" s="5">
        <v>1</v>
      </c>
      <c r="P55" s="5">
        <v>1</v>
      </c>
      <c r="Q55" s="5">
        <v>1</v>
      </c>
      <c r="R55" s="5">
        <v>7.64</v>
      </c>
      <c r="S55" s="5" t="s">
        <v>768</v>
      </c>
      <c r="T55" s="5" t="s">
        <v>6</v>
      </c>
      <c r="U55" s="5" t="s">
        <v>111</v>
      </c>
      <c r="V55" s="5" t="s">
        <v>111</v>
      </c>
      <c r="W55" s="5" t="s">
        <v>769</v>
      </c>
      <c r="X55" s="5" t="s">
        <v>769</v>
      </c>
      <c r="Y55" s="5" t="s">
        <v>6</v>
      </c>
      <c r="Z55" s="5" t="s">
        <v>6</v>
      </c>
      <c r="AA55" s="5" t="s">
        <v>6</v>
      </c>
      <c r="AB55" s="5" t="s">
        <v>111</v>
      </c>
      <c r="AC55" s="5" t="s">
        <v>6</v>
      </c>
      <c r="AD55" s="5" t="s">
        <v>111</v>
      </c>
      <c r="AE55" s="5" t="s">
        <v>6</v>
      </c>
      <c r="AF55" s="5" t="s">
        <v>6</v>
      </c>
      <c r="AG55" s="5" t="s">
        <v>6</v>
      </c>
      <c r="AH55" s="5" t="s">
        <v>111</v>
      </c>
      <c r="AI55" s="5"/>
      <c r="AJ55" s="5"/>
      <c r="AK55" s="5"/>
      <c r="AL55" s="5"/>
      <c r="AM55" s="5"/>
      <c r="AN55" s="5">
        <v>31028413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DC766"/>
  <sheetViews>
    <sheetView workbookViewId="0"/>
  </sheetViews>
  <sheetFormatPr defaultColWidth="9.109375" defaultRowHeight="13.2"/>
  <cols>
    <col min="1" max="256" width="9.109375" customWidth="1"/>
  </cols>
  <sheetData>
    <row r="1" spans="1:107">
      <c r="A1">
        <f>ROW(Source!A28)</f>
        <v>28</v>
      </c>
      <c r="B1">
        <v>31028412</v>
      </c>
      <c r="C1">
        <v>31028650</v>
      </c>
      <c r="D1">
        <v>29084589</v>
      </c>
      <c r="E1">
        <v>1</v>
      </c>
      <c r="F1">
        <v>1</v>
      </c>
      <c r="G1">
        <v>1</v>
      </c>
      <c r="H1">
        <v>1</v>
      </c>
      <c r="I1" t="s">
        <v>771</v>
      </c>
      <c r="J1" t="s">
        <v>6</v>
      </c>
      <c r="K1" t="s">
        <v>772</v>
      </c>
      <c r="L1">
        <v>1369</v>
      </c>
      <c r="N1">
        <v>1013</v>
      </c>
      <c r="O1" t="s">
        <v>773</v>
      </c>
      <c r="P1" t="s">
        <v>773</v>
      </c>
      <c r="Q1">
        <v>1</v>
      </c>
      <c r="W1">
        <v>0</v>
      </c>
      <c r="X1">
        <v>-1659096359</v>
      </c>
      <c r="Y1">
        <v>167.80799999999999</v>
      </c>
      <c r="AA1">
        <v>0</v>
      </c>
      <c r="AB1">
        <v>0</v>
      </c>
      <c r="AC1">
        <v>0</v>
      </c>
      <c r="AD1">
        <v>207.08</v>
      </c>
      <c r="AE1">
        <v>0</v>
      </c>
      <c r="AF1">
        <v>0</v>
      </c>
      <c r="AG1">
        <v>0</v>
      </c>
      <c r="AH1">
        <v>8.5500000000000007</v>
      </c>
      <c r="AI1">
        <v>1</v>
      </c>
      <c r="AJ1">
        <v>1</v>
      </c>
      <c r="AK1">
        <v>1</v>
      </c>
      <c r="AL1">
        <v>24.22</v>
      </c>
      <c r="AN1">
        <v>0</v>
      </c>
      <c r="AO1">
        <v>1</v>
      </c>
      <c r="AP1">
        <v>1</v>
      </c>
      <c r="AQ1">
        <v>0</v>
      </c>
      <c r="AR1">
        <v>0</v>
      </c>
      <c r="AS1" t="s">
        <v>6</v>
      </c>
      <c r="AT1">
        <v>182.4</v>
      </c>
      <c r="AU1" t="s">
        <v>25</v>
      </c>
      <c r="AV1">
        <v>1</v>
      </c>
      <c r="AW1">
        <v>2</v>
      </c>
      <c r="AX1">
        <v>31028668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Y1*Source!I28</f>
        <v>64.320806399999995</v>
      </c>
      <c r="CY1">
        <f>AD1</f>
        <v>207.08</v>
      </c>
      <c r="CZ1">
        <f>AH1</f>
        <v>8.5500000000000007</v>
      </c>
      <c r="DA1">
        <f>AL1</f>
        <v>24.22</v>
      </c>
      <c r="DB1">
        <f t="shared" ref="DB1:DB7" si="0">ROUND((ROUND(AT1*CZ1,2)*ROUND((0.8*1.15),7)),6)</f>
        <v>1434.7583999999999</v>
      </c>
      <c r="DC1">
        <f t="shared" ref="DC1:DC7" si="1">ROUND((ROUND(AT1*AG1,2)*ROUND((0.8*1.15),7)),6)</f>
        <v>0</v>
      </c>
    </row>
    <row r="2" spans="1:107">
      <c r="A2">
        <f>ROW(Source!A28)</f>
        <v>28</v>
      </c>
      <c r="B2">
        <v>31028412</v>
      </c>
      <c r="C2">
        <v>31028650</v>
      </c>
      <c r="D2">
        <v>29084573</v>
      </c>
      <c r="E2">
        <v>1</v>
      </c>
      <c r="F2">
        <v>1</v>
      </c>
      <c r="G2">
        <v>1</v>
      </c>
      <c r="H2">
        <v>1</v>
      </c>
      <c r="I2" t="s">
        <v>774</v>
      </c>
      <c r="J2" t="s">
        <v>6</v>
      </c>
      <c r="K2" t="s">
        <v>775</v>
      </c>
      <c r="L2">
        <v>608254</v>
      </c>
      <c r="N2">
        <v>1013</v>
      </c>
      <c r="O2" t="s">
        <v>776</v>
      </c>
      <c r="P2" t="s">
        <v>776</v>
      </c>
      <c r="Q2">
        <v>1</v>
      </c>
      <c r="W2">
        <v>0</v>
      </c>
      <c r="X2">
        <v>95408949</v>
      </c>
      <c r="Y2">
        <v>5.5476000000000001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1</v>
      </c>
      <c r="AJ2">
        <v>1</v>
      </c>
      <c r="AK2">
        <v>24.22</v>
      </c>
      <c r="AL2">
        <v>1</v>
      </c>
      <c r="AN2">
        <v>0</v>
      </c>
      <c r="AO2">
        <v>1</v>
      </c>
      <c r="AP2">
        <v>1</v>
      </c>
      <c r="AQ2">
        <v>0</v>
      </c>
      <c r="AR2">
        <v>0</v>
      </c>
      <c r="AS2" t="s">
        <v>6</v>
      </c>
      <c r="AT2">
        <v>6.03</v>
      </c>
      <c r="AU2" t="s">
        <v>25</v>
      </c>
      <c r="AV2">
        <v>2</v>
      </c>
      <c r="AW2">
        <v>2</v>
      </c>
      <c r="AX2">
        <v>31028669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Y2*Source!I28</f>
        <v>2.12639508</v>
      </c>
      <c r="CY2">
        <f>AD2</f>
        <v>0</v>
      </c>
      <c r="CZ2">
        <f>AH2</f>
        <v>0</v>
      </c>
      <c r="DA2">
        <f>AL2</f>
        <v>1</v>
      </c>
      <c r="DB2">
        <f t="shared" si="0"/>
        <v>0</v>
      </c>
      <c r="DC2">
        <f t="shared" si="1"/>
        <v>0</v>
      </c>
    </row>
    <row r="3" spans="1:107">
      <c r="A3">
        <f>ROW(Source!A28)</f>
        <v>28</v>
      </c>
      <c r="B3">
        <v>31028412</v>
      </c>
      <c r="C3">
        <v>31028650</v>
      </c>
      <c r="D3">
        <v>29147520</v>
      </c>
      <c r="E3">
        <v>1</v>
      </c>
      <c r="F3">
        <v>1</v>
      </c>
      <c r="G3">
        <v>1</v>
      </c>
      <c r="H3">
        <v>2</v>
      </c>
      <c r="I3" t="s">
        <v>777</v>
      </c>
      <c r="J3" t="s">
        <v>778</v>
      </c>
      <c r="K3" t="s">
        <v>779</v>
      </c>
      <c r="L3">
        <v>1368</v>
      </c>
      <c r="N3">
        <v>1011</v>
      </c>
      <c r="O3" t="s">
        <v>780</v>
      </c>
      <c r="P3" t="s">
        <v>780</v>
      </c>
      <c r="Q3">
        <v>1</v>
      </c>
      <c r="W3">
        <v>0</v>
      </c>
      <c r="X3">
        <v>-2048414082</v>
      </c>
      <c r="Y3">
        <v>4.1676000000000002</v>
      </c>
      <c r="AA3">
        <v>0</v>
      </c>
      <c r="AB3">
        <v>656.51</v>
      </c>
      <c r="AC3">
        <v>315.58999999999997</v>
      </c>
      <c r="AD3">
        <v>0</v>
      </c>
      <c r="AE3">
        <v>0</v>
      </c>
      <c r="AF3">
        <v>85.93</v>
      </c>
      <c r="AG3">
        <v>13.03</v>
      </c>
      <c r="AH3">
        <v>0</v>
      </c>
      <c r="AI3">
        <v>1</v>
      </c>
      <c r="AJ3">
        <v>7.64</v>
      </c>
      <c r="AK3">
        <v>24.22</v>
      </c>
      <c r="AL3">
        <v>1</v>
      </c>
      <c r="AN3">
        <v>0</v>
      </c>
      <c r="AO3">
        <v>1</v>
      </c>
      <c r="AP3">
        <v>1</v>
      </c>
      <c r="AQ3">
        <v>0</v>
      </c>
      <c r="AR3">
        <v>0</v>
      </c>
      <c r="AS3" t="s">
        <v>6</v>
      </c>
      <c r="AT3">
        <v>4.53</v>
      </c>
      <c r="AU3" t="s">
        <v>25</v>
      </c>
      <c r="AV3">
        <v>0</v>
      </c>
      <c r="AW3">
        <v>2</v>
      </c>
      <c r="AX3">
        <v>31028670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Y3*Source!I28</f>
        <v>1.5974410800000001</v>
      </c>
      <c r="CY3">
        <f>AB3</f>
        <v>656.51</v>
      </c>
      <c r="CZ3">
        <f>AF3</f>
        <v>85.93</v>
      </c>
      <c r="DA3">
        <f>AJ3</f>
        <v>7.64</v>
      </c>
      <c r="DB3">
        <f t="shared" si="0"/>
        <v>358.11919999999998</v>
      </c>
      <c r="DC3">
        <f t="shared" si="1"/>
        <v>54.307600000000001</v>
      </c>
    </row>
    <row r="4" spans="1:107">
      <c r="A4">
        <f>ROW(Source!A28)</f>
        <v>28</v>
      </c>
      <c r="B4">
        <v>31028412</v>
      </c>
      <c r="C4">
        <v>31028650</v>
      </c>
      <c r="D4">
        <v>29147601</v>
      </c>
      <c r="E4">
        <v>1</v>
      </c>
      <c r="F4">
        <v>1</v>
      </c>
      <c r="G4">
        <v>1</v>
      </c>
      <c r="H4">
        <v>2</v>
      </c>
      <c r="I4" t="s">
        <v>781</v>
      </c>
      <c r="J4" t="s">
        <v>782</v>
      </c>
      <c r="K4" t="s">
        <v>783</v>
      </c>
      <c r="L4">
        <v>1368</v>
      </c>
      <c r="N4">
        <v>1011</v>
      </c>
      <c r="O4" t="s">
        <v>780</v>
      </c>
      <c r="P4" t="s">
        <v>780</v>
      </c>
      <c r="Q4">
        <v>1</v>
      </c>
      <c r="W4">
        <v>0</v>
      </c>
      <c r="X4">
        <v>1170567961</v>
      </c>
      <c r="Y4">
        <v>1.3800000000000001</v>
      </c>
      <c r="AA4">
        <v>0</v>
      </c>
      <c r="AB4">
        <v>828.56</v>
      </c>
      <c r="AC4">
        <v>315.58999999999997</v>
      </c>
      <c r="AD4">
        <v>0</v>
      </c>
      <c r="AE4">
        <v>0</v>
      </c>
      <c r="AF4">
        <v>108.45</v>
      </c>
      <c r="AG4">
        <v>13.03</v>
      </c>
      <c r="AH4">
        <v>0</v>
      </c>
      <c r="AI4">
        <v>1</v>
      </c>
      <c r="AJ4">
        <v>7.64</v>
      </c>
      <c r="AK4">
        <v>24.22</v>
      </c>
      <c r="AL4">
        <v>1</v>
      </c>
      <c r="AN4">
        <v>0</v>
      </c>
      <c r="AO4">
        <v>1</v>
      </c>
      <c r="AP4">
        <v>1</v>
      </c>
      <c r="AQ4">
        <v>0</v>
      </c>
      <c r="AR4">
        <v>0</v>
      </c>
      <c r="AS4" t="s">
        <v>6</v>
      </c>
      <c r="AT4">
        <v>1.5</v>
      </c>
      <c r="AU4" t="s">
        <v>25</v>
      </c>
      <c r="AV4">
        <v>0</v>
      </c>
      <c r="AW4">
        <v>2</v>
      </c>
      <c r="AX4">
        <v>31028671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Y4*Source!I28</f>
        <v>0.52895400000000004</v>
      </c>
      <c r="CY4">
        <f>AB4</f>
        <v>828.56</v>
      </c>
      <c r="CZ4">
        <f>AF4</f>
        <v>108.45</v>
      </c>
      <c r="DA4">
        <f>AJ4</f>
        <v>7.64</v>
      </c>
      <c r="DB4">
        <f t="shared" si="0"/>
        <v>149.66560000000001</v>
      </c>
      <c r="DC4">
        <f t="shared" si="1"/>
        <v>17.986000000000001</v>
      </c>
    </row>
    <row r="5" spans="1:107">
      <c r="A5">
        <f>ROW(Source!A28)</f>
        <v>28</v>
      </c>
      <c r="B5">
        <v>31028412</v>
      </c>
      <c r="C5">
        <v>31028650</v>
      </c>
      <c r="D5">
        <v>29148219</v>
      </c>
      <c r="E5">
        <v>1</v>
      </c>
      <c r="F5">
        <v>1</v>
      </c>
      <c r="G5">
        <v>1</v>
      </c>
      <c r="H5">
        <v>2</v>
      </c>
      <c r="I5" t="s">
        <v>784</v>
      </c>
      <c r="J5" t="s">
        <v>785</v>
      </c>
      <c r="K5" t="s">
        <v>786</v>
      </c>
      <c r="L5">
        <v>1368</v>
      </c>
      <c r="N5">
        <v>1011</v>
      </c>
      <c r="O5" t="s">
        <v>780</v>
      </c>
      <c r="P5" t="s">
        <v>780</v>
      </c>
      <c r="Q5">
        <v>1</v>
      </c>
      <c r="W5">
        <v>0</v>
      </c>
      <c r="X5">
        <v>-1347779909</v>
      </c>
      <c r="Y5">
        <v>3.3947999999999996</v>
      </c>
      <c r="AA5">
        <v>0</v>
      </c>
      <c r="AB5">
        <v>229.2</v>
      </c>
      <c r="AC5">
        <v>0</v>
      </c>
      <c r="AD5">
        <v>0</v>
      </c>
      <c r="AE5">
        <v>0</v>
      </c>
      <c r="AF5">
        <v>30</v>
      </c>
      <c r="AG5">
        <v>0</v>
      </c>
      <c r="AH5">
        <v>0</v>
      </c>
      <c r="AI5">
        <v>1</v>
      </c>
      <c r="AJ5">
        <v>7.64</v>
      </c>
      <c r="AK5">
        <v>24.22</v>
      </c>
      <c r="AL5">
        <v>1</v>
      </c>
      <c r="AN5">
        <v>0</v>
      </c>
      <c r="AO5">
        <v>1</v>
      </c>
      <c r="AP5">
        <v>1</v>
      </c>
      <c r="AQ5">
        <v>0</v>
      </c>
      <c r="AR5">
        <v>0</v>
      </c>
      <c r="AS5" t="s">
        <v>6</v>
      </c>
      <c r="AT5">
        <v>3.69</v>
      </c>
      <c r="AU5" t="s">
        <v>25</v>
      </c>
      <c r="AV5">
        <v>0</v>
      </c>
      <c r="AW5">
        <v>2</v>
      </c>
      <c r="AX5">
        <v>31028672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Y5*Source!I28</f>
        <v>1.3012268399999998</v>
      </c>
      <c r="CY5">
        <f>AB5</f>
        <v>229.2</v>
      </c>
      <c r="CZ5">
        <f>AF5</f>
        <v>30</v>
      </c>
      <c r="DA5">
        <f>AJ5</f>
        <v>7.64</v>
      </c>
      <c r="DB5">
        <f t="shared" si="0"/>
        <v>101.84399999999999</v>
      </c>
      <c r="DC5">
        <f t="shared" si="1"/>
        <v>0</v>
      </c>
    </row>
    <row r="6" spans="1:107">
      <c r="A6">
        <f>ROW(Source!A28)</f>
        <v>28</v>
      </c>
      <c r="B6">
        <v>31028412</v>
      </c>
      <c r="C6">
        <v>31028650</v>
      </c>
      <c r="D6">
        <v>29148425</v>
      </c>
      <c r="E6">
        <v>1</v>
      </c>
      <c r="F6">
        <v>1</v>
      </c>
      <c r="G6">
        <v>1</v>
      </c>
      <c r="H6">
        <v>2</v>
      </c>
      <c r="I6" t="s">
        <v>787</v>
      </c>
      <c r="J6" t="s">
        <v>788</v>
      </c>
      <c r="K6" t="s">
        <v>789</v>
      </c>
      <c r="L6">
        <v>1368</v>
      </c>
      <c r="N6">
        <v>1011</v>
      </c>
      <c r="O6" t="s">
        <v>780</v>
      </c>
      <c r="P6" t="s">
        <v>780</v>
      </c>
      <c r="Q6">
        <v>1</v>
      </c>
      <c r="W6">
        <v>0</v>
      </c>
      <c r="X6">
        <v>-422547563</v>
      </c>
      <c r="Y6">
        <v>6.0720000000000001</v>
      </c>
      <c r="AA6">
        <v>0</v>
      </c>
      <c r="AB6">
        <v>22.92</v>
      </c>
      <c r="AC6">
        <v>0</v>
      </c>
      <c r="AD6">
        <v>0</v>
      </c>
      <c r="AE6">
        <v>0</v>
      </c>
      <c r="AF6">
        <v>3</v>
      </c>
      <c r="AG6">
        <v>0</v>
      </c>
      <c r="AH6">
        <v>0</v>
      </c>
      <c r="AI6">
        <v>1</v>
      </c>
      <c r="AJ6">
        <v>7.64</v>
      </c>
      <c r="AK6">
        <v>24.22</v>
      </c>
      <c r="AL6">
        <v>1</v>
      </c>
      <c r="AN6">
        <v>0</v>
      </c>
      <c r="AO6">
        <v>1</v>
      </c>
      <c r="AP6">
        <v>1</v>
      </c>
      <c r="AQ6">
        <v>0</v>
      </c>
      <c r="AR6">
        <v>0</v>
      </c>
      <c r="AS6" t="s">
        <v>6</v>
      </c>
      <c r="AT6">
        <v>6.6</v>
      </c>
      <c r="AU6" t="s">
        <v>25</v>
      </c>
      <c r="AV6">
        <v>0</v>
      </c>
      <c r="AW6">
        <v>2</v>
      </c>
      <c r="AX6">
        <v>31028673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Y6*Source!I28</f>
        <v>2.3273975999999998</v>
      </c>
      <c r="CY6">
        <f>AB6</f>
        <v>22.92</v>
      </c>
      <c r="CZ6">
        <f>AF6</f>
        <v>3</v>
      </c>
      <c r="DA6">
        <f>AJ6</f>
        <v>7.64</v>
      </c>
      <c r="DB6">
        <f t="shared" si="0"/>
        <v>18.216000000000001</v>
      </c>
      <c r="DC6">
        <f t="shared" si="1"/>
        <v>0</v>
      </c>
    </row>
    <row r="7" spans="1:107">
      <c r="A7">
        <f>ROW(Source!A28)</f>
        <v>28</v>
      </c>
      <c r="B7">
        <v>31028412</v>
      </c>
      <c r="C7">
        <v>31028650</v>
      </c>
      <c r="D7">
        <v>29149520</v>
      </c>
      <c r="E7">
        <v>1</v>
      </c>
      <c r="F7">
        <v>1</v>
      </c>
      <c r="G7">
        <v>1</v>
      </c>
      <c r="H7">
        <v>2</v>
      </c>
      <c r="I7" t="s">
        <v>790</v>
      </c>
      <c r="J7" t="s">
        <v>791</v>
      </c>
      <c r="K7" t="s">
        <v>792</v>
      </c>
      <c r="L7">
        <v>1368</v>
      </c>
      <c r="N7">
        <v>1011</v>
      </c>
      <c r="O7" t="s">
        <v>780</v>
      </c>
      <c r="P7" t="s">
        <v>780</v>
      </c>
      <c r="Q7">
        <v>1</v>
      </c>
      <c r="W7">
        <v>0</v>
      </c>
      <c r="X7">
        <v>-1931461795</v>
      </c>
      <c r="Y7">
        <v>2.0516000000000001</v>
      </c>
      <c r="AA7">
        <v>0</v>
      </c>
      <c r="AB7">
        <v>699.98</v>
      </c>
      <c r="AC7">
        <v>0</v>
      </c>
      <c r="AD7">
        <v>0</v>
      </c>
      <c r="AE7">
        <v>0</v>
      </c>
      <c r="AF7">
        <v>91.62</v>
      </c>
      <c r="AG7">
        <v>0</v>
      </c>
      <c r="AH7">
        <v>0</v>
      </c>
      <c r="AI7">
        <v>1</v>
      </c>
      <c r="AJ7">
        <v>7.64</v>
      </c>
      <c r="AK7">
        <v>24.22</v>
      </c>
      <c r="AL7">
        <v>1</v>
      </c>
      <c r="AN7">
        <v>0</v>
      </c>
      <c r="AO7">
        <v>1</v>
      </c>
      <c r="AP7">
        <v>1</v>
      </c>
      <c r="AQ7">
        <v>0</v>
      </c>
      <c r="AR7">
        <v>0</v>
      </c>
      <c r="AS7" t="s">
        <v>6</v>
      </c>
      <c r="AT7">
        <v>2.23</v>
      </c>
      <c r="AU7" t="s">
        <v>25</v>
      </c>
      <c r="AV7">
        <v>0</v>
      </c>
      <c r="AW7">
        <v>2</v>
      </c>
      <c r="AX7">
        <v>31028674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Y7*Source!I28</f>
        <v>0.78637827999999999</v>
      </c>
      <c r="CY7">
        <f>AB7</f>
        <v>699.98</v>
      </c>
      <c r="CZ7">
        <f>AF7</f>
        <v>91.62</v>
      </c>
      <c r="DA7">
        <f>AJ7</f>
        <v>7.64</v>
      </c>
      <c r="DB7">
        <f t="shared" si="0"/>
        <v>187.96520000000001</v>
      </c>
      <c r="DC7">
        <f t="shared" si="1"/>
        <v>0</v>
      </c>
    </row>
    <row r="8" spans="1:107">
      <c r="A8">
        <f>ROW(Source!A28)</f>
        <v>28</v>
      </c>
      <c r="B8">
        <v>31028412</v>
      </c>
      <c r="C8">
        <v>31028650</v>
      </c>
      <c r="D8">
        <v>29150561</v>
      </c>
      <c r="E8">
        <v>1</v>
      </c>
      <c r="F8">
        <v>1</v>
      </c>
      <c r="G8">
        <v>1</v>
      </c>
      <c r="H8">
        <v>3</v>
      </c>
      <c r="I8" t="s">
        <v>793</v>
      </c>
      <c r="J8" t="s">
        <v>794</v>
      </c>
      <c r="K8" t="s">
        <v>795</v>
      </c>
      <c r="L8">
        <v>1348</v>
      </c>
      <c r="N8">
        <v>1009</v>
      </c>
      <c r="O8" t="s">
        <v>137</v>
      </c>
      <c r="P8" t="s">
        <v>137</v>
      </c>
      <c r="Q8">
        <v>1000</v>
      </c>
      <c r="W8">
        <v>0</v>
      </c>
      <c r="X8">
        <v>-592936270</v>
      </c>
      <c r="Y8">
        <v>0</v>
      </c>
      <c r="AA8">
        <v>52235.839999999997</v>
      </c>
      <c r="AB8">
        <v>0</v>
      </c>
      <c r="AC8">
        <v>0</v>
      </c>
      <c r="AD8">
        <v>0</v>
      </c>
      <c r="AE8">
        <v>8466.1</v>
      </c>
      <c r="AF8">
        <v>0</v>
      </c>
      <c r="AG8">
        <v>0</v>
      </c>
      <c r="AH8">
        <v>0</v>
      </c>
      <c r="AI8">
        <v>6.17</v>
      </c>
      <c r="AJ8">
        <v>1</v>
      </c>
      <c r="AK8">
        <v>1</v>
      </c>
      <c r="AL8">
        <v>1</v>
      </c>
      <c r="AN8">
        <v>0</v>
      </c>
      <c r="AO8">
        <v>1</v>
      </c>
      <c r="AP8">
        <v>1</v>
      </c>
      <c r="AQ8">
        <v>0</v>
      </c>
      <c r="AR8">
        <v>0</v>
      </c>
      <c r="AS8" t="s">
        <v>6</v>
      </c>
      <c r="AT8">
        <v>2.8E-3</v>
      </c>
      <c r="AU8" t="s">
        <v>24</v>
      </c>
      <c r="AV8">
        <v>0</v>
      </c>
      <c r="AW8">
        <v>2</v>
      </c>
      <c r="AX8">
        <v>31028675</v>
      </c>
      <c r="AY8">
        <v>1</v>
      </c>
      <c r="AZ8">
        <v>0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Y8*Source!I28</f>
        <v>0</v>
      </c>
      <c r="CY8">
        <f t="shared" ref="CY8:CY17" si="2">AA8</f>
        <v>52235.839999999997</v>
      </c>
      <c r="CZ8">
        <f t="shared" ref="CZ8:CZ17" si="3">AE8</f>
        <v>8466.1</v>
      </c>
      <c r="DA8">
        <f t="shared" ref="DA8:DA17" si="4">AI8</f>
        <v>6.17</v>
      </c>
      <c r="DB8">
        <f t="shared" ref="DB8:DB17" si="5">ROUND((ROUND(AT8*CZ8,2)*ROUND(0,7)),6)</f>
        <v>0</v>
      </c>
      <c r="DC8">
        <f t="shared" ref="DC8:DC17" si="6">ROUND((ROUND(AT8*AG8,2)*ROUND(0,7)),6)</f>
        <v>0</v>
      </c>
    </row>
    <row r="9" spans="1:107">
      <c r="A9">
        <f>ROW(Source!A28)</f>
        <v>28</v>
      </c>
      <c r="B9">
        <v>31028412</v>
      </c>
      <c r="C9">
        <v>31028650</v>
      </c>
      <c r="D9">
        <v>29151759</v>
      </c>
      <c r="E9">
        <v>1</v>
      </c>
      <c r="F9">
        <v>1</v>
      </c>
      <c r="G9">
        <v>1</v>
      </c>
      <c r="H9">
        <v>3</v>
      </c>
      <c r="I9" t="s">
        <v>796</v>
      </c>
      <c r="J9" t="s">
        <v>797</v>
      </c>
      <c r="K9" t="s">
        <v>798</v>
      </c>
      <c r="L9">
        <v>1348</v>
      </c>
      <c r="N9">
        <v>1009</v>
      </c>
      <c r="O9" t="s">
        <v>137</v>
      </c>
      <c r="P9" t="s">
        <v>137</v>
      </c>
      <c r="Q9">
        <v>1000</v>
      </c>
      <c r="W9">
        <v>0</v>
      </c>
      <c r="X9">
        <v>-34374424</v>
      </c>
      <c r="Y9">
        <v>0</v>
      </c>
      <c r="AA9">
        <v>57853.01</v>
      </c>
      <c r="AB9">
        <v>0</v>
      </c>
      <c r="AC9">
        <v>0</v>
      </c>
      <c r="AD9">
        <v>0</v>
      </c>
      <c r="AE9">
        <v>9376.5</v>
      </c>
      <c r="AF9">
        <v>0</v>
      </c>
      <c r="AG9">
        <v>0</v>
      </c>
      <c r="AH9">
        <v>0</v>
      </c>
      <c r="AI9">
        <v>6.17</v>
      </c>
      <c r="AJ9">
        <v>1</v>
      </c>
      <c r="AK9">
        <v>1</v>
      </c>
      <c r="AL9">
        <v>1</v>
      </c>
      <c r="AN9">
        <v>0</v>
      </c>
      <c r="AO9">
        <v>1</v>
      </c>
      <c r="AP9">
        <v>1</v>
      </c>
      <c r="AQ9">
        <v>0</v>
      </c>
      <c r="AR9">
        <v>0</v>
      </c>
      <c r="AS9" t="s">
        <v>6</v>
      </c>
      <c r="AT9">
        <v>7.4000000000000003E-3</v>
      </c>
      <c r="AU9" t="s">
        <v>24</v>
      </c>
      <c r="AV9">
        <v>0</v>
      </c>
      <c r="AW9">
        <v>2</v>
      </c>
      <c r="AX9">
        <v>31028676</v>
      </c>
      <c r="AY9">
        <v>1</v>
      </c>
      <c r="AZ9">
        <v>0</v>
      </c>
      <c r="BA9">
        <v>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Y9*Source!I28</f>
        <v>0</v>
      </c>
      <c r="CY9">
        <f t="shared" si="2"/>
        <v>57853.01</v>
      </c>
      <c r="CZ9">
        <f t="shared" si="3"/>
        <v>9376.5</v>
      </c>
      <c r="DA9">
        <f t="shared" si="4"/>
        <v>6.17</v>
      </c>
      <c r="DB9">
        <f t="shared" si="5"/>
        <v>0</v>
      </c>
      <c r="DC9">
        <f t="shared" si="6"/>
        <v>0</v>
      </c>
    </row>
    <row r="10" spans="1:107">
      <c r="A10">
        <f>ROW(Source!A28)</f>
        <v>28</v>
      </c>
      <c r="B10">
        <v>31028412</v>
      </c>
      <c r="C10">
        <v>31028650</v>
      </c>
      <c r="D10">
        <v>29151859</v>
      </c>
      <c r="E10">
        <v>1</v>
      </c>
      <c r="F10">
        <v>1</v>
      </c>
      <c r="G10">
        <v>1</v>
      </c>
      <c r="H10">
        <v>3</v>
      </c>
      <c r="I10" t="s">
        <v>799</v>
      </c>
      <c r="J10" t="s">
        <v>800</v>
      </c>
      <c r="K10" t="s">
        <v>801</v>
      </c>
      <c r="L10">
        <v>1348</v>
      </c>
      <c r="N10">
        <v>1009</v>
      </c>
      <c r="O10" t="s">
        <v>137</v>
      </c>
      <c r="P10" t="s">
        <v>137</v>
      </c>
      <c r="Q10">
        <v>1000</v>
      </c>
      <c r="W10">
        <v>0</v>
      </c>
      <c r="X10">
        <v>-1890625626</v>
      </c>
      <c r="Y10">
        <v>0</v>
      </c>
      <c r="AA10">
        <v>7501.49</v>
      </c>
      <c r="AB10">
        <v>0</v>
      </c>
      <c r="AC10">
        <v>0</v>
      </c>
      <c r="AD10">
        <v>0</v>
      </c>
      <c r="AE10">
        <v>1215.8</v>
      </c>
      <c r="AF10">
        <v>0</v>
      </c>
      <c r="AG10">
        <v>0</v>
      </c>
      <c r="AH10">
        <v>0</v>
      </c>
      <c r="AI10">
        <v>6.17</v>
      </c>
      <c r="AJ10">
        <v>1</v>
      </c>
      <c r="AK10">
        <v>1</v>
      </c>
      <c r="AL10">
        <v>1</v>
      </c>
      <c r="AN10">
        <v>0</v>
      </c>
      <c r="AO10">
        <v>1</v>
      </c>
      <c r="AP10">
        <v>1</v>
      </c>
      <c r="AQ10">
        <v>0</v>
      </c>
      <c r="AR10">
        <v>0</v>
      </c>
      <c r="AS10" t="s">
        <v>6</v>
      </c>
      <c r="AT10">
        <v>3.5999999999999997E-2</v>
      </c>
      <c r="AU10" t="s">
        <v>24</v>
      </c>
      <c r="AV10">
        <v>0</v>
      </c>
      <c r="AW10">
        <v>2</v>
      </c>
      <c r="AX10">
        <v>31028677</v>
      </c>
      <c r="AY10">
        <v>1</v>
      </c>
      <c r="AZ10">
        <v>0</v>
      </c>
      <c r="BA10">
        <v>10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Y10*Source!I28</f>
        <v>0</v>
      </c>
      <c r="CY10">
        <f t="shared" si="2"/>
        <v>7501.49</v>
      </c>
      <c r="CZ10">
        <f t="shared" si="3"/>
        <v>1215.8</v>
      </c>
      <c r="DA10">
        <f t="shared" si="4"/>
        <v>6.17</v>
      </c>
      <c r="DB10">
        <f t="shared" si="5"/>
        <v>0</v>
      </c>
      <c r="DC10">
        <f t="shared" si="6"/>
        <v>0</v>
      </c>
    </row>
    <row r="11" spans="1:107">
      <c r="A11">
        <f>ROW(Source!A28)</f>
        <v>28</v>
      </c>
      <c r="B11">
        <v>31028412</v>
      </c>
      <c r="C11">
        <v>31028650</v>
      </c>
      <c r="D11">
        <v>29151997</v>
      </c>
      <c r="E11">
        <v>1</v>
      </c>
      <c r="F11">
        <v>1</v>
      </c>
      <c r="G11">
        <v>1</v>
      </c>
      <c r="H11">
        <v>3</v>
      </c>
      <c r="I11" t="s">
        <v>802</v>
      </c>
      <c r="J11" t="s">
        <v>803</v>
      </c>
      <c r="K11" t="s">
        <v>804</v>
      </c>
      <c r="L11">
        <v>1327</v>
      </c>
      <c r="N11">
        <v>1005</v>
      </c>
      <c r="O11" t="s">
        <v>284</v>
      </c>
      <c r="P11" t="s">
        <v>284</v>
      </c>
      <c r="Q11">
        <v>1</v>
      </c>
      <c r="W11">
        <v>0</v>
      </c>
      <c r="X11">
        <v>1834989622</v>
      </c>
      <c r="Y11">
        <v>0</v>
      </c>
      <c r="AA11">
        <v>38.07</v>
      </c>
      <c r="AB11">
        <v>0</v>
      </c>
      <c r="AC11">
        <v>0</v>
      </c>
      <c r="AD11">
        <v>0</v>
      </c>
      <c r="AE11">
        <v>6.17</v>
      </c>
      <c r="AF11">
        <v>0</v>
      </c>
      <c r="AG11">
        <v>0</v>
      </c>
      <c r="AH11">
        <v>0</v>
      </c>
      <c r="AI11">
        <v>6.17</v>
      </c>
      <c r="AJ11">
        <v>1</v>
      </c>
      <c r="AK11">
        <v>1</v>
      </c>
      <c r="AL11">
        <v>1</v>
      </c>
      <c r="AN11">
        <v>0</v>
      </c>
      <c r="AO11">
        <v>1</v>
      </c>
      <c r="AP11">
        <v>1</v>
      </c>
      <c r="AQ11">
        <v>0</v>
      </c>
      <c r="AR11">
        <v>0</v>
      </c>
      <c r="AS11" t="s">
        <v>6</v>
      </c>
      <c r="AT11">
        <v>122</v>
      </c>
      <c r="AU11" t="s">
        <v>24</v>
      </c>
      <c r="AV11">
        <v>0</v>
      </c>
      <c r="AW11">
        <v>2</v>
      </c>
      <c r="AX11">
        <v>31028678</v>
      </c>
      <c r="AY11">
        <v>1</v>
      </c>
      <c r="AZ11">
        <v>0</v>
      </c>
      <c r="BA11">
        <v>11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Y11*Source!I28</f>
        <v>0</v>
      </c>
      <c r="CY11">
        <f t="shared" si="2"/>
        <v>38.07</v>
      </c>
      <c r="CZ11">
        <f t="shared" si="3"/>
        <v>6.17</v>
      </c>
      <c r="DA11">
        <f t="shared" si="4"/>
        <v>6.17</v>
      </c>
      <c r="DB11">
        <f t="shared" si="5"/>
        <v>0</v>
      </c>
      <c r="DC11">
        <f t="shared" si="6"/>
        <v>0</v>
      </c>
    </row>
    <row r="12" spans="1:107">
      <c r="A12">
        <f>ROW(Source!A28)</f>
        <v>28</v>
      </c>
      <c r="B12">
        <v>31028412</v>
      </c>
      <c r="C12">
        <v>31028650</v>
      </c>
      <c r="D12">
        <v>29152054</v>
      </c>
      <c r="E12">
        <v>1</v>
      </c>
      <c r="F12">
        <v>1</v>
      </c>
      <c r="G12">
        <v>1</v>
      </c>
      <c r="H12">
        <v>3</v>
      </c>
      <c r="I12" t="s">
        <v>805</v>
      </c>
      <c r="J12" t="s">
        <v>806</v>
      </c>
      <c r="K12" t="s">
        <v>807</v>
      </c>
      <c r="L12">
        <v>1348</v>
      </c>
      <c r="N12">
        <v>1009</v>
      </c>
      <c r="O12" t="s">
        <v>137</v>
      </c>
      <c r="P12" t="s">
        <v>137</v>
      </c>
      <c r="Q12">
        <v>1000</v>
      </c>
      <c r="W12">
        <v>0</v>
      </c>
      <c r="X12">
        <v>-444487765</v>
      </c>
      <c r="Y12">
        <v>0</v>
      </c>
      <c r="AA12">
        <v>62829.11</v>
      </c>
      <c r="AB12">
        <v>0</v>
      </c>
      <c r="AC12">
        <v>0</v>
      </c>
      <c r="AD12">
        <v>0</v>
      </c>
      <c r="AE12">
        <v>10183</v>
      </c>
      <c r="AF12">
        <v>0</v>
      </c>
      <c r="AG12">
        <v>0</v>
      </c>
      <c r="AH12">
        <v>0</v>
      </c>
      <c r="AI12">
        <v>6.17</v>
      </c>
      <c r="AJ12">
        <v>1</v>
      </c>
      <c r="AK12">
        <v>1</v>
      </c>
      <c r="AL12">
        <v>1</v>
      </c>
      <c r="AN12">
        <v>0</v>
      </c>
      <c r="AO12">
        <v>1</v>
      </c>
      <c r="AP12">
        <v>1</v>
      </c>
      <c r="AQ12">
        <v>0</v>
      </c>
      <c r="AR12">
        <v>0</v>
      </c>
      <c r="AS12" t="s">
        <v>6</v>
      </c>
      <c r="AT12">
        <v>1.9300000000000001E-3</v>
      </c>
      <c r="AU12" t="s">
        <v>24</v>
      </c>
      <c r="AV12">
        <v>0</v>
      </c>
      <c r="AW12">
        <v>2</v>
      </c>
      <c r="AX12">
        <v>31028679</v>
      </c>
      <c r="AY12">
        <v>1</v>
      </c>
      <c r="AZ12">
        <v>0</v>
      </c>
      <c r="BA12">
        <v>12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Y12*Source!I28</f>
        <v>0</v>
      </c>
      <c r="CY12">
        <f t="shared" si="2"/>
        <v>62829.11</v>
      </c>
      <c r="CZ12">
        <f t="shared" si="3"/>
        <v>10183</v>
      </c>
      <c r="DA12">
        <f t="shared" si="4"/>
        <v>6.17</v>
      </c>
      <c r="DB12">
        <f t="shared" si="5"/>
        <v>0</v>
      </c>
      <c r="DC12">
        <f t="shared" si="6"/>
        <v>0</v>
      </c>
    </row>
    <row r="13" spans="1:107">
      <c r="A13">
        <f>ROW(Source!A28)</f>
        <v>28</v>
      </c>
      <c r="B13">
        <v>31028412</v>
      </c>
      <c r="C13">
        <v>31028650</v>
      </c>
      <c r="D13">
        <v>29157674</v>
      </c>
      <c r="E13">
        <v>1</v>
      </c>
      <c r="F13">
        <v>1</v>
      </c>
      <c r="G13">
        <v>1</v>
      </c>
      <c r="H13">
        <v>3</v>
      </c>
      <c r="I13" t="s">
        <v>808</v>
      </c>
      <c r="J13" t="s">
        <v>809</v>
      </c>
      <c r="K13" t="s">
        <v>810</v>
      </c>
      <c r="L13">
        <v>1296</v>
      </c>
      <c r="N13">
        <v>1002</v>
      </c>
      <c r="O13" t="s">
        <v>142</v>
      </c>
      <c r="P13" t="s">
        <v>142</v>
      </c>
      <c r="Q13">
        <v>1</v>
      </c>
      <c r="W13">
        <v>0</v>
      </c>
      <c r="X13">
        <v>1606941307</v>
      </c>
      <c r="Y13">
        <v>0</v>
      </c>
      <c r="AA13">
        <v>311.52</v>
      </c>
      <c r="AB13">
        <v>0</v>
      </c>
      <c r="AC13">
        <v>0</v>
      </c>
      <c r="AD13">
        <v>0</v>
      </c>
      <c r="AE13">
        <v>50.49</v>
      </c>
      <c r="AF13">
        <v>0</v>
      </c>
      <c r="AG13">
        <v>0</v>
      </c>
      <c r="AH13">
        <v>0</v>
      </c>
      <c r="AI13">
        <v>6.17</v>
      </c>
      <c r="AJ13">
        <v>1</v>
      </c>
      <c r="AK13">
        <v>1</v>
      </c>
      <c r="AL13">
        <v>1</v>
      </c>
      <c r="AN13">
        <v>0</v>
      </c>
      <c r="AO13">
        <v>1</v>
      </c>
      <c r="AP13">
        <v>1</v>
      </c>
      <c r="AQ13">
        <v>0</v>
      </c>
      <c r="AR13">
        <v>0</v>
      </c>
      <c r="AS13" t="s">
        <v>6</v>
      </c>
      <c r="AT13">
        <v>54</v>
      </c>
      <c r="AU13" t="s">
        <v>24</v>
      </c>
      <c r="AV13">
        <v>0</v>
      </c>
      <c r="AW13">
        <v>2</v>
      </c>
      <c r="AX13">
        <v>31028680</v>
      </c>
      <c r="AY13">
        <v>1</v>
      </c>
      <c r="AZ13">
        <v>0</v>
      </c>
      <c r="BA13">
        <v>13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Y13*Source!I28</f>
        <v>0</v>
      </c>
      <c r="CY13">
        <f t="shared" si="2"/>
        <v>311.52</v>
      </c>
      <c r="CZ13">
        <f t="shared" si="3"/>
        <v>50.49</v>
      </c>
      <c r="DA13">
        <f t="shared" si="4"/>
        <v>6.17</v>
      </c>
      <c r="DB13">
        <f t="shared" si="5"/>
        <v>0</v>
      </c>
      <c r="DC13">
        <f t="shared" si="6"/>
        <v>0</v>
      </c>
    </row>
    <row r="14" spans="1:107">
      <c r="A14">
        <f>ROW(Source!A28)</f>
        <v>28</v>
      </c>
      <c r="B14">
        <v>31028412</v>
      </c>
      <c r="C14">
        <v>31028650</v>
      </c>
      <c r="D14">
        <v>29157993</v>
      </c>
      <c r="E14">
        <v>1</v>
      </c>
      <c r="F14">
        <v>1</v>
      </c>
      <c r="G14">
        <v>1</v>
      </c>
      <c r="H14">
        <v>3</v>
      </c>
      <c r="I14" t="s">
        <v>811</v>
      </c>
      <c r="J14" t="s">
        <v>812</v>
      </c>
      <c r="K14" t="s">
        <v>813</v>
      </c>
      <c r="L14">
        <v>1035</v>
      </c>
      <c r="N14">
        <v>1013</v>
      </c>
      <c r="O14" t="s">
        <v>292</v>
      </c>
      <c r="P14" t="s">
        <v>292</v>
      </c>
      <c r="Q14">
        <v>1</v>
      </c>
      <c r="W14">
        <v>0</v>
      </c>
      <c r="X14">
        <v>-1257397784</v>
      </c>
      <c r="Y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6.17</v>
      </c>
      <c r="AJ14">
        <v>1</v>
      </c>
      <c r="AK14">
        <v>1</v>
      </c>
      <c r="AL14">
        <v>1</v>
      </c>
      <c r="AN14">
        <v>1</v>
      </c>
      <c r="AO14">
        <v>0</v>
      </c>
      <c r="AP14">
        <v>1</v>
      </c>
      <c r="AQ14">
        <v>0</v>
      </c>
      <c r="AR14">
        <v>0</v>
      </c>
      <c r="AS14" t="s">
        <v>6</v>
      </c>
      <c r="AT14">
        <v>0</v>
      </c>
      <c r="AU14" t="s">
        <v>24</v>
      </c>
      <c r="AV14">
        <v>0</v>
      </c>
      <c r="AW14">
        <v>2</v>
      </c>
      <c r="AX14">
        <v>31028681</v>
      </c>
      <c r="AY14">
        <v>1</v>
      </c>
      <c r="AZ14">
        <v>0</v>
      </c>
      <c r="BA14">
        <v>14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Y14*Source!I28</f>
        <v>0</v>
      </c>
      <c r="CY14">
        <f t="shared" si="2"/>
        <v>0</v>
      </c>
      <c r="CZ14">
        <f t="shared" si="3"/>
        <v>0</v>
      </c>
      <c r="DA14">
        <f t="shared" si="4"/>
        <v>6.17</v>
      </c>
      <c r="DB14">
        <f t="shared" si="5"/>
        <v>0</v>
      </c>
      <c r="DC14">
        <f t="shared" si="6"/>
        <v>0</v>
      </c>
    </row>
    <row r="15" spans="1:107">
      <c r="A15">
        <f>ROW(Source!A28)</f>
        <v>28</v>
      </c>
      <c r="B15">
        <v>31028412</v>
      </c>
      <c r="C15">
        <v>31028650</v>
      </c>
      <c r="D15">
        <v>29171848</v>
      </c>
      <c r="E15">
        <v>1</v>
      </c>
      <c r="F15">
        <v>1</v>
      </c>
      <c r="G15">
        <v>1</v>
      </c>
      <c r="H15">
        <v>3</v>
      </c>
      <c r="I15" t="s">
        <v>297</v>
      </c>
      <c r="J15" t="s">
        <v>299</v>
      </c>
      <c r="K15" t="s">
        <v>298</v>
      </c>
      <c r="L15">
        <v>1327</v>
      </c>
      <c r="N15">
        <v>1005</v>
      </c>
      <c r="O15" t="s">
        <v>284</v>
      </c>
      <c r="P15" t="s">
        <v>284</v>
      </c>
      <c r="Q15">
        <v>1</v>
      </c>
      <c r="W15">
        <v>0</v>
      </c>
      <c r="X15">
        <v>-1359235157</v>
      </c>
      <c r="Y15">
        <v>0</v>
      </c>
      <c r="AA15">
        <v>2563.4499999999998</v>
      </c>
      <c r="AB15">
        <v>0</v>
      </c>
      <c r="AC15">
        <v>0</v>
      </c>
      <c r="AD15">
        <v>0</v>
      </c>
      <c r="AE15">
        <v>415.47</v>
      </c>
      <c r="AF15">
        <v>0</v>
      </c>
      <c r="AG15">
        <v>0</v>
      </c>
      <c r="AH15">
        <v>0</v>
      </c>
      <c r="AI15">
        <v>6.17</v>
      </c>
      <c r="AJ15">
        <v>1</v>
      </c>
      <c r="AK15">
        <v>1</v>
      </c>
      <c r="AL15">
        <v>1</v>
      </c>
      <c r="AN15">
        <v>0</v>
      </c>
      <c r="AO15">
        <v>1</v>
      </c>
      <c r="AP15">
        <v>1</v>
      </c>
      <c r="AQ15">
        <v>0</v>
      </c>
      <c r="AR15">
        <v>0</v>
      </c>
      <c r="AS15" t="s">
        <v>6</v>
      </c>
      <c r="AT15">
        <v>100</v>
      </c>
      <c r="AU15" t="s">
        <v>24</v>
      </c>
      <c r="AV15">
        <v>0</v>
      </c>
      <c r="AW15">
        <v>2</v>
      </c>
      <c r="AX15">
        <v>31028682</v>
      </c>
      <c r="AY15">
        <v>1</v>
      </c>
      <c r="AZ15">
        <v>0</v>
      </c>
      <c r="BA15">
        <v>15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Y15*Source!I28</f>
        <v>0</v>
      </c>
      <c r="CY15">
        <f t="shared" si="2"/>
        <v>2563.4499999999998</v>
      </c>
      <c r="CZ15">
        <f t="shared" si="3"/>
        <v>415.47</v>
      </c>
      <c r="DA15">
        <f t="shared" si="4"/>
        <v>6.17</v>
      </c>
      <c r="DB15">
        <f t="shared" si="5"/>
        <v>0</v>
      </c>
      <c r="DC15">
        <f t="shared" si="6"/>
        <v>0</v>
      </c>
    </row>
    <row r="16" spans="1:107">
      <c r="A16">
        <f>ROW(Source!A28)</f>
        <v>28</v>
      </c>
      <c r="B16">
        <v>31028412</v>
      </c>
      <c r="C16">
        <v>31028650</v>
      </c>
      <c r="D16">
        <v>29186570</v>
      </c>
      <c r="E16">
        <v>1</v>
      </c>
      <c r="F16">
        <v>1</v>
      </c>
      <c r="G16">
        <v>1</v>
      </c>
      <c r="H16">
        <v>3</v>
      </c>
      <c r="I16" t="s">
        <v>814</v>
      </c>
      <c r="J16" t="s">
        <v>815</v>
      </c>
      <c r="K16" t="s">
        <v>816</v>
      </c>
      <c r="L16">
        <v>1339</v>
      </c>
      <c r="N16">
        <v>1007</v>
      </c>
      <c r="O16" t="s">
        <v>109</v>
      </c>
      <c r="P16" t="s">
        <v>109</v>
      </c>
      <c r="Q16">
        <v>1</v>
      </c>
      <c r="W16">
        <v>0</v>
      </c>
      <c r="X16">
        <v>451862466</v>
      </c>
      <c r="Y16">
        <v>0</v>
      </c>
      <c r="AA16">
        <v>2939.02</v>
      </c>
      <c r="AB16">
        <v>0</v>
      </c>
      <c r="AC16">
        <v>0</v>
      </c>
      <c r="AD16">
        <v>0</v>
      </c>
      <c r="AE16">
        <v>476.34</v>
      </c>
      <c r="AF16">
        <v>0</v>
      </c>
      <c r="AG16">
        <v>0</v>
      </c>
      <c r="AH16">
        <v>0</v>
      </c>
      <c r="AI16">
        <v>6.17</v>
      </c>
      <c r="AJ16">
        <v>1</v>
      </c>
      <c r="AK16">
        <v>1</v>
      </c>
      <c r="AL16">
        <v>1</v>
      </c>
      <c r="AN16">
        <v>0</v>
      </c>
      <c r="AO16">
        <v>1</v>
      </c>
      <c r="AP16">
        <v>1</v>
      </c>
      <c r="AQ16">
        <v>0</v>
      </c>
      <c r="AR16">
        <v>0</v>
      </c>
      <c r="AS16" t="s">
        <v>6</v>
      </c>
      <c r="AT16">
        <v>9.6000000000000002E-2</v>
      </c>
      <c r="AU16" t="s">
        <v>24</v>
      </c>
      <c r="AV16">
        <v>0</v>
      </c>
      <c r="AW16">
        <v>2</v>
      </c>
      <c r="AX16">
        <v>31028683</v>
      </c>
      <c r="AY16">
        <v>1</v>
      </c>
      <c r="AZ16">
        <v>0</v>
      </c>
      <c r="BA16">
        <v>16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Y16*Source!I28</f>
        <v>0</v>
      </c>
      <c r="CY16">
        <f t="shared" si="2"/>
        <v>2939.02</v>
      </c>
      <c r="CZ16">
        <f t="shared" si="3"/>
        <v>476.34</v>
      </c>
      <c r="DA16">
        <f t="shared" si="4"/>
        <v>6.17</v>
      </c>
      <c r="DB16">
        <f t="shared" si="5"/>
        <v>0</v>
      </c>
      <c r="DC16">
        <f t="shared" si="6"/>
        <v>0</v>
      </c>
    </row>
    <row r="17" spans="1:107">
      <c r="A17">
        <f>ROW(Source!A28)</f>
        <v>28</v>
      </c>
      <c r="B17">
        <v>31028412</v>
      </c>
      <c r="C17">
        <v>31028650</v>
      </c>
      <c r="D17">
        <v>29194450</v>
      </c>
      <c r="E17">
        <v>1</v>
      </c>
      <c r="F17">
        <v>1</v>
      </c>
      <c r="G17">
        <v>1</v>
      </c>
      <c r="H17">
        <v>3</v>
      </c>
      <c r="I17" t="s">
        <v>817</v>
      </c>
      <c r="J17" t="s">
        <v>818</v>
      </c>
      <c r="K17" t="s">
        <v>819</v>
      </c>
      <c r="L17">
        <v>1348</v>
      </c>
      <c r="N17">
        <v>1009</v>
      </c>
      <c r="O17" t="s">
        <v>137</v>
      </c>
      <c r="P17" t="s">
        <v>137</v>
      </c>
      <c r="Q17">
        <v>1000</v>
      </c>
      <c r="W17">
        <v>0</v>
      </c>
      <c r="X17">
        <v>1536930468</v>
      </c>
      <c r="Y17">
        <v>0</v>
      </c>
      <c r="AA17">
        <v>4497.8100000000004</v>
      </c>
      <c r="AB17">
        <v>0</v>
      </c>
      <c r="AC17">
        <v>0</v>
      </c>
      <c r="AD17">
        <v>0</v>
      </c>
      <c r="AE17">
        <v>728.98</v>
      </c>
      <c r="AF17">
        <v>0</v>
      </c>
      <c r="AG17">
        <v>0</v>
      </c>
      <c r="AH17">
        <v>0</v>
      </c>
      <c r="AI17">
        <v>6.17</v>
      </c>
      <c r="AJ17">
        <v>1</v>
      </c>
      <c r="AK17">
        <v>1</v>
      </c>
      <c r="AL17">
        <v>1</v>
      </c>
      <c r="AN17">
        <v>0</v>
      </c>
      <c r="AO17">
        <v>1</v>
      </c>
      <c r="AP17">
        <v>1</v>
      </c>
      <c r="AQ17">
        <v>0</v>
      </c>
      <c r="AR17">
        <v>0</v>
      </c>
      <c r="AS17" t="s">
        <v>6</v>
      </c>
      <c r="AT17">
        <v>3.0200000000000001E-2</v>
      </c>
      <c r="AU17" t="s">
        <v>24</v>
      </c>
      <c r="AV17">
        <v>0</v>
      </c>
      <c r="AW17">
        <v>2</v>
      </c>
      <c r="AX17">
        <v>31028684</v>
      </c>
      <c r="AY17">
        <v>1</v>
      </c>
      <c r="AZ17">
        <v>0</v>
      </c>
      <c r="BA17">
        <v>17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Y17*Source!I28</f>
        <v>0</v>
      </c>
      <c r="CY17">
        <f t="shared" si="2"/>
        <v>4497.8100000000004</v>
      </c>
      <c r="CZ17">
        <f t="shared" si="3"/>
        <v>728.98</v>
      </c>
      <c r="DA17">
        <f t="shared" si="4"/>
        <v>6.17</v>
      </c>
      <c r="DB17">
        <f t="shared" si="5"/>
        <v>0</v>
      </c>
      <c r="DC17">
        <f t="shared" si="6"/>
        <v>0</v>
      </c>
    </row>
    <row r="18" spans="1:107">
      <c r="A18">
        <f>ROW(Source!A29)</f>
        <v>29</v>
      </c>
      <c r="B18">
        <v>31028412</v>
      </c>
      <c r="C18">
        <v>31028685</v>
      </c>
      <c r="D18">
        <v>29084574</v>
      </c>
      <c r="E18">
        <v>1</v>
      </c>
      <c r="F18">
        <v>1</v>
      </c>
      <c r="G18">
        <v>1</v>
      </c>
      <c r="H18">
        <v>1</v>
      </c>
      <c r="I18" t="s">
        <v>820</v>
      </c>
      <c r="J18" t="s">
        <v>6</v>
      </c>
      <c r="K18" t="s">
        <v>821</v>
      </c>
      <c r="L18">
        <v>1369</v>
      </c>
      <c r="N18">
        <v>1013</v>
      </c>
      <c r="O18" t="s">
        <v>773</v>
      </c>
      <c r="P18" t="s">
        <v>773</v>
      </c>
      <c r="Q18">
        <v>1</v>
      </c>
      <c r="W18">
        <v>0</v>
      </c>
      <c r="X18">
        <v>-1263252757</v>
      </c>
      <c r="Y18">
        <v>10.464999999999998</v>
      </c>
      <c r="AA18">
        <v>0</v>
      </c>
      <c r="AB18">
        <v>0</v>
      </c>
      <c r="AC18">
        <v>0</v>
      </c>
      <c r="AD18">
        <v>182.38</v>
      </c>
      <c r="AE18">
        <v>0</v>
      </c>
      <c r="AF18">
        <v>0</v>
      </c>
      <c r="AG18">
        <v>0</v>
      </c>
      <c r="AH18">
        <v>7.53</v>
      </c>
      <c r="AI18">
        <v>1</v>
      </c>
      <c r="AJ18">
        <v>1</v>
      </c>
      <c r="AK18">
        <v>1</v>
      </c>
      <c r="AL18">
        <v>24.22</v>
      </c>
      <c r="AN18">
        <v>0</v>
      </c>
      <c r="AO18">
        <v>1</v>
      </c>
      <c r="AP18">
        <v>1</v>
      </c>
      <c r="AQ18">
        <v>0</v>
      </c>
      <c r="AR18">
        <v>0</v>
      </c>
      <c r="AS18" t="s">
        <v>6</v>
      </c>
      <c r="AT18">
        <v>9.1</v>
      </c>
      <c r="AU18" t="s">
        <v>36</v>
      </c>
      <c r="AV18">
        <v>1</v>
      </c>
      <c r="AW18">
        <v>2</v>
      </c>
      <c r="AX18">
        <v>31028689</v>
      </c>
      <c r="AY18">
        <v>1</v>
      </c>
      <c r="AZ18">
        <v>0</v>
      </c>
      <c r="BA18">
        <v>18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Y18*Source!I29</f>
        <v>0.50231999999999988</v>
      </c>
      <c r="CY18">
        <f>AD18</f>
        <v>182.38</v>
      </c>
      <c r="CZ18">
        <f>AH18</f>
        <v>7.53</v>
      </c>
      <c r="DA18">
        <f>AL18</f>
        <v>24.22</v>
      </c>
      <c r="DB18">
        <f>ROUND((ROUND(AT18*CZ18,2)*ROUND(1.15,7)),6)</f>
        <v>78.798000000000002</v>
      </c>
      <c r="DC18">
        <f>ROUND((ROUND(AT18*AG18,2)*ROUND(1.15,7)),6)</f>
        <v>0</v>
      </c>
    </row>
    <row r="19" spans="1:107">
      <c r="A19">
        <f>ROW(Source!A29)</f>
        <v>29</v>
      </c>
      <c r="B19">
        <v>31028412</v>
      </c>
      <c r="C19">
        <v>31028685</v>
      </c>
      <c r="D19">
        <v>29147697</v>
      </c>
      <c r="E19">
        <v>1</v>
      </c>
      <c r="F19">
        <v>1</v>
      </c>
      <c r="G19">
        <v>1</v>
      </c>
      <c r="H19">
        <v>2</v>
      </c>
      <c r="I19" t="s">
        <v>822</v>
      </c>
      <c r="J19" t="s">
        <v>823</v>
      </c>
      <c r="K19" t="s">
        <v>824</v>
      </c>
      <c r="L19">
        <v>1368</v>
      </c>
      <c r="N19">
        <v>1011</v>
      </c>
      <c r="O19" t="s">
        <v>780</v>
      </c>
      <c r="P19" t="s">
        <v>780</v>
      </c>
      <c r="Q19">
        <v>1</v>
      </c>
      <c r="W19">
        <v>0</v>
      </c>
      <c r="X19">
        <v>-1933197009</v>
      </c>
      <c r="Y19">
        <v>0.13799999999999998</v>
      </c>
      <c r="AA19">
        <v>0</v>
      </c>
      <c r="AB19">
        <v>12.99</v>
      </c>
      <c r="AC19">
        <v>0</v>
      </c>
      <c r="AD19">
        <v>0</v>
      </c>
      <c r="AE19">
        <v>0</v>
      </c>
      <c r="AF19">
        <v>1.7</v>
      </c>
      <c r="AG19">
        <v>0</v>
      </c>
      <c r="AH19">
        <v>0</v>
      </c>
      <c r="AI19">
        <v>1</v>
      </c>
      <c r="AJ19">
        <v>7.64</v>
      </c>
      <c r="AK19">
        <v>24.22</v>
      </c>
      <c r="AL19">
        <v>1</v>
      </c>
      <c r="AN19">
        <v>0</v>
      </c>
      <c r="AO19">
        <v>1</v>
      </c>
      <c r="AP19">
        <v>1</v>
      </c>
      <c r="AQ19">
        <v>0</v>
      </c>
      <c r="AR19">
        <v>0</v>
      </c>
      <c r="AS19" t="s">
        <v>6</v>
      </c>
      <c r="AT19">
        <v>0.12</v>
      </c>
      <c r="AU19" t="s">
        <v>36</v>
      </c>
      <c r="AV19">
        <v>0</v>
      </c>
      <c r="AW19">
        <v>2</v>
      </c>
      <c r="AX19">
        <v>31028690</v>
      </c>
      <c r="AY19">
        <v>1</v>
      </c>
      <c r="AZ19">
        <v>0</v>
      </c>
      <c r="BA19">
        <v>19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Y19*Source!I29</f>
        <v>6.6239999999999997E-3</v>
      </c>
      <c r="CY19">
        <f>AB19</f>
        <v>12.99</v>
      </c>
      <c r="CZ19">
        <f>AF19</f>
        <v>1.7</v>
      </c>
      <c r="DA19">
        <f>AJ19</f>
        <v>7.64</v>
      </c>
      <c r="DB19">
        <f>ROUND((ROUND(AT19*CZ19,2)*ROUND(1.15,7)),6)</f>
        <v>0.23</v>
      </c>
      <c r="DC19">
        <f>ROUND((ROUND(AT19*AG19,2)*ROUND(1.15,7)),6)</f>
        <v>0</v>
      </c>
    </row>
    <row r="20" spans="1:107">
      <c r="A20">
        <f>ROW(Source!A29)</f>
        <v>29</v>
      </c>
      <c r="B20">
        <v>31028412</v>
      </c>
      <c r="C20">
        <v>31028685</v>
      </c>
      <c r="D20">
        <v>29215982</v>
      </c>
      <c r="E20">
        <v>1</v>
      </c>
      <c r="F20">
        <v>1</v>
      </c>
      <c r="G20">
        <v>1</v>
      </c>
      <c r="H20">
        <v>3</v>
      </c>
      <c r="I20" t="s">
        <v>825</v>
      </c>
      <c r="J20" t="s">
        <v>826</v>
      </c>
      <c r="K20" t="s">
        <v>827</v>
      </c>
      <c r="L20">
        <v>1348</v>
      </c>
      <c r="N20">
        <v>1009</v>
      </c>
      <c r="O20" t="s">
        <v>137</v>
      </c>
      <c r="P20" t="s">
        <v>137</v>
      </c>
      <c r="Q20">
        <v>1000</v>
      </c>
      <c r="W20">
        <v>0</v>
      </c>
      <c r="X20">
        <v>367953619</v>
      </c>
      <c r="Y20">
        <v>0.12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6.17</v>
      </c>
      <c r="AJ20">
        <v>1</v>
      </c>
      <c r="AK20">
        <v>1</v>
      </c>
      <c r="AL20">
        <v>1</v>
      </c>
      <c r="AN20">
        <v>0</v>
      </c>
      <c r="AO20">
        <v>0</v>
      </c>
      <c r="AP20">
        <v>0</v>
      </c>
      <c r="AQ20">
        <v>0</v>
      </c>
      <c r="AR20">
        <v>0</v>
      </c>
      <c r="AS20" t="s">
        <v>6</v>
      </c>
      <c r="AT20">
        <v>0.12</v>
      </c>
      <c r="AU20" t="s">
        <v>6</v>
      </c>
      <c r="AV20">
        <v>0</v>
      </c>
      <c r="AW20">
        <v>2</v>
      </c>
      <c r="AX20">
        <v>31028691</v>
      </c>
      <c r="AY20">
        <v>1</v>
      </c>
      <c r="AZ20">
        <v>0</v>
      </c>
      <c r="BA20">
        <v>20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Y20*Source!I29</f>
        <v>5.7599999999999995E-3</v>
      </c>
      <c r="CY20">
        <f>AA20</f>
        <v>0</v>
      </c>
      <c r="CZ20">
        <f>AE20</f>
        <v>0</v>
      </c>
      <c r="DA20">
        <f>AI20</f>
        <v>6.17</v>
      </c>
      <c r="DB20">
        <f>ROUND(ROUND(AT20*CZ20,2),6)</f>
        <v>0</v>
      </c>
      <c r="DC20">
        <f>ROUND(ROUND(AT20*AG20,2),6)</f>
        <v>0</v>
      </c>
    </row>
    <row r="21" spans="1:107">
      <c r="A21">
        <f>ROW(Source!A69)</f>
        <v>69</v>
      </c>
      <c r="B21">
        <v>31028412</v>
      </c>
      <c r="C21">
        <v>31028693</v>
      </c>
      <c r="D21">
        <v>29084586</v>
      </c>
      <c r="E21">
        <v>1</v>
      </c>
      <c r="F21">
        <v>1</v>
      </c>
      <c r="G21">
        <v>1</v>
      </c>
      <c r="H21">
        <v>1</v>
      </c>
      <c r="I21" t="s">
        <v>828</v>
      </c>
      <c r="J21" t="s">
        <v>6</v>
      </c>
      <c r="K21" t="s">
        <v>829</v>
      </c>
      <c r="L21">
        <v>1369</v>
      </c>
      <c r="N21">
        <v>1013</v>
      </c>
      <c r="O21" t="s">
        <v>773</v>
      </c>
      <c r="P21" t="s">
        <v>773</v>
      </c>
      <c r="Q21">
        <v>1</v>
      </c>
      <c r="W21">
        <v>0</v>
      </c>
      <c r="X21">
        <v>1694118523</v>
      </c>
      <c r="Y21">
        <v>216.48749999999998</v>
      </c>
      <c r="AA21">
        <v>0</v>
      </c>
      <c r="AB21">
        <v>0</v>
      </c>
      <c r="AC21">
        <v>0</v>
      </c>
      <c r="AD21">
        <v>204.42</v>
      </c>
      <c r="AE21">
        <v>0</v>
      </c>
      <c r="AF21">
        <v>0</v>
      </c>
      <c r="AG21">
        <v>0</v>
      </c>
      <c r="AH21">
        <v>8.44</v>
      </c>
      <c r="AI21">
        <v>1</v>
      </c>
      <c r="AJ21">
        <v>1</v>
      </c>
      <c r="AK21">
        <v>1</v>
      </c>
      <c r="AL21">
        <v>24.22</v>
      </c>
      <c r="AN21">
        <v>0</v>
      </c>
      <c r="AO21">
        <v>1</v>
      </c>
      <c r="AP21">
        <v>1</v>
      </c>
      <c r="AQ21">
        <v>0</v>
      </c>
      <c r="AR21">
        <v>0</v>
      </c>
      <c r="AS21" t="s">
        <v>6</v>
      </c>
      <c r="AT21">
        <v>188.25</v>
      </c>
      <c r="AU21" t="s">
        <v>36</v>
      </c>
      <c r="AV21">
        <v>1</v>
      </c>
      <c r="AW21">
        <v>2</v>
      </c>
      <c r="AX21">
        <v>31028698</v>
      </c>
      <c r="AY21">
        <v>1</v>
      </c>
      <c r="AZ21">
        <v>0</v>
      </c>
      <c r="BA21">
        <v>21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Y21*Source!I69</f>
        <v>25.329037499999998</v>
      </c>
      <c r="CY21">
        <f>AD21</f>
        <v>204.42</v>
      </c>
      <c r="CZ21">
        <f>AH21</f>
        <v>8.44</v>
      </c>
      <c r="DA21">
        <f>AL21</f>
        <v>24.22</v>
      </c>
      <c r="DB21">
        <f>ROUND((ROUND(AT21*CZ21,2)*ROUND(1.15,7)),6)</f>
        <v>1827.1545000000001</v>
      </c>
      <c r="DC21">
        <f>ROUND((ROUND(AT21*AG21,2)*ROUND(1.15,7)),6)</f>
        <v>0</v>
      </c>
    </row>
    <row r="22" spans="1:107">
      <c r="A22">
        <f>ROW(Source!A69)</f>
        <v>69</v>
      </c>
      <c r="B22">
        <v>31028412</v>
      </c>
      <c r="C22">
        <v>31028693</v>
      </c>
      <c r="D22">
        <v>29147697</v>
      </c>
      <c r="E22">
        <v>1</v>
      </c>
      <c r="F22">
        <v>1</v>
      </c>
      <c r="G22">
        <v>1</v>
      </c>
      <c r="H22">
        <v>2</v>
      </c>
      <c r="I22" t="s">
        <v>822</v>
      </c>
      <c r="J22" t="s">
        <v>823</v>
      </c>
      <c r="K22" t="s">
        <v>824</v>
      </c>
      <c r="L22">
        <v>1368</v>
      </c>
      <c r="N22">
        <v>1011</v>
      </c>
      <c r="O22" t="s">
        <v>780</v>
      </c>
      <c r="P22" t="s">
        <v>780</v>
      </c>
      <c r="Q22">
        <v>1</v>
      </c>
      <c r="W22">
        <v>0</v>
      </c>
      <c r="X22">
        <v>-1933197009</v>
      </c>
      <c r="Y22">
        <v>0.81649999999999989</v>
      </c>
      <c r="AA22">
        <v>0</v>
      </c>
      <c r="AB22">
        <v>12.99</v>
      </c>
      <c r="AC22">
        <v>0</v>
      </c>
      <c r="AD22">
        <v>0</v>
      </c>
      <c r="AE22">
        <v>0</v>
      </c>
      <c r="AF22">
        <v>1.7</v>
      </c>
      <c r="AG22">
        <v>0</v>
      </c>
      <c r="AH22">
        <v>0</v>
      </c>
      <c r="AI22">
        <v>1</v>
      </c>
      <c r="AJ22">
        <v>7.64</v>
      </c>
      <c r="AK22">
        <v>24.22</v>
      </c>
      <c r="AL22">
        <v>1</v>
      </c>
      <c r="AN22">
        <v>0</v>
      </c>
      <c r="AO22">
        <v>1</v>
      </c>
      <c r="AP22">
        <v>1</v>
      </c>
      <c r="AQ22">
        <v>0</v>
      </c>
      <c r="AR22">
        <v>0</v>
      </c>
      <c r="AS22" t="s">
        <v>6</v>
      </c>
      <c r="AT22">
        <v>0.71</v>
      </c>
      <c r="AU22" t="s">
        <v>36</v>
      </c>
      <c r="AV22">
        <v>0</v>
      </c>
      <c r="AW22">
        <v>2</v>
      </c>
      <c r="AX22">
        <v>31028699</v>
      </c>
      <c r="AY22">
        <v>1</v>
      </c>
      <c r="AZ22">
        <v>0</v>
      </c>
      <c r="BA22">
        <v>22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Y22*Source!I69</f>
        <v>9.553049999999999E-2</v>
      </c>
      <c r="CY22">
        <f>AB22</f>
        <v>12.99</v>
      </c>
      <c r="CZ22">
        <f>AF22</f>
        <v>1.7</v>
      </c>
      <c r="DA22">
        <f>AJ22</f>
        <v>7.64</v>
      </c>
      <c r="DB22">
        <f>ROUND((ROUND(AT22*CZ22,2)*ROUND(1.15,7)),6)</f>
        <v>1.3915</v>
      </c>
      <c r="DC22">
        <f>ROUND((ROUND(AT22*AG22,2)*ROUND(1.15,7)),6)</f>
        <v>0</v>
      </c>
    </row>
    <row r="23" spans="1:107">
      <c r="A23">
        <f>ROW(Source!A69)</f>
        <v>69</v>
      </c>
      <c r="B23">
        <v>31028412</v>
      </c>
      <c r="C23">
        <v>31028693</v>
      </c>
      <c r="D23">
        <v>29195171</v>
      </c>
      <c r="E23">
        <v>1</v>
      </c>
      <c r="F23">
        <v>1</v>
      </c>
      <c r="G23">
        <v>1</v>
      </c>
      <c r="H23">
        <v>3</v>
      </c>
      <c r="I23" t="s">
        <v>830</v>
      </c>
      <c r="J23" t="s">
        <v>831</v>
      </c>
      <c r="K23" t="s">
        <v>832</v>
      </c>
      <c r="L23">
        <v>1339</v>
      </c>
      <c r="N23">
        <v>1007</v>
      </c>
      <c r="O23" t="s">
        <v>109</v>
      </c>
      <c r="P23" t="s">
        <v>109</v>
      </c>
      <c r="Q23">
        <v>1</v>
      </c>
      <c r="W23">
        <v>0</v>
      </c>
      <c r="X23">
        <v>2050165204</v>
      </c>
      <c r="Y23">
        <v>0.35</v>
      </c>
      <c r="AA23">
        <v>15.12</v>
      </c>
      <c r="AB23">
        <v>0</v>
      </c>
      <c r="AC23">
        <v>0</v>
      </c>
      <c r="AD23">
        <v>0</v>
      </c>
      <c r="AE23">
        <v>2.4500000000000002</v>
      </c>
      <c r="AF23">
        <v>0</v>
      </c>
      <c r="AG23">
        <v>0</v>
      </c>
      <c r="AH23">
        <v>0</v>
      </c>
      <c r="AI23">
        <v>6.17</v>
      </c>
      <c r="AJ23">
        <v>1</v>
      </c>
      <c r="AK23">
        <v>1</v>
      </c>
      <c r="AL23">
        <v>1</v>
      </c>
      <c r="AN23">
        <v>0</v>
      </c>
      <c r="AO23">
        <v>1</v>
      </c>
      <c r="AP23">
        <v>0</v>
      </c>
      <c r="AQ23">
        <v>0</v>
      </c>
      <c r="AR23">
        <v>0</v>
      </c>
      <c r="AS23" t="s">
        <v>6</v>
      </c>
      <c r="AT23">
        <v>0.35</v>
      </c>
      <c r="AU23" t="s">
        <v>6</v>
      </c>
      <c r="AV23">
        <v>0</v>
      </c>
      <c r="AW23">
        <v>2</v>
      </c>
      <c r="AX23">
        <v>31028701</v>
      </c>
      <c r="AY23">
        <v>1</v>
      </c>
      <c r="AZ23">
        <v>0</v>
      </c>
      <c r="BA23">
        <v>24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Y23*Source!I69</f>
        <v>4.095E-2</v>
      </c>
      <c r="CY23">
        <f>AA23</f>
        <v>15.12</v>
      </c>
      <c r="CZ23">
        <f>AE23</f>
        <v>2.4500000000000002</v>
      </c>
      <c r="DA23">
        <f>AI23</f>
        <v>6.17</v>
      </c>
      <c r="DB23">
        <f>ROUND(ROUND(AT23*CZ23,2),6)</f>
        <v>0.86</v>
      </c>
      <c r="DC23">
        <f>ROUND(ROUND(AT23*AG23,2),6)</f>
        <v>0</v>
      </c>
    </row>
    <row r="24" spans="1:107">
      <c r="A24">
        <f>ROW(Source!A69)</f>
        <v>69</v>
      </c>
      <c r="B24">
        <v>31028412</v>
      </c>
      <c r="C24">
        <v>31028693</v>
      </c>
      <c r="D24">
        <v>29215982</v>
      </c>
      <c r="E24">
        <v>1</v>
      </c>
      <c r="F24">
        <v>1</v>
      </c>
      <c r="G24">
        <v>1</v>
      </c>
      <c r="H24">
        <v>3</v>
      </c>
      <c r="I24" t="s">
        <v>825</v>
      </c>
      <c r="J24" t="s">
        <v>826</v>
      </c>
      <c r="K24" t="s">
        <v>827</v>
      </c>
      <c r="L24">
        <v>1348</v>
      </c>
      <c r="N24">
        <v>1009</v>
      </c>
      <c r="O24" t="s">
        <v>137</v>
      </c>
      <c r="P24" t="s">
        <v>137</v>
      </c>
      <c r="Q24">
        <v>1000</v>
      </c>
      <c r="W24">
        <v>0</v>
      </c>
      <c r="X24">
        <v>367953619</v>
      </c>
      <c r="Y24">
        <v>4.84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6.17</v>
      </c>
      <c r="AJ24">
        <v>1</v>
      </c>
      <c r="AK24">
        <v>1</v>
      </c>
      <c r="AL24">
        <v>1</v>
      </c>
      <c r="AN24">
        <v>0</v>
      </c>
      <c r="AO24">
        <v>0</v>
      </c>
      <c r="AP24">
        <v>0</v>
      </c>
      <c r="AQ24">
        <v>0</v>
      </c>
      <c r="AR24">
        <v>0</v>
      </c>
      <c r="AS24" t="s">
        <v>6</v>
      </c>
      <c r="AT24">
        <v>4.84</v>
      </c>
      <c r="AU24" t="s">
        <v>6</v>
      </c>
      <c r="AV24">
        <v>0</v>
      </c>
      <c r="AW24">
        <v>2</v>
      </c>
      <c r="AX24">
        <v>31028702</v>
      </c>
      <c r="AY24">
        <v>1</v>
      </c>
      <c r="AZ24">
        <v>0</v>
      </c>
      <c r="BA24">
        <v>25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Y24*Source!I69</f>
        <v>0.56628000000000001</v>
      </c>
      <c r="CY24">
        <f>AA24</f>
        <v>0</v>
      </c>
      <c r="CZ24">
        <f>AE24</f>
        <v>0</v>
      </c>
      <c r="DA24">
        <f>AI24</f>
        <v>6.17</v>
      </c>
      <c r="DB24">
        <f>ROUND(ROUND(AT24*CZ24,2),6)</f>
        <v>0</v>
      </c>
      <c r="DC24">
        <f>ROUND(ROUND(AT24*AG24,2),6)</f>
        <v>0</v>
      </c>
    </row>
    <row r="25" spans="1:107">
      <c r="A25">
        <f>ROW(Source!A72)</f>
        <v>72</v>
      </c>
      <c r="B25">
        <v>31028412</v>
      </c>
      <c r="C25">
        <v>31028705</v>
      </c>
      <c r="D25">
        <v>29084595</v>
      </c>
      <c r="E25">
        <v>1</v>
      </c>
      <c r="F25">
        <v>1</v>
      </c>
      <c r="G25">
        <v>1</v>
      </c>
      <c r="H25">
        <v>1</v>
      </c>
      <c r="I25" t="s">
        <v>833</v>
      </c>
      <c r="J25" t="s">
        <v>6</v>
      </c>
      <c r="K25" t="s">
        <v>834</v>
      </c>
      <c r="L25">
        <v>1369</v>
      </c>
      <c r="N25">
        <v>1013</v>
      </c>
      <c r="O25" t="s">
        <v>773</v>
      </c>
      <c r="P25" t="s">
        <v>773</v>
      </c>
      <c r="Q25">
        <v>1</v>
      </c>
      <c r="W25">
        <v>0</v>
      </c>
      <c r="X25">
        <v>62379012</v>
      </c>
      <c r="Y25">
        <v>18.250499999999999</v>
      </c>
      <c r="AA25">
        <v>0</v>
      </c>
      <c r="AB25">
        <v>0</v>
      </c>
      <c r="AC25">
        <v>0</v>
      </c>
      <c r="AD25">
        <v>217.25</v>
      </c>
      <c r="AE25">
        <v>0</v>
      </c>
      <c r="AF25">
        <v>0</v>
      </c>
      <c r="AG25">
        <v>0</v>
      </c>
      <c r="AH25">
        <v>8.9700000000000006</v>
      </c>
      <c r="AI25">
        <v>1</v>
      </c>
      <c r="AJ25">
        <v>1</v>
      </c>
      <c r="AK25">
        <v>1</v>
      </c>
      <c r="AL25">
        <v>24.22</v>
      </c>
      <c r="AN25">
        <v>0</v>
      </c>
      <c r="AO25">
        <v>1</v>
      </c>
      <c r="AP25">
        <v>1</v>
      </c>
      <c r="AQ25">
        <v>0</v>
      </c>
      <c r="AR25">
        <v>0</v>
      </c>
      <c r="AS25" t="s">
        <v>6</v>
      </c>
      <c r="AT25">
        <v>13.8</v>
      </c>
      <c r="AU25" t="s">
        <v>127</v>
      </c>
      <c r="AV25">
        <v>1</v>
      </c>
      <c r="AW25">
        <v>2</v>
      </c>
      <c r="AX25">
        <v>31028712</v>
      </c>
      <c r="AY25">
        <v>1</v>
      </c>
      <c r="AZ25">
        <v>0</v>
      </c>
      <c r="BA25">
        <v>26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Y25*Source!I72</f>
        <v>2.1353084999999998</v>
      </c>
      <c r="CY25">
        <f>AD25</f>
        <v>217.25</v>
      </c>
      <c r="CZ25">
        <f>AH25</f>
        <v>8.9700000000000006</v>
      </c>
      <c r="DA25">
        <f>AL25</f>
        <v>24.22</v>
      </c>
      <c r="DB25">
        <f>ROUND((ROUND(AT25*CZ25,2)*ROUND((1.15*1.15),7)),6)</f>
        <v>163.71227500000001</v>
      </c>
      <c r="DC25">
        <f>ROUND((ROUND(AT25*AG25,2)*ROUND((1.15*1.15),7)),6)</f>
        <v>0</v>
      </c>
    </row>
    <row r="26" spans="1:107">
      <c r="A26">
        <f>ROW(Source!A72)</f>
        <v>72</v>
      </c>
      <c r="B26">
        <v>31028412</v>
      </c>
      <c r="C26">
        <v>31028705</v>
      </c>
      <c r="D26">
        <v>29147697</v>
      </c>
      <c r="E26">
        <v>1</v>
      </c>
      <c r="F26">
        <v>1</v>
      </c>
      <c r="G26">
        <v>1</v>
      </c>
      <c r="H26">
        <v>2</v>
      </c>
      <c r="I26" t="s">
        <v>822</v>
      </c>
      <c r="J26" t="s">
        <v>823</v>
      </c>
      <c r="K26" t="s">
        <v>824</v>
      </c>
      <c r="L26">
        <v>1368</v>
      </c>
      <c r="N26">
        <v>1011</v>
      </c>
      <c r="O26" t="s">
        <v>780</v>
      </c>
      <c r="P26" t="s">
        <v>780</v>
      </c>
      <c r="Q26">
        <v>1</v>
      </c>
      <c r="W26">
        <v>0</v>
      </c>
      <c r="X26">
        <v>-1933197009</v>
      </c>
      <c r="Y26">
        <v>0.12937499999999999</v>
      </c>
      <c r="AA26">
        <v>0</v>
      </c>
      <c r="AB26">
        <v>12.99</v>
      </c>
      <c r="AC26">
        <v>0</v>
      </c>
      <c r="AD26">
        <v>0</v>
      </c>
      <c r="AE26">
        <v>0</v>
      </c>
      <c r="AF26">
        <v>1.7</v>
      </c>
      <c r="AG26">
        <v>0</v>
      </c>
      <c r="AH26">
        <v>0</v>
      </c>
      <c r="AI26">
        <v>1</v>
      </c>
      <c r="AJ26">
        <v>7.64</v>
      </c>
      <c r="AK26">
        <v>24.22</v>
      </c>
      <c r="AL26">
        <v>1</v>
      </c>
      <c r="AN26">
        <v>0</v>
      </c>
      <c r="AO26">
        <v>1</v>
      </c>
      <c r="AP26">
        <v>1</v>
      </c>
      <c r="AQ26">
        <v>0</v>
      </c>
      <c r="AR26">
        <v>0</v>
      </c>
      <c r="AS26" t="s">
        <v>6</v>
      </c>
      <c r="AT26">
        <v>0.09</v>
      </c>
      <c r="AU26" t="s">
        <v>126</v>
      </c>
      <c r="AV26">
        <v>0</v>
      </c>
      <c r="AW26">
        <v>2</v>
      </c>
      <c r="AX26">
        <v>31028713</v>
      </c>
      <c r="AY26">
        <v>1</v>
      </c>
      <c r="AZ26">
        <v>0</v>
      </c>
      <c r="BA26">
        <v>27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Y26*Source!I72</f>
        <v>1.5136874999999999E-2</v>
      </c>
      <c r="CY26">
        <f>AB26</f>
        <v>12.99</v>
      </c>
      <c r="CZ26">
        <f>AF26</f>
        <v>1.7</v>
      </c>
      <c r="DA26">
        <f>AJ26</f>
        <v>7.64</v>
      </c>
      <c r="DB26">
        <f>ROUND((ROUND(AT26*CZ26,2)*ROUND((1.25*1.15),7)),6)</f>
        <v>0.21562500000000001</v>
      </c>
      <c r="DC26">
        <f>ROUND((ROUND(AT26*AG26,2)*ROUND((1.25*1.15),7)),6)</f>
        <v>0</v>
      </c>
    </row>
    <row r="27" spans="1:107">
      <c r="A27">
        <f>ROW(Source!A72)</f>
        <v>72</v>
      </c>
      <c r="B27">
        <v>31028412</v>
      </c>
      <c r="C27">
        <v>31028705</v>
      </c>
      <c r="D27">
        <v>29149520</v>
      </c>
      <c r="E27">
        <v>1</v>
      </c>
      <c r="F27">
        <v>1</v>
      </c>
      <c r="G27">
        <v>1</v>
      </c>
      <c r="H27">
        <v>2</v>
      </c>
      <c r="I27" t="s">
        <v>790</v>
      </c>
      <c r="J27" t="s">
        <v>791</v>
      </c>
      <c r="K27" t="s">
        <v>792</v>
      </c>
      <c r="L27">
        <v>1368</v>
      </c>
      <c r="N27">
        <v>1011</v>
      </c>
      <c r="O27" t="s">
        <v>780</v>
      </c>
      <c r="P27" t="s">
        <v>780</v>
      </c>
      <c r="Q27">
        <v>1</v>
      </c>
      <c r="W27">
        <v>0</v>
      </c>
      <c r="X27">
        <v>-1931461795</v>
      </c>
      <c r="Y27">
        <v>0.11499999999999999</v>
      </c>
      <c r="AA27">
        <v>0</v>
      </c>
      <c r="AB27">
        <v>699.98</v>
      </c>
      <c r="AC27">
        <v>0</v>
      </c>
      <c r="AD27">
        <v>0</v>
      </c>
      <c r="AE27">
        <v>0</v>
      </c>
      <c r="AF27">
        <v>91.62</v>
      </c>
      <c r="AG27">
        <v>0</v>
      </c>
      <c r="AH27">
        <v>0</v>
      </c>
      <c r="AI27">
        <v>1</v>
      </c>
      <c r="AJ27">
        <v>7.64</v>
      </c>
      <c r="AK27">
        <v>24.22</v>
      </c>
      <c r="AL27">
        <v>1</v>
      </c>
      <c r="AN27">
        <v>0</v>
      </c>
      <c r="AO27">
        <v>1</v>
      </c>
      <c r="AP27">
        <v>1</v>
      </c>
      <c r="AQ27">
        <v>0</v>
      </c>
      <c r="AR27">
        <v>0</v>
      </c>
      <c r="AS27" t="s">
        <v>6</v>
      </c>
      <c r="AT27">
        <v>0.08</v>
      </c>
      <c r="AU27" t="s">
        <v>126</v>
      </c>
      <c r="AV27">
        <v>0</v>
      </c>
      <c r="AW27">
        <v>2</v>
      </c>
      <c r="AX27">
        <v>31028714</v>
      </c>
      <c r="AY27">
        <v>1</v>
      </c>
      <c r="AZ27">
        <v>0</v>
      </c>
      <c r="BA27">
        <v>28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Y27*Source!I72</f>
        <v>1.3455E-2</v>
      </c>
      <c r="CY27">
        <f>AB27</f>
        <v>699.98</v>
      </c>
      <c r="CZ27">
        <f>AF27</f>
        <v>91.62</v>
      </c>
      <c r="DA27">
        <f>AJ27</f>
        <v>7.64</v>
      </c>
      <c r="DB27">
        <f>ROUND((ROUND(AT27*CZ27,2)*ROUND((1.25*1.15),7)),6)</f>
        <v>10.536875</v>
      </c>
      <c r="DC27">
        <f>ROUND((ROUND(AT27*AG27,2)*ROUND((1.25*1.15),7)),6)</f>
        <v>0</v>
      </c>
    </row>
    <row r="28" spans="1:107">
      <c r="A28">
        <f>ROW(Source!A72)</f>
        <v>72</v>
      </c>
      <c r="B28">
        <v>31028412</v>
      </c>
      <c r="C28">
        <v>31028705</v>
      </c>
      <c r="D28">
        <v>29151861</v>
      </c>
      <c r="E28">
        <v>1</v>
      </c>
      <c r="F28">
        <v>1</v>
      </c>
      <c r="G28">
        <v>1</v>
      </c>
      <c r="H28">
        <v>3</v>
      </c>
      <c r="I28" t="s">
        <v>835</v>
      </c>
      <c r="J28" t="s">
        <v>836</v>
      </c>
      <c r="K28" t="s">
        <v>837</v>
      </c>
      <c r="L28">
        <v>1327</v>
      </c>
      <c r="N28">
        <v>1005</v>
      </c>
      <c r="O28" t="s">
        <v>284</v>
      </c>
      <c r="P28" t="s">
        <v>284</v>
      </c>
      <c r="Q28">
        <v>1</v>
      </c>
      <c r="W28">
        <v>0</v>
      </c>
      <c r="X28">
        <v>1527270933</v>
      </c>
      <c r="Y28">
        <v>0.28999999999999998</v>
      </c>
      <c r="AA28">
        <v>452.82</v>
      </c>
      <c r="AB28">
        <v>0</v>
      </c>
      <c r="AC28">
        <v>0</v>
      </c>
      <c r="AD28">
        <v>0</v>
      </c>
      <c r="AE28">
        <v>73.39</v>
      </c>
      <c r="AF28">
        <v>0</v>
      </c>
      <c r="AG28">
        <v>0</v>
      </c>
      <c r="AH28">
        <v>0</v>
      </c>
      <c r="AI28">
        <v>6.17</v>
      </c>
      <c r="AJ28">
        <v>1</v>
      </c>
      <c r="AK28">
        <v>1</v>
      </c>
      <c r="AL28">
        <v>1</v>
      </c>
      <c r="AN28">
        <v>0</v>
      </c>
      <c r="AO28">
        <v>1</v>
      </c>
      <c r="AP28">
        <v>0</v>
      </c>
      <c r="AQ28">
        <v>0</v>
      </c>
      <c r="AR28">
        <v>0</v>
      </c>
      <c r="AS28" t="s">
        <v>6</v>
      </c>
      <c r="AT28">
        <v>0.28999999999999998</v>
      </c>
      <c r="AU28" t="s">
        <v>6</v>
      </c>
      <c r="AV28">
        <v>0</v>
      </c>
      <c r="AW28">
        <v>2</v>
      </c>
      <c r="AX28">
        <v>31028715</v>
      </c>
      <c r="AY28">
        <v>1</v>
      </c>
      <c r="AZ28">
        <v>0</v>
      </c>
      <c r="BA28">
        <v>29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Y28*Source!I72</f>
        <v>3.3930000000000002E-2</v>
      </c>
      <c r="CY28">
        <f>AA28</f>
        <v>452.82</v>
      </c>
      <c r="CZ28">
        <f>AE28</f>
        <v>73.39</v>
      </c>
      <c r="DA28">
        <f>AI28</f>
        <v>6.17</v>
      </c>
      <c r="DB28">
        <f>ROUND(ROUND(AT28*CZ28,2),6)</f>
        <v>21.28</v>
      </c>
      <c r="DC28">
        <f>ROUND(ROUND(AT28*AG28,2),6)</f>
        <v>0</v>
      </c>
    </row>
    <row r="29" spans="1:107">
      <c r="A29">
        <f>ROW(Source!A72)</f>
        <v>72</v>
      </c>
      <c r="B29">
        <v>31028412</v>
      </c>
      <c r="C29">
        <v>31028705</v>
      </c>
      <c r="D29">
        <v>29152014</v>
      </c>
      <c r="E29">
        <v>1</v>
      </c>
      <c r="F29">
        <v>1</v>
      </c>
      <c r="G29">
        <v>1</v>
      </c>
      <c r="H29">
        <v>3</v>
      </c>
      <c r="I29" t="s">
        <v>838</v>
      </c>
      <c r="J29" t="s">
        <v>839</v>
      </c>
      <c r="K29" t="s">
        <v>840</v>
      </c>
      <c r="L29">
        <v>1346</v>
      </c>
      <c r="N29">
        <v>1009</v>
      </c>
      <c r="O29" t="s">
        <v>118</v>
      </c>
      <c r="P29" t="s">
        <v>118</v>
      </c>
      <c r="Q29">
        <v>1</v>
      </c>
      <c r="W29">
        <v>0</v>
      </c>
      <c r="X29">
        <v>-1526040720</v>
      </c>
      <c r="Y29">
        <v>0.01</v>
      </c>
      <c r="AA29">
        <v>11.97</v>
      </c>
      <c r="AB29">
        <v>0</v>
      </c>
      <c r="AC29">
        <v>0</v>
      </c>
      <c r="AD29">
        <v>0</v>
      </c>
      <c r="AE29">
        <v>1.94</v>
      </c>
      <c r="AF29">
        <v>0</v>
      </c>
      <c r="AG29">
        <v>0</v>
      </c>
      <c r="AH29">
        <v>0</v>
      </c>
      <c r="AI29">
        <v>6.17</v>
      </c>
      <c r="AJ29">
        <v>1</v>
      </c>
      <c r="AK29">
        <v>1</v>
      </c>
      <c r="AL29">
        <v>1</v>
      </c>
      <c r="AN29">
        <v>0</v>
      </c>
      <c r="AO29">
        <v>1</v>
      </c>
      <c r="AP29">
        <v>0</v>
      </c>
      <c r="AQ29">
        <v>0</v>
      </c>
      <c r="AR29">
        <v>0</v>
      </c>
      <c r="AS29" t="s">
        <v>6</v>
      </c>
      <c r="AT29">
        <v>0.01</v>
      </c>
      <c r="AU29" t="s">
        <v>6</v>
      </c>
      <c r="AV29">
        <v>0</v>
      </c>
      <c r="AW29">
        <v>2</v>
      </c>
      <c r="AX29">
        <v>31028716</v>
      </c>
      <c r="AY29">
        <v>1</v>
      </c>
      <c r="AZ29">
        <v>0</v>
      </c>
      <c r="BA29">
        <v>30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Y29*Source!I72</f>
        <v>1.17E-3</v>
      </c>
      <c r="CY29">
        <f>AA29</f>
        <v>11.97</v>
      </c>
      <c r="CZ29">
        <f>AE29</f>
        <v>1.94</v>
      </c>
      <c r="DA29">
        <f>AI29</f>
        <v>6.17</v>
      </c>
      <c r="DB29">
        <f>ROUND(ROUND(AT29*CZ29,2),6)</f>
        <v>0.02</v>
      </c>
      <c r="DC29">
        <f>ROUND(ROUND(AT29*AG29,2),6)</f>
        <v>0</v>
      </c>
    </row>
    <row r="30" spans="1:107">
      <c r="A30">
        <f>ROW(Source!A72)</f>
        <v>72</v>
      </c>
      <c r="B30">
        <v>31028412</v>
      </c>
      <c r="C30">
        <v>31028705</v>
      </c>
      <c r="D30">
        <v>29153777</v>
      </c>
      <c r="E30">
        <v>1</v>
      </c>
      <c r="F30">
        <v>1</v>
      </c>
      <c r="G30">
        <v>1</v>
      </c>
      <c r="H30">
        <v>3</v>
      </c>
      <c r="I30" t="s">
        <v>841</v>
      </c>
      <c r="J30" t="s">
        <v>842</v>
      </c>
      <c r="K30" t="s">
        <v>843</v>
      </c>
      <c r="L30">
        <v>1348</v>
      </c>
      <c r="N30">
        <v>1009</v>
      </c>
      <c r="O30" t="s">
        <v>137</v>
      </c>
      <c r="P30" t="s">
        <v>137</v>
      </c>
      <c r="Q30">
        <v>1000</v>
      </c>
      <c r="W30">
        <v>0</v>
      </c>
      <c r="X30">
        <v>1465816552</v>
      </c>
      <c r="Y30">
        <v>1.7500000000000002E-2</v>
      </c>
      <c r="AA30">
        <v>32433.78</v>
      </c>
      <c r="AB30">
        <v>0</v>
      </c>
      <c r="AC30">
        <v>0</v>
      </c>
      <c r="AD30">
        <v>0</v>
      </c>
      <c r="AE30">
        <v>5256.69</v>
      </c>
      <c r="AF30">
        <v>0</v>
      </c>
      <c r="AG30">
        <v>0</v>
      </c>
      <c r="AH30">
        <v>0</v>
      </c>
      <c r="AI30">
        <v>6.17</v>
      </c>
      <c r="AJ30">
        <v>1</v>
      </c>
      <c r="AK30">
        <v>1</v>
      </c>
      <c r="AL30">
        <v>1</v>
      </c>
      <c r="AN30">
        <v>0</v>
      </c>
      <c r="AO30">
        <v>1</v>
      </c>
      <c r="AP30">
        <v>0</v>
      </c>
      <c r="AQ30">
        <v>0</v>
      </c>
      <c r="AR30">
        <v>0</v>
      </c>
      <c r="AS30" t="s">
        <v>6</v>
      </c>
      <c r="AT30">
        <v>1.7500000000000002E-2</v>
      </c>
      <c r="AU30" t="s">
        <v>6</v>
      </c>
      <c r="AV30">
        <v>0</v>
      </c>
      <c r="AW30">
        <v>2</v>
      </c>
      <c r="AX30">
        <v>31028718</v>
      </c>
      <c r="AY30">
        <v>1</v>
      </c>
      <c r="AZ30">
        <v>0</v>
      </c>
      <c r="BA30">
        <v>32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Y30*Source!I72</f>
        <v>2.0475000000000003E-3</v>
      </c>
      <c r="CY30">
        <f>AA30</f>
        <v>32433.78</v>
      </c>
      <c r="CZ30">
        <f>AE30</f>
        <v>5256.69</v>
      </c>
      <c r="DA30">
        <f>AI30</f>
        <v>6.17</v>
      </c>
      <c r="DB30">
        <f>ROUND(ROUND(AT30*CZ30,2),6)</f>
        <v>91.99</v>
      </c>
      <c r="DC30">
        <f>ROUND(ROUND(AT30*AG30,2),6)</f>
        <v>0</v>
      </c>
    </row>
    <row r="31" spans="1:107">
      <c r="A31">
        <f>ROW(Source!A77)</f>
        <v>77</v>
      </c>
      <c r="B31">
        <v>31028412</v>
      </c>
      <c r="C31">
        <v>31028724</v>
      </c>
      <c r="D31">
        <v>29084575</v>
      </c>
      <c r="E31">
        <v>1</v>
      </c>
      <c r="F31">
        <v>1</v>
      </c>
      <c r="G31">
        <v>1</v>
      </c>
      <c r="H31">
        <v>1</v>
      </c>
      <c r="I31" t="s">
        <v>844</v>
      </c>
      <c r="J31" t="s">
        <v>6</v>
      </c>
      <c r="K31" t="s">
        <v>845</v>
      </c>
      <c r="L31">
        <v>1369</v>
      </c>
      <c r="N31">
        <v>1013</v>
      </c>
      <c r="O31" t="s">
        <v>773</v>
      </c>
      <c r="P31" t="s">
        <v>773</v>
      </c>
      <c r="Q31">
        <v>1</v>
      </c>
      <c r="W31">
        <v>0</v>
      </c>
      <c r="X31">
        <v>1890963868</v>
      </c>
      <c r="Y31">
        <v>40.698499999999996</v>
      </c>
      <c r="AA31">
        <v>0</v>
      </c>
      <c r="AB31">
        <v>0</v>
      </c>
      <c r="AC31">
        <v>0</v>
      </c>
      <c r="AD31">
        <v>187.46</v>
      </c>
      <c r="AE31">
        <v>0</v>
      </c>
      <c r="AF31">
        <v>0</v>
      </c>
      <c r="AG31">
        <v>0</v>
      </c>
      <c r="AH31">
        <v>7.74</v>
      </c>
      <c r="AI31">
        <v>1</v>
      </c>
      <c r="AJ31">
        <v>1</v>
      </c>
      <c r="AK31">
        <v>1</v>
      </c>
      <c r="AL31">
        <v>24.22</v>
      </c>
      <c r="AN31">
        <v>0</v>
      </c>
      <c r="AO31">
        <v>1</v>
      </c>
      <c r="AP31">
        <v>1</v>
      </c>
      <c r="AQ31">
        <v>0</v>
      </c>
      <c r="AR31">
        <v>0</v>
      </c>
      <c r="AS31" t="s">
        <v>6</v>
      </c>
      <c r="AT31">
        <v>35.39</v>
      </c>
      <c r="AU31" t="s">
        <v>36</v>
      </c>
      <c r="AV31">
        <v>1</v>
      </c>
      <c r="AW31">
        <v>2</v>
      </c>
      <c r="AX31">
        <v>31028730</v>
      </c>
      <c r="AY31">
        <v>1</v>
      </c>
      <c r="AZ31">
        <v>0</v>
      </c>
      <c r="BA31">
        <v>34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Y31*Source!I77</f>
        <v>38.663574999999994</v>
      </c>
      <c r="CY31">
        <f>AD31</f>
        <v>187.46</v>
      </c>
      <c r="CZ31">
        <f>AH31</f>
        <v>7.74</v>
      </c>
      <c r="DA31">
        <f>AL31</f>
        <v>24.22</v>
      </c>
      <c r="DB31">
        <f>ROUND((ROUND(AT31*CZ31,2)*ROUND(1.15,7)),6)</f>
        <v>315.00799999999998</v>
      </c>
      <c r="DC31">
        <f>ROUND((ROUND(AT31*AG31,2)*ROUND(1.15,7)),6)</f>
        <v>0</v>
      </c>
    </row>
    <row r="32" spans="1:107">
      <c r="A32">
        <f>ROW(Source!A77)</f>
        <v>77</v>
      </c>
      <c r="B32">
        <v>31028412</v>
      </c>
      <c r="C32">
        <v>31028724</v>
      </c>
      <c r="D32">
        <v>29084573</v>
      </c>
      <c r="E32">
        <v>1</v>
      </c>
      <c r="F32">
        <v>1</v>
      </c>
      <c r="G32">
        <v>1</v>
      </c>
      <c r="H32">
        <v>1</v>
      </c>
      <c r="I32" t="s">
        <v>774</v>
      </c>
      <c r="J32" t="s">
        <v>6</v>
      </c>
      <c r="K32" t="s">
        <v>775</v>
      </c>
      <c r="L32">
        <v>608254</v>
      </c>
      <c r="N32">
        <v>1013</v>
      </c>
      <c r="O32" t="s">
        <v>776</v>
      </c>
      <c r="P32" t="s">
        <v>776</v>
      </c>
      <c r="Q32">
        <v>1</v>
      </c>
      <c r="W32">
        <v>0</v>
      </c>
      <c r="X32">
        <v>95408949</v>
      </c>
      <c r="Y32">
        <v>0.49449999999999994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1</v>
      </c>
      <c r="AJ32">
        <v>1</v>
      </c>
      <c r="AK32">
        <v>24.22</v>
      </c>
      <c r="AL32">
        <v>1</v>
      </c>
      <c r="AN32">
        <v>0</v>
      </c>
      <c r="AO32">
        <v>1</v>
      </c>
      <c r="AP32">
        <v>1</v>
      </c>
      <c r="AQ32">
        <v>0</v>
      </c>
      <c r="AR32">
        <v>0</v>
      </c>
      <c r="AS32" t="s">
        <v>6</v>
      </c>
      <c r="AT32">
        <v>0.43</v>
      </c>
      <c r="AU32" t="s">
        <v>36</v>
      </c>
      <c r="AV32">
        <v>2</v>
      </c>
      <c r="AW32">
        <v>2</v>
      </c>
      <c r="AX32">
        <v>31028731</v>
      </c>
      <c r="AY32">
        <v>1</v>
      </c>
      <c r="AZ32">
        <v>0</v>
      </c>
      <c r="BA32">
        <v>35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Y32*Source!I77</f>
        <v>0.46977499999999994</v>
      </c>
      <c r="CY32">
        <f>AD32</f>
        <v>0</v>
      </c>
      <c r="CZ32">
        <f>AH32</f>
        <v>0</v>
      </c>
      <c r="DA32">
        <f>AL32</f>
        <v>1</v>
      </c>
      <c r="DB32">
        <f>ROUND((ROUND(AT32*CZ32,2)*ROUND(1.15,7)),6)</f>
        <v>0</v>
      </c>
      <c r="DC32">
        <f>ROUND((ROUND(AT32*AG32,2)*ROUND(1.15,7)),6)</f>
        <v>0</v>
      </c>
    </row>
    <row r="33" spans="1:107">
      <c r="A33">
        <f>ROW(Source!A77)</f>
        <v>77</v>
      </c>
      <c r="B33">
        <v>31028412</v>
      </c>
      <c r="C33">
        <v>31028724</v>
      </c>
      <c r="D33">
        <v>29147601</v>
      </c>
      <c r="E33">
        <v>1</v>
      </c>
      <c r="F33">
        <v>1</v>
      </c>
      <c r="G33">
        <v>1</v>
      </c>
      <c r="H33">
        <v>2</v>
      </c>
      <c r="I33" t="s">
        <v>781</v>
      </c>
      <c r="J33" t="s">
        <v>782</v>
      </c>
      <c r="K33" t="s">
        <v>783</v>
      </c>
      <c r="L33">
        <v>1368</v>
      </c>
      <c r="N33">
        <v>1011</v>
      </c>
      <c r="O33" t="s">
        <v>780</v>
      </c>
      <c r="P33" t="s">
        <v>780</v>
      </c>
      <c r="Q33">
        <v>1</v>
      </c>
      <c r="W33">
        <v>0</v>
      </c>
      <c r="X33">
        <v>1170567961</v>
      </c>
      <c r="Y33">
        <v>0.22999999999999998</v>
      </c>
      <c r="AA33">
        <v>0</v>
      </c>
      <c r="AB33">
        <v>828.56</v>
      </c>
      <c r="AC33">
        <v>315.58999999999997</v>
      </c>
      <c r="AD33">
        <v>0</v>
      </c>
      <c r="AE33">
        <v>0</v>
      </c>
      <c r="AF33">
        <v>108.45</v>
      </c>
      <c r="AG33">
        <v>13.03</v>
      </c>
      <c r="AH33">
        <v>0</v>
      </c>
      <c r="AI33">
        <v>1</v>
      </c>
      <c r="AJ33">
        <v>7.64</v>
      </c>
      <c r="AK33">
        <v>24.22</v>
      </c>
      <c r="AL33">
        <v>1</v>
      </c>
      <c r="AN33">
        <v>0</v>
      </c>
      <c r="AO33">
        <v>1</v>
      </c>
      <c r="AP33">
        <v>1</v>
      </c>
      <c r="AQ33">
        <v>0</v>
      </c>
      <c r="AR33">
        <v>0</v>
      </c>
      <c r="AS33" t="s">
        <v>6</v>
      </c>
      <c r="AT33">
        <v>0.2</v>
      </c>
      <c r="AU33" t="s">
        <v>36</v>
      </c>
      <c r="AV33">
        <v>0</v>
      </c>
      <c r="AW33">
        <v>2</v>
      </c>
      <c r="AX33">
        <v>31028732</v>
      </c>
      <c r="AY33">
        <v>1</v>
      </c>
      <c r="AZ33">
        <v>0</v>
      </c>
      <c r="BA33">
        <v>36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Y33*Source!I77</f>
        <v>0.21849999999999997</v>
      </c>
      <c r="CY33">
        <f>AB33</f>
        <v>828.56</v>
      </c>
      <c r="CZ33">
        <f>AF33</f>
        <v>108.45</v>
      </c>
      <c r="DA33">
        <f>AJ33</f>
        <v>7.64</v>
      </c>
      <c r="DB33">
        <f>ROUND((ROUND(AT33*CZ33,2)*ROUND(1.15,7)),6)</f>
        <v>24.9435</v>
      </c>
      <c r="DC33">
        <f>ROUND((ROUND(AT33*AG33,2)*ROUND(1.15,7)),6)</f>
        <v>3.0015000000000001</v>
      </c>
    </row>
    <row r="34" spans="1:107">
      <c r="A34">
        <f>ROW(Source!A77)</f>
        <v>77</v>
      </c>
      <c r="B34">
        <v>31028412</v>
      </c>
      <c r="C34">
        <v>31028724</v>
      </c>
      <c r="D34">
        <v>29147732</v>
      </c>
      <c r="E34">
        <v>1</v>
      </c>
      <c r="F34">
        <v>1</v>
      </c>
      <c r="G34">
        <v>1</v>
      </c>
      <c r="H34">
        <v>2</v>
      </c>
      <c r="I34" t="s">
        <v>846</v>
      </c>
      <c r="J34" t="s">
        <v>847</v>
      </c>
      <c r="K34" t="s">
        <v>848</v>
      </c>
      <c r="L34">
        <v>1368</v>
      </c>
      <c r="N34">
        <v>1011</v>
      </c>
      <c r="O34" t="s">
        <v>780</v>
      </c>
      <c r="P34" t="s">
        <v>780</v>
      </c>
      <c r="Q34">
        <v>1</v>
      </c>
      <c r="W34">
        <v>0</v>
      </c>
      <c r="X34">
        <v>-1205898307</v>
      </c>
      <c r="Y34">
        <v>0.26450000000000001</v>
      </c>
      <c r="AA34">
        <v>0</v>
      </c>
      <c r="AB34">
        <v>235.69</v>
      </c>
      <c r="AC34">
        <v>315.58999999999997</v>
      </c>
      <c r="AD34">
        <v>0</v>
      </c>
      <c r="AE34">
        <v>0</v>
      </c>
      <c r="AF34">
        <v>30.85</v>
      </c>
      <c r="AG34">
        <v>13.03</v>
      </c>
      <c r="AH34">
        <v>0</v>
      </c>
      <c r="AI34">
        <v>1</v>
      </c>
      <c r="AJ34">
        <v>7.64</v>
      </c>
      <c r="AK34">
        <v>24.22</v>
      </c>
      <c r="AL34">
        <v>1</v>
      </c>
      <c r="AN34">
        <v>0</v>
      </c>
      <c r="AO34">
        <v>1</v>
      </c>
      <c r="AP34">
        <v>1</v>
      </c>
      <c r="AQ34">
        <v>0</v>
      </c>
      <c r="AR34">
        <v>0</v>
      </c>
      <c r="AS34" t="s">
        <v>6</v>
      </c>
      <c r="AT34">
        <v>0.23</v>
      </c>
      <c r="AU34" t="s">
        <v>36</v>
      </c>
      <c r="AV34">
        <v>0</v>
      </c>
      <c r="AW34">
        <v>2</v>
      </c>
      <c r="AX34">
        <v>31028733</v>
      </c>
      <c r="AY34">
        <v>1</v>
      </c>
      <c r="AZ34">
        <v>0</v>
      </c>
      <c r="BA34">
        <v>37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Y34*Source!I77</f>
        <v>0.25127500000000003</v>
      </c>
      <c r="CY34">
        <f>AB34</f>
        <v>235.69</v>
      </c>
      <c r="CZ34">
        <f>AF34</f>
        <v>30.85</v>
      </c>
      <c r="DA34">
        <f>AJ34</f>
        <v>7.64</v>
      </c>
      <c r="DB34">
        <f>ROUND((ROUND(AT34*CZ34,2)*ROUND(1.15,7)),6)</f>
        <v>8.1649999999999991</v>
      </c>
      <c r="DC34">
        <f>ROUND((ROUND(AT34*AG34,2)*ROUND(1.15,7)),6)</f>
        <v>3.45</v>
      </c>
    </row>
    <row r="35" spans="1:107">
      <c r="A35">
        <f>ROW(Source!A77)</f>
        <v>77</v>
      </c>
      <c r="B35">
        <v>31028412</v>
      </c>
      <c r="C35">
        <v>31028724</v>
      </c>
      <c r="D35">
        <v>29195171</v>
      </c>
      <c r="E35">
        <v>1</v>
      </c>
      <c r="F35">
        <v>1</v>
      </c>
      <c r="G35">
        <v>1</v>
      </c>
      <c r="H35">
        <v>3</v>
      </c>
      <c r="I35" t="s">
        <v>830</v>
      </c>
      <c r="J35" t="s">
        <v>831</v>
      </c>
      <c r="K35" t="s">
        <v>832</v>
      </c>
      <c r="L35">
        <v>1339</v>
      </c>
      <c r="N35">
        <v>1007</v>
      </c>
      <c r="O35" t="s">
        <v>109</v>
      </c>
      <c r="P35" t="s">
        <v>109</v>
      </c>
      <c r="Q35">
        <v>1</v>
      </c>
      <c r="W35">
        <v>0</v>
      </c>
      <c r="X35">
        <v>2050165204</v>
      </c>
      <c r="Y35">
        <v>4.3999999999999997E-2</v>
      </c>
      <c r="AA35">
        <v>15.12</v>
      </c>
      <c r="AB35">
        <v>0</v>
      </c>
      <c r="AC35">
        <v>0</v>
      </c>
      <c r="AD35">
        <v>0</v>
      </c>
      <c r="AE35">
        <v>2.4500000000000002</v>
      </c>
      <c r="AF35">
        <v>0</v>
      </c>
      <c r="AG35">
        <v>0</v>
      </c>
      <c r="AH35">
        <v>0</v>
      </c>
      <c r="AI35">
        <v>6.17</v>
      </c>
      <c r="AJ35">
        <v>1</v>
      </c>
      <c r="AK35">
        <v>1</v>
      </c>
      <c r="AL35">
        <v>1</v>
      </c>
      <c r="AN35">
        <v>0</v>
      </c>
      <c r="AO35">
        <v>1</v>
      </c>
      <c r="AP35">
        <v>0</v>
      </c>
      <c r="AQ35">
        <v>0</v>
      </c>
      <c r="AR35">
        <v>0</v>
      </c>
      <c r="AS35" t="s">
        <v>6</v>
      </c>
      <c r="AT35">
        <v>4.3999999999999997E-2</v>
      </c>
      <c r="AU35" t="s">
        <v>6</v>
      </c>
      <c r="AV35">
        <v>0</v>
      </c>
      <c r="AW35">
        <v>2</v>
      </c>
      <c r="AX35">
        <v>31028736</v>
      </c>
      <c r="AY35">
        <v>1</v>
      </c>
      <c r="AZ35">
        <v>0</v>
      </c>
      <c r="BA35">
        <v>40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Y35*Source!I77</f>
        <v>4.1799999999999997E-2</v>
      </c>
      <c r="CY35">
        <f>AA35</f>
        <v>15.12</v>
      </c>
      <c r="CZ35">
        <f>AE35</f>
        <v>2.4500000000000002</v>
      </c>
      <c r="DA35">
        <f>AI35</f>
        <v>6.17</v>
      </c>
      <c r="DB35">
        <f>ROUND(ROUND(AT35*CZ35,2),6)</f>
        <v>0.11</v>
      </c>
      <c r="DC35">
        <f>ROUND(ROUND(AT35*AG35,2),6)</f>
        <v>0</v>
      </c>
    </row>
    <row r="36" spans="1:107">
      <c r="A36">
        <f>ROW(Source!A82)</f>
        <v>82</v>
      </c>
      <c r="B36">
        <v>31028412</v>
      </c>
      <c r="C36">
        <v>31028741</v>
      </c>
      <c r="D36">
        <v>29084579</v>
      </c>
      <c r="E36">
        <v>1</v>
      </c>
      <c r="F36">
        <v>1</v>
      </c>
      <c r="G36">
        <v>1</v>
      </c>
      <c r="H36">
        <v>1</v>
      </c>
      <c r="I36" t="s">
        <v>849</v>
      </c>
      <c r="J36" t="s">
        <v>6</v>
      </c>
      <c r="K36" t="s">
        <v>850</v>
      </c>
      <c r="L36">
        <v>1369</v>
      </c>
      <c r="N36">
        <v>1013</v>
      </c>
      <c r="O36" t="s">
        <v>773</v>
      </c>
      <c r="P36" t="s">
        <v>773</v>
      </c>
      <c r="Q36">
        <v>1</v>
      </c>
      <c r="W36">
        <v>0</v>
      </c>
      <c r="X36">
        <v>260198247</v>
      </c>
      <c r="Y36">
        <v>93.738799999999983</v>
      </c>
      <c r="AA36">
        <v>0</v>
      </c>
      <c r="AB36">
        <v>0</v>
      </c>
      <c r="AC36">
        <v>0</v>
      </c>
      <c r="AD36">
        <v>225</v>
      </c>
      <c r="AE36">
        <v>0</v>
      </c>
      <c r="AF36">
        <v>0</v>
      </c>
      <c r="AG36">
        <v>0</v>
      </c>
      <c r="AH36">
        <v>9.2899999999999991</v>
      </c>
      <c r="AI36">
        <v>1</v>
      </c>
      <c r="AJ36">
        <v>1</v>
      </c>
      <c r="AK36">
        <v>1</v>
      </c>
      <c r="AL36">
        <v>24.22</v>
      </c>
      <c r="AN36">
        <v>0</v>
      </c>
      <c r="AO36">
        <v>1</v>
      </c>
      <c r="AP36">
        <v>1</v>
      </c>
      <c r="AQ36">
        <v>0</v>
      </c>
      <c r="AR36">
        <v>0</v>
      </c>
      <c r="AS36" t="s">
        <v>6</v>
      </c>
      <c r="AT36">
        <v>70.88</v>
      </c>
      <c r="AU36" t="s">
        <v>127</v>
      </c>
      <c r="AV36">
        <v>1</v>
      </c>
      <c r="AW36">
        <v>2</v>
      </c>
      <c r="AX36">
        <v>31028747</v>
      </c>
      <c r="AY36">
        <v>1</v>
      </c>
      <c r="AZ36">
        <v>0</v>
      </c>
      <c r="BA36">
        <v>41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Y36*Source!I82</f>
        <v>2.5309475999999997</v>
      </c>
      <c r="CY36">
        <f>AD36</f>
        <v>225</v>
      </c>
      <c r="CZ36">
        <f>AH36</f>
        <v>9.2899999999999991</v>
      </c>
      <c r="DA36">
        <f>AL36</f>
        <v>24.22</v>
      </c>
      <c r="DB36">
        <f>ROUND((ROUND(AT36*CZ36,2)*ROUND((1.15*1.15),7)),6)</f>
        <v>870.83979999999997</v>
      </c>
      <c r="DC36">
        <f>ROUND((ROUND(AT36*AG36,2)*ROUND((1.15*1.15),7)),6)</f>
        <v>0</v>
      </c>
    </row>
    <row r="37" spans="1:107">
      <c r="A37">
        <f>ROW(Source!A82)</f>
        <v>82</v>
      </c>
      <c r="B37">
        <v>31028412</v>
      </c>
      <c r="C37">
        <v>31028741</v>
      </c>
      <c r="D37">
        <v>29084573</v>
      </c>
      <c r="E37">
        <v>1</v>
      </c>
      <c r="F37">
        <v>1</v>
      </c>
      <c r="G37">
        <v>1</v>
      </c>
      <c r="H37">
        <v>1</v>
      </c>
      <c r="I37" t="s">
        <v>774</v>
      </c>
      <c r="J37" t="s">
        <v>6</v>
      </c>
      <c r="K37" t="s">
        <v>775</v>
      </c>
      <c r="L37">
        <v>608254</v>
      </c>
      <c r="N37">
        <v>1013</v>
      </c>
      <c r="O37" t="s">
        <v>776</v>
      </c>
      <c r="P37" t="s">
        <v>776</v>
      </c>
      <c r="Q37">
        <v>1</v>
      </c>
      <c r="W37">
        <v>0</v>
      </c>
      <c r="X37">
        <v>95408949</v>
      </c>
      <c r="Y37">
        <v>3.9962499999999994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1</v>
      </c>
      <c r="AJ37">
        <v>1</v>
      </c>
      <c r="AK37">
        <v>24.22</v>
      </c>
      <c r="AL37">
        <v>1</v>
      </c>
      <c r="AN37">
        <v>0</v>
      </c>
      <c r="AO37">
        <v>1</v>
      </c>
      <c r="AP37">
        <v>1</v>
      </c>
      <c r="AQ37">
        <v>0</v>
      </c>
      <c r="AR37">
        <v>0</v>
      </c>
      <c r="AS37" t="s">
        <v>6</v>
      </c>
      <c r="AT37">
        <v>2.78</v>
      </c>
      <c r="AU37" t="s">
        <v>126</v>
      </c>
      <c r="AV37">
        <v>2</v>
      </c>
      <c r="AW37">
        <v>2</v>
      </c>
      <c r="AX37">
        <v>31028748</v>
      </c>
      <c r="AY37">
        <v>1</v>
      </c>
      <c r="AZ37">
        <v>0</v>
      </c>
      <c r="BA37">
        <v>42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Y37*Source!I82</f>
        <v>0.10789874999999999</v>
      </c>
      <c r="CY37">
        <f>AD37</f>
        <v>0</v>
      </c>
      <c r="CZ37">
        <f>AH37</f>
        <v>0</v>
      </c>
      <c r="DA37">
        <f>AL37</f>
        <v>1</v>
      </c>
      <c r="DB37">
        <f>ROUND((ROUND(AT37*CZ37,2)*ROUND((1.25*1.15),7)),6)</f>
        <v>0</v>
      </c>
      <c r="DC37">
        <f>ROUND((ROUND(AT37*AG37,2)*ROUND((1.25*1.15),7)),6)</f>
        <v>0</v>
      </c>
    </row>
    <row r="38" spans="1:107">
      <c r="A38">
        <f>ROW(Source!A82)</f>
        <v>82</v>
      </c>
      <c r="B38">
        <v>31028412</v>
      </c>
      <c r="C38">
        <v>31028741</v>
      </c>
      <c r="D38">
        <v>29147698</v>
      </c>
      <c r="E38">
        <v>1</v>
      </c>
      <c r="F38">
        <v>1</v>
      </c>
      <c r="G38">
        <v>1</v>
      </c>
      <c r="H38">
        <v>2</v>
      </c>
      <c r="I38" t="s">
        <v>851</v>
      </c>
      <c r="J38" t="s">
        <v>852</v>
      </c>
      <c r="K38" t="s">
        <v>853</v>
      </c>
      <c r="L38">
        <v>1368</v>
      </c>
      <c r="N38">
        <v>1011</v>
      </c>
      <c r="O38" t="s">
        <v>780</v>
      </c>
      <c r="P38" t="s">
        <v>780</v>
      </c>
      <c r="Q38">
        <v>1</v>
      </c>
      <c r="W38">
        <v>0</v>
      </c>
      <c r="X38">
        <v>-767310062</v>
      </c>
      <c r="Y38">
        <v>1.29375</v>
      </c>
      <c r="AA38">
        <v>0</v>
      </c>
      <c r="AB38">
        <v>25.06</v>
      </c>
      <c r="AC38">
        <v>0</v>
      </c>
      <c r="AD38">
        <v>0</v>
      </c>
      <c r="AE38">
        <v>0</v>
      </c>
      <c r="AF38">
        <v>3.28</v>
      </c>
      <c r="AG38">
        <v>0</v>
      </c>
      <c r="AH38">
        <v>0</v>
      </c>
      <c r="AI38">
        <v>1</v>
      </c>
      <c r="AJ38">
        <v>7.64</v>
      </c>
      <c r="AK38">
        <v>24.22</v>
      </c>
      <c r="AL38">
        <v>1</v>
      </c>
      <c r="AN38">
        <v>0</v>
      </c>
      <c r="AO38">
        <v>1</v>
      </c>
      <c r="AP38">
        <v>1</v>
      </c>
      <c r="AQ38">
        <v>0</v>
      </c>
      <c r="AR38">
        <v>0</v>
      </c>
      <c r="AS38" t="s">
        <v>6</v>
      </c>
      <c r="AT38">
        <v>0.9</v>
      </c>
      <c r="AU38" t="s">
        <v>126</v>
      </c>
      <c r="AV38">
        <v>0</v>
      </c>
      <c r="AW38">
        <v>2</v>
      </c>
      <c r="AX38">
        <v>31028749</v>
      </c>
      <c r="AY38">
        <v>1</v>
      </c>
      <c r="AZ38">
        <v>0</v>
      </c>
      <c r="BA38">
        <v>43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Y38*Source!I82</f>
        <v>3.4931249999999997E-2</v>
      </c>
      <c r="CY38">
        <f>AB38</f>
        <v>25.06</v>
      </c>
      <c r="CZ38">
        <f>AF38</f>
        <v>3.28</v>
      </c>
      <c r="DA38">
        <f>AJ38</f>
        <v>7.64</v>
      </c>
      <c r="DB38">
        <f>ROUND((ROUND(AT38*CZ38,2)*ROUND((1.25*1.15),7)),6)</f>
        <v>4.2406249999999996</v>
      </c>
      <c r="DC38">
        <f>ROUND((ROUND(AT38*AG38,2)*ROUND((1.25*1.15),7)),6)</f>
        <v>0</v>
      </c>
    </row>
    <row r="39" spans="1:107">
      <c r="A39">
        <f>ROW(Source!A82)</f>
        <v>82</v>
      </c>
      <c r="B39">
        <v>31028412</v>
      </c>
      <c r="C39">
        <v>31028741</v>
      </c>
      <c r="D39">
        <v>29148147</v>
      </c>
      <c r="E39">
        <v>1</v>
      </c>
      <c r="F39">
        <v>1</v>
      </c>
      <c r="G39">
        <v>1</v>
      </c>
      <c r="H39">
        <v>2</v>
      </c>
      <c r="I39" t="s">
        <v>854</v>
      </c>
      <c r="J39" t="s">
        <v>855</v>
      </c>
      <c r="K39" t="s">
        <v>856</v>
      </c>
      <c r="L39">
        <v>1368</v>
      </c>
      <c r="N39">
        <v>1011</v>
      </c>
      <c r="O39" t="s">
        <v>780</v>
      </c>
      <c r="P39" t="s">
        <v>780</v>
      </c>
      <c r="Q39">
        <v>1</v>
      </c>
      <c r="W39">
        <v>0</v>
      </c>
      <c r="X39">
        <v>218911257</v>
      </c>
      <c r="Y39">
        <v>3.9962499999999994</v>
      </c>
      <c r="AA39">
        <v>0</v>
      </c>
      <c r="AB39">
        <v>158.61000000000001</v>
      </c>
      <c r="AC39">
        <v>208.29</v>
      </c>
      <c r="AD39">
        <v>0</v>
      </c>
      <c r="AE39">
        <v>0</v>
      </c>
      <c r="AF39">
        <v>20.76</v>
      </c>
      <c r="AG39">
        <v>8.6</v>
      </c>
      <c r="AH39">
        <v>0</v>
      </c>
      <c r="AI39">
        <v>1</v>
      </c>
      <c r="AJ39">
        <v>7.64</v>
      </c>
      <c r="AK39">
        <v>24.22</v>
      </c>
      <c r="AL39">
        <v>1</v>
      </c>
      <c r="AN39">
        <v>0</v>
      </c>
      <c r="AO39">
        <v>1</v>
      </c>
      <c r="AP39">
        <v>1</v>
      </c>
      <c r="AQ39">
        <v>0</v>
      </c>
      <c r="AR39">
        <v>0</v>
      </c>
      <c r="AS39" t="s">
        <v>6</v>
      </c>
      <c r="AT39">
        <v>2.78</v>
      </c>
      <c r="AU39" t="s">
        <v>126</v>
      </c>
      <c r="AV39">
        <v>0</v>
      </c>
      <c r="AW39">
        <v>2</v>
      </c>
      <c r="AX39">
        <v>31028750</v>
      </c>
      <c r="AY39">
        <v>1</v>
      </c>
      <c r="AZ39">
        <v>0</v>
      </c>
      <c r="BA39">
        <v>44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Y39*Source!I82</f>
        <v>0.10789874999999999</v>
      </c>
      <c r="CY39">
        <f>AB39</f>
        <v>158.61000000000001</v>
      </c>
      <c r="CZ39">
        <f>AF39</f>
        <v>20.76</v>
      </c>
      <c r="DA39">
        <f>AJ39</f>
        <v>7.64</v>
      </c>
      <c r="DB39">
        <f>ROUND((ROUND(AT39*CZ39,2)*ROUND((1.25*1.15),7)),6)</f>
        <v>82.958124999999995</v>
      </c>
      <c r="DC39">
        <f>ROUND((ROUND(AT39*AG39,2)*ROUND((1.25*1.15),7)),6)</f>
        <v>34.370624999999997</v>
      </c>
    </row>
    <row r="40" spans="1:107">
      <c r="A40">
        <f>ROW(Source!A82)</f>
        <v>82</v>
      </c>
      <c r="B40">
        <v>31028412</v>
      </c>
      <c r="C40">
        <v>31028741</v>
      </c>
      <c r="D40">
        <v>29195171</v>
      </c>
      <c r="E40">
        <v>1</v>
      </c>
      <c r="F40">
        <v>1</v>
      </c>
      <c r="G40">
        <v>1</v>
      </c>
      <c r="H40">
        <v>3</v>
      </c>
      <c r="I40" t="s">
        <v>830</v>
      </c>
      <c r="J40" t="s">
        <v>831</v>
      </c>
      <c r="K40" t="s">
        <v>832</v>
      </c>
      <c r="L40">
        <v>1339</v>
      </c>
      <c r="N40">
        <v>1007</v>
      </c>
      <c r="O40" t="s">
        <v>109</v>
      </c>
      <c r="P40" t="s">
        <v>109</v>
      </c>
      <c r="Q40">
        <v>1</v>
      </c>
      <c r="W40">
        <v>0</v>
      </c>
      <c r="X40">
        <v>2050165204</v>
      </c>
      <c r="Y40">
        <v>0.35</v>
      </c>
      <c r="AA40">
        <v>15.12</v>
      </c>
      <c r="AB40">
        <v>0</v>
      </c>
      <c r="AC40">
        <v>0</v>
      </c>
      <c r="AD40">
        <v>0</v>
      </c>
      <c r="AE40">
        <v>2.4500000000000002</v>
      </c>
      <c r="AF40">
        <v>0</v>
      </c>
      <c r="AG40">
        <v>0</v>
      </c>
      <c r="AH40">
        <v>0</v>
      </c>
      <c r="AI40">
        <v>6.17</v>
      </c>
      <c r="AJ40">
        <v>1</v>
      </c>
      <c r="AK40">
        <v>1</v>
      </c>
      <c r="AL40">
        <v>1</v>
      </c>
      <c r="AN40">
        <v>0</v>
      </c>
      <c r="AO40">
        <v>1</v>
      </c>
      <c r="AP40">
        <v>0</v>
      </c>
      <c r="AQ40">
        <v>0</v>
      </c>
      <c r="AR40">
        <v>0</v>
      </c>
      <c r="AS40" t="s">
        <v>6</v>
      </c>
      <c r="AT40">
        <v>0.35</v>
      </c>
      <c r="AU40" t="s">
        <v>6</v>
      </c>
      <c r="AV40">
        <v>0</v>
      </c>
      <c r="AW40">
        <v>2</v>
      </c>
      <c r="AX40">
        <v>31028752</v>
      </c>
      <c r="AY40">
        <v>1</v>
      </c>
      <c r="AZ40">
        <v>0</v>
      </c>
      <c r="BA40">
        <v>46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Y40*Source!I82</f>
        <v>9.4500000000000001E-3</v>
      </c>
      <c r="CY40">
        <f>AA40</f>
        <v>15.12</v>
      </c>
      <c r="CZ40">
        <f>AE40</f>
        <v>2.4500000000000002</v>
      </c>
      <c r="DA40">
        <f>AI40</f>
        <v>6.17</v>
      </c>
      <c r="DB40">
        <f>ROUND(ROUND(AT40*CZ40,2),6)</f>
        <v>0.86</v>
      </c>
      <c r="DC40">
        <f>ROUND(ROUND(AT40*AG40,2),6)</f>
        <v>0</v>
      </c>
    </row>
    <row r="41" spans="1:107">
      <c r="A41">
        <f>ROW(Source!A85)</f>
        <v>85</v>
      </c>
      <c r="B41">
        <v>31028412</v>
      </c>
      <c r="C41">
        <v>31028755</v>
      </c>
      <c r="D41">
        <v>29084595</v>
      </c>
      <c r="E41">
        <v>1</v>
      </c>
      <c r="F41">
        <v>1</v>
      </c>
      <c r="G41">
        <v>1</v>
      </c>
      <c r="H41">
        <v>1</v>
      </c>
      <c r="I41" t="s">
        <v>833</v>
      </c>
      <c r="J41" t="s">
        <v>6</v>
      </c>
      <c r="K41" t="s">
        <v>834</v>
      </c>
      <c r="L41">
        <v>1369</v>
      </c>
      <c r="N41">
        <v>1013</v>
      </c>
      <c r="O41" t="s">
        <v>773</v>
      </c>
      <c r="P41" t="s">
        <v>773</v>
      </c>
      <c r="Q41">
        <v>1</v>
      </c>
      <c r="W41">
        <v>0</v>
      </c>
      <c r="X41">
        <v>62379012</v>
      </c>
      <c r="Y41">
        <v>18.250499999999999</v>
      </c>
      <c r="AA41">
        <v>0</v>
      </c>
      <c r="AB41">
        <v>0</v>
      </c>
      <c r="AC41">
        <v>0</v>
      </c>
      <c r="AD41">
        <v>217.25</v>
      </c>
      <c r="AE41">
        <v>0</v>
      </c>
      <c r="AF41">
        <v>0</v>
      </c>
      <c r="AG41">
        <v>0</v>
      </c>
      <c r="AH41">
        <v>8.9700000000000006</v>
      </c>
      <c r="AI41">
        <v>1</v>
      </c>
      <c r="AJ41">
        <v>1</v>
      </c>
      <c r="AK41">
        <v>1</v>
      </c>
      <c r="AL41">
        <v>24.22</v>
      </c>
      <c r="AN41">
        <v>0</v>
      </c>
      <c r="AO41">
        <v>1</v>
      </c>
      <c r="AP41">
        <v>1</v>
      </c>
      <c r="AQ41">
        <v>0</v>
      </c>
      <c r="AR41">
        <v>0</v>
      </c>
      <c r="AS41" t="s">
        <v>6</v>
      </c>
      <c r="AT41">
        <v>13.8</v>
      </c>
      <c r="AU41" t="s">
        <v>127</v>
      </c>
      <c r="AV41">
        <v>1</v>
      </c>
      <c r="AW41">
        <v>2</v>
      </c>
      <c r="AX41">
        <v>31028762</v>
      </c>
      <c r="AY41">
        <v>1</v>
      </c>
      <c r="AZ41">
        <v>0</v>
      </c>
      <c r="BA41">
        <v>47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Y41*Source!I85</f>
        <v>0.49276349999999997</v>
      </c>
      <c r="CY41">
        <f>AD41</f>
        <v>217.25</v>
      </c>
      <c r="CZ41">
        <f>AH41</f>
        <v>8.9700000000000006</v>
      </c>
      <c r="DA41">
        <f>AL41</f>
        <v>24.22</v>
      </c>
      <c r="DB41">
        <f>ROUND((ROUND(AT41*CZ41,2)*ROUND((1.15*1.15),7)),6)</f>
        <v>163.71227500000001</v>
      </c>
      <c r="DC41">
        <f>ROUND((ROUND(AT41*AG41,2)*ROUND((1.15*1.15),7)),6)</f>
        <v>0</v>
      </c>
    </row>
    <row r="42" spans="1:107">
      <c r="A42">
        <f>ROW(Source!A85)</f>
        <v>85</v>
      </c>
      <c r="B42">
        <v>31028412</v>
      </c>
      <c r="C42">
        <v>31028755</v>
      </c>
      <c r="D42">
        <v>29147697</v>
      </c>
      <c r="E42">
        <v>1</v>
      </c>
      <c r="F42">
        <v>1</v>
      </c>
      <c r="G42">
        <v>1</v>
      </c>
      <c r="H42">
        <v>2</v>
      </c>
      <c r="I42" t="s">
        <v>822</v>
      </c>
      <c r="J42" t="s">
        <v>823</v>
      </c>
      <c r="K42" t="s">
        <v>824</v>
      </c>
      <c r="L42">
        <v>1368</v>
      </c>
      <c r="N42">
        <v>1011</v>
      </c>
      <c r="O42" t="s">
        <v>780</v>
      </c>
      <c r="P42" t="s">
        <v>780</v>
      </c>
      <c r="Q42">
        <v>1</v>
      </c>
      <c r="W42">
        <v>0</v>
      </c>
      <c r="X42">
        <v>-1933197009</v>
      </c>
      <c r="Y42">
        <v>0.12937499999999999</v>
      </c>
      <c r="AA42">
        <v>0</v>
      </c>
      <c r="AB42">
        <v>12.99</v>
      </c>
      <c r="AC42">
        <v>0</v>
      </c>
      <c r="AD42">
        <v>0</v>
      </c>
      <c r="AE42">
        <v>0</v>
      </c>
      <c r="AF42">
        <v>1.7</v>
      </c>
      <c r="AG42">
        <v>0</v>
      </c>
      <c r="AH42">
        <v>0</v>
      </c>
      <c r="AI42">
        <v>1</v>
      </c>
      <c r="AJ42">
        <v>7.64</v>
      </c>
      <c r="AK42">
        <v>24.22</v>
      </c>
      <c r="AL42">
        <v>1</v>
      </c>
      <c r="AN42">
        <v>0</v>
      </c>
      <c r="AO42">
        <v>1</v>
      </c>
      <c r="AP42">
        <v>1</v>
      </c>
      <c r="AQ42">
        <v>0</v>
      </c>
      <c r="AR42">
        <v>0</v>
      </c>
      <c r="AS42" t="s">
        <v>6</v>
      </c>
      <c r="AT42">
        <v>0.09</v>
      </c>
      <c r="AU42" t="s">
        <v>126</v>
      </c>
      <c r="AV42">
        <v>0</v>
      </c>
      <c r="AW42">
        <v>2</v>
      </c>
      <c r="AX42">
        <v>31028763</v>
      </c>
      <c r="AY42">
        <v>1</v>
      </c>
      <c r="AZ42">
        <v>0</v>
      </c>
      <c r="BA42">
        <v>48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Y42*Source!I85</f>
        <v>3.4931249999999997E-3</v>
      </c>
      <c r="CY42">
        <f>AB42</f>
        <v>12.99</v>
      </c>
      <c r="CZ42">
        <f>AF42</f>
        <v>1.7</v>
      </c>
      <c r="DA42">
        <f>AJ42</f>
        <v>7.64</v>
      </c>
      <c r="DB42">
        <f>ROUND((ROUND(AT42*CZ42,2)*ROUND((1.25*1.15),7)),6)</f>
        <v>0.21562500000000001</v>
      </c>
      <c r="DC42">
        <f>ROUND((ROUND(AT42*AG42,2)*ROUND((1.25*1.15),7)),6)</f>
        <v>0</v>
      </c>
    </row>
    <row r="43" spans="1:107">
      <c r="A43">
        <f>ROW(Source!A85)</f>
        <v>85</v>
      </c>
      <c r="B43">
        <v>31028412</v>
      </c>
      <c r="C43">
        <v>31028755</v>
      </c>
      <c r="D43">
        <v>29149520</v>
      </c>
      <c r="E43">
        <v>1</v>
      </c>
      <c r="F43">
        <v>1</v>
      </c>
      <c r="G43">
        <v>1</v>
      </c>
      <c r="H43">
        <v>2</v>
      </c>
      <c r="I43" t="s">
        <v>790</v>
      </c>
      <c r="J43" t="s">
        <v>791</v>
      </c>
      <c r="K43" t="s">
        <v>792</v>
      </c>
      <c r="L43">
        <v>1368</v>
      </c>
      <c r="N43">
        <v>1011</v>
      </c>
      <c r="O43" t="s">
        <v>780</v>
      </c>
      <c r="P43" t="s">
        <v>780</v>
      </c>
      <c r="Q43">
        <v>1</v>
      </c>
      <c r="W43">
        <v>0</v>
      </c>
      <c r="X43">
        <v>-1931461795</v>
      </c>
      <c r="Y43">
        <v>0.11499999999999999</v>
      </c>
      <c r="AA43">
        <v>0</v>
      </c>
      <c r="AB43">
        <v>699.98</v>
      </c>
      <c r="AC43">
        <v>0</v>
      </c>
      <c r="AD43">
        <v>0</v>
      </c>
      <c r="AE43">
        <v>0</v>
      </c>
      <c r="AF43">
        <v>91.62</v>
      </c>
      <c r="AG43">
        <v>0</v>
      </c>
      <c r="AH43">
        <v>0</v>
      </c>
      <c r="AI43">
        <v>1</v>
      </c>
      <c r="AJ43">
        <v>7.64</v>
      </c>
      <c r="AK43">
        <v>24.22</v>
      </c>
      <c r="AL43">
        <v>1</v>
      </c>
      <c r="AN43">
        <v>0</v>
      </c>
      <c r="AO43">
        <v>1</v>
      </c>
      <c r="AP43">
        <v>1</v>
      </c>
      <c r="AQ43">
        <v>0</v>
      </c>
      <c r="AR43">
        <v>0</v>
      </c>
      <c r="AS43" t="s">
        <v>6</v>
      </c>
      <c r="AT43">
        <v>0.08</v>
      </c>
      <c r="AU43" t="s">
        <v>126</v>
      </c>
      <c r="AV43">
        <v>0</v>
      </c>
      <c r="AW43">
        <v>2</v>
      </c>
      <c r="AX43">
        <v>31028764</v>
      </c>
      <c r="AY43">
        <v>1</v>
      </c>
      <c r="AZ43">
        <v>0</v>
      </c>
      <c r="BA43">
        <v>49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Y43*Source!I85</f>
        <v>3.1049999999999997E-3</v>
      </c>
      <c r="CY43">
        <f>AB43</f>
        <v>699.98</v>
      </c>
      <c r="CZ43">
        <f>AF43</f>
        <v>91.62</v>
      </c>
      <c r="DA43">
        <f>AJ43</f>
        <v>7.64</v>
      </c>
      <c r="DB43">
        <f>ROUND((ROUND(AT43*CZ43,2)*ROUND((1.25*1.15),7)),6)</f>
        <v>10.536875</v>
      </c>
      <c r="DC43">
        <f>ROUND((ROUND(AT43*AG43,2)*ROUND((1.25*1.15),7)),6)</f>
        <v>0</v>
      </c>
    </row>
    <row r="44" spans="1:107">
      <c r="A44">
        <f>ROW(Source!A85)</f>
        <v>85</v>
      </c>
      <c r="B44">
        <v>31028412</v>
      </c>
      <c r="C44">
        <v>31028755</v>
      </c>
      <c r="D44">
        <v>29151861</v>
      </c>
      <c r="E44">
        <v>1</v>
      </c>
      <c r="F44">
        <v>1</v>
      </c>
      <c r="G44">
        <v>1</v>
      </c>
      <c r="H44">
        <v>3</v>
      </c>
      <c r="I44" t="s">
        <v>835</v>
      </c>
      <c r="J44" t="s">
        <v>836</v>
      </c>
      <c r="K44" t="s">
        <v>837</v>
      </c>
      <c r="L44">
        <v>1327</v>
      </c>
      <c r="N44">
        <v>1005</v>
      </c>
      <c r="O44" t="s">
        <v>284</v>
      </c>
      <c r="P44" t="s">
        <v>284</v>
      </c>
      <c r="Q44">
        <v>1</v>
      </c>
      <c r="W44">
        <v>0</v>
      </c>
      <c r="X44">
        <v>1527270933</v>
      </c>
      <c r="Y44">
        <v>0.28999999999999998</v>
      </c>
      <c r="AA44">
        <v>452.82</v>
      </c>
      <c r="AB44">
        <v>0</v>
      </c>
      <c r="AC44">
        <v>0</v>
      </c>
      <c r="AD44">
        <v>0</v>
      </c>
      <c r="AE44">
        <v>73.39</v>
      </c>
      <c r="AF44">
        <v>0</v>
      </c>
      <c r="AG44">
        <v>0</v>
      </c>
      <c r="AH44">
        <v>0</v>
      </c>
      <c r="AI44">
        <v>6.17</v>
      </c>
      <c r="AJ44">
        <v>1</v>
      </c>
      <c r="AK44">
        <v>1</v>
      </c>
      <c r="AL44">
        <v>1</v>
      </c>
      <c r="AN44">
        <v>0</v>
      </c>
      <c r="AO44">
        <v>1</v>
      </c>
      <c r="AP44">
        <v>0</v>
      </c>
      <c r="AQ44">
        <v>0</v>
      </c>
      <c r="AR44">
        <v>0</v>
      </c>
      <c r="AS44" t="s">
        <v>6</v>
      </c>
      <c r="AT44">
        <v>0.28999999999999998</v>
      </c>
      <c r="AU44" t="s">
        <v>6</v>
      </c>
      <c r="AV44">
        <v>0</v>
      </c>
      <c r="AW44">
        <v>2</v>
      </c>
      <c r="AX44">
        <v>31028765</v>
      </c>
      <c r="AY44">
        <v>1</v>
      </c>
      <c r="AZ44">
        <v>0</v>
      </c>
      <c r="BA44">
        <v>50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Y44*Source!I85</f>
        <v>7.8300000000000002E-3</v>
      </c>
      <c r="CY44">
        <f>AA44</f>
        <v>452.82</v>
      </c>
      <c r="CZ44">
        <f>AE44</f>
        <v>73.39</v>
      </c>
      <c r="DA44">
        <f>AI44</f>
        <v>6.17</v>
      </c>
      <c r="DB44">
        <f>ROUND(ROUND(AT44*CZ44,2),6)</f>
        <v>21.28</v>
      </c>
      <c r="DC44">
        <f>ROUND(ROUND(AT44*AG44,2),6)</f>
        <v>0</v>
      </c>
    </row>
    <row r="45" spans="1:107">
      <c r="A45">
        <f>ROW(Source!A85)</f>
        <v>85</v>
      </c>
      <c r="B45">
        <v>31028412</v>
      </c>
      <c r="C45">
        <v>31028755</v>
      </c>
      <c r="D45">
        <v>29152014</v>
      </c>
      <c r="E45">
        <v>1</v>
      </c>
      <c r="F45">
        <v>1</v>
      </c>
      <c r="G45">
        <v>1</v>
      </c>
      <c r="H45">
        <v>3</v>
      </c>
      <c r="I45" t="s">
        <v>838</v>
      </c>
      <c r="J45" t="s">
        <v>839</v>
      </c>
      <c r="K45" t="s">
        <v>840</v>
      </c>
      <c r="L45">
        <v>1346</v>
      </c>
      <c r="N45">
        <v>1009</v>
      </c>
      <c r="O45" t="s">
        <v>118</v>
      </c>
      <c r="P45" t="s">
        <v>118</v>
      </c>
      <c r="Q45">
        <v>1</v>
      </c>
      <c r="W45">
        <v>0</v>
      </c>
      <c r="X45">
        <v>-1526040720</v>
      </c>
      <c r="Y45">
        <v>0.01</v>
      </c>
      <c r="AA45">
        <v>11.97</v>
      </c>
      <c r="AB45">
        <v>0</v>
      </c>
      <c r="AC45">
        <v>0</v>
      </c>
      <c r="AD45">
        <v>0</v>
      </c>
      <c r="AE45">
        <v>1.94</v>
      </c>
      <c r="AF45">
        <v>0</v>
      </c>
      <c r="AG45">
        <v>0</v>
      </c>
      <c r="AH45">
        <v>0</v>
      </c>
      <c r="AI45">
        <v>6.17</v>
      </c>
      <c r="AJ45">
        <v>1</v>
      </c>
      <c r="AK45">
        <v>1</v>
      </c>
      <c r="AL45">
        <v>1</v>
      </c>
      <c r="AN45">
        <v>0</v>
      </c>
      <c r="AO45">
        <v>1</v>
      </c>
      <c r="AP45">
        <v>0</v>
      </c>
      <c r="AQ45">
        <v>0</v>
      </c>
      <c r="AR45">
        <v>0</v>
      </c>
      <c r="AS45" t="s">
        <v>6</v>
      </c>
      <c r="AT45">
        <v>0.01</v>
      </c>
      <c r="AU45" t="s">
        <v>6</v>
      </c>
      <c r="AV45">
        <v>0</v>
      </c>
      <c r="AW45">
        <v>2</v>
      </c>
      <c r="AX45">
        <v>31028766</v>
      </c>
      <c r="AY45">
        <v>1</v>
      </c>
      <c r="AZ45">
        <v>0</v>
      </c>
      <c r="BA45">
        <v>51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Y45*Source!I85</f>
        <v>2.7E-4</v>
      </c>
      <c r="CY45">
        <f>AA45</f>
        <v>11.97</v>
      </c>
      <c r="CZ45">
        <f>AE45</f>
        <v>1.94</v>
      </c>
      <c r="DA45">
        <f>AI45</f>
        <v>6.17</v>
      </c>
      <c r="DB45">
        <f>ROUND(ROUND(AT45*CZ45,2),6)</f>
        <v>0.02</v>
      </c>
      <c r="DC45">
        <f>ROUND(ROUND(AT45*AG45,2),6)</f>
        <v>0</v>
      </c>
    </row>
    <row r="46" spans="1:107">
      <c r="A46">
        <f>ROW(Source!A85)</f>
        <v>85</v>
      </c>
      <c r="B46">
        <v>31028412</v>
      </c>
      <c r="C46">
        <v>31028755</v>
      </c>
      <c r="D46">
        <v>29153777</v>
      </c>
      <c r="E46">
        <v>1</v>
      </c>
      <c r="F46">
        <v>1</v>
      </c>
      <c r="G46">
        <v>1</v>
      </c>
      <c r="H46">
        <v>3</v>
      </c>
      <c r="I46" t="s">
        <v>841</v>
      </c>
      <c r="J46" t="s">
        <v>842</v>
      </c>
      <c r="K46" t="s">
        <v>843</v>
      </c>
      <c r="L46">
        <v>1348</v>
      </c>
      <c r="N46">
        <v>1009</v>
      </c>
      <c r="O46" t="s">
        <v>137</v>
      </c>
      <c r="P46" t="s">
        <v>137</v>
      </c>
      <c r="Q46">
        <v>1000</v>
      </c>
      <c r="W46">
        <v>0</v>
      </c>
      <c r="X46">
        <v>1465816552</v>
      </c>
      <c r="Y46">
        <v>1.7500000000000002E-2</v>
      </c>
      <c r="AA46">
        <v>32433.78</v>
      </c>
      <c r="AB46">
        <v>0</v>
      </c>
      <c r="AC46">
        <v>0</v>
      </c>
      <c r="AD46">
        <v>0</v>
      </c>
      <c r="AE46">
        <v>5256.69</v>
      </c>
      <c r="AF46">
        <v>0</v>
      </c>
      <c r="AG46">
        <v>0</v>
      </c>
      <c r="AH46">
        <v>0</v>
      </c>
      <c r="AI46">
        <v>6.17</v>
      </c>
      <c r="AJ46">
        <v>1</v>
      </c>
      <c r="AK46">
        <v>1</v>
      </c>
      <c r="AL46">
        <v>1</v>
      </c>
      <c r="AN46">
        <v>0</v>
      </c>
      <c r="AO46">
        <v>1</v>
      </c>
      <c r="AP46">
        <v>0</v>
      </c>
      <c r="AQ46">
        <v>0</v>
      </c>
      <c r="AR46">
        <v>0</v>
      </c>
      <c r="AS46" t="s">
        <v>6</v>
      </c>
      <c r="AT46">
        <v>1.7500000000000002E-2</v>
      </c>
      <c r="AU46" t="s">
        <v>6</v>
      </c>
      <c r="AV46">
        <v>0</v>
      </c>
      <c r="AW46">
        <v>2</v>
      </c>
      <c r="AX46">
        <v>31028768</v>
      </c>
      <c r="AY46">
        <v>1</v>
      </c>
      <c r="AZ46">
        <v>0</v>
      </c>
      <c r="BA46">
        <v>53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Y46*Source!I85</f>
        <v>4.7250000000000005E-4</v>
      </c>
      <c r="CY46">
        <f>AA46</f>
        <v>32433.78</v>
      </c>
      <c r="CZ46">
        <f>AE46</f>
        <v>5256.69</v>
      </c>
      <c r="DA46">
        <f>AI46</f>
        <v>6.17</v>
      </c>
      <c r="DB46">
        <f>ROUND(ROUND(AT46*CZ46,2),6)</f>
        <v>91.99</v>
      </c>
      <c r="DC46">
        <f>ROUND(ROUND(AT46*AG46,2),6)</f>
        <v>0</v>
      </c>
    </row>
    <row r="47" spans="1:107">
      <c r="A47">
        <f>ROW(Source!A90)</f>
        <v>90</v>
      </c>
      <c r="B47">
        <v>31028412</v>
      </c>
      <c r="C47">
        <v>31028774</v>
      </c>
      <c r="D47">
        <v>29084583</v>
      </c>
      <c r="E47">
        <v>1</v>
      </c>
      <c r="F47">
        <v>1</v>
      </c>
      <c r="G47">
        <v>1</v>
      </c>
      <c r="H47">
        <v>1</v>
      </c>
      <c r="I47" t="s">
        <v>857</v>
      </c>
      <c r="J47" t="s">
        <v>6</v>
      </c>
      <c r="K47" t="s">
        <v>858</v>
      </c>
      <c r="L47">
        <v>1369</v>
      </c>
      <c r="N47">
        <v>1013</v>
      </c>
      <c r="O47" t="s">
        <v>773</v>
      </c>
      <c r="P47" t="s">
        <v>773</v>
      </c>
      <c r="Q47">
        <v>1</v>
      </c>
      <c r="W47">
        <v>0</v>
      </c>
      <c r="X47">
        <v>1784516707</v>
      </c>
      <c r="Y47">
        <v>149.11187499999997</v>
      </c>
      <c r="AA47">
        <v>0</v>
      </c>
      <c r="AB47">
        <v>0</v>
      </c>
      <c r="AC47">
        <v>0</v>
      </c>
      <c r="AD47">
        <v>199.33</v>
      </c>
      <c r="AE47">
        <v>0</v>
      </c>
      <c r="AF47">
        <v>0</v>
      </c>
      <c r="AG47">
        <v>0</v>
      </c>
      <c r="AH47">
        <v>8.23</v>
      </c>
      <c r="AI47">
        <v>1</v>
      </c>
      <c r="AJ47">
        <v>1</v>
      </c>
      <c r="AK47">
        <v>1</v>
      </c>
      <c r="AL47">
        <v>24.22</v>
      </c>
      <c r="AN47">
        <v>0</v>
      </c>
      <c r="AO47">
        <v>1</v>
      </c>
      <c r="AP47">
        <v>1</v>
      </c>
      <c r="AQ47">
        <v>0</v>
      </c>
      <c r="AR47">
        <v>0</v>
      </c>
      <c r="AS47" t="s">
        <v>6</v>
      </c>
      <c r="AT47">
        <v>112.75</v>
      </c>
      <c r="AU47" t="s">
        <v>127</v>
      </c>
      <c r="AV47">
        <v>1</v>
      </c>
      <c r="AW47">
        <v>2</v>
      </c>
      <c r="AX47">
        <v>31028782</v>
      </c>
      <c r="AY47">
        <v>1</v>
      </c>
      <c r="AZ47">
        <v>0</v>
      </c>
      <c r="BA47">
        <v>55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Y47*Source!I90</f>
        <v>3.6234185624999991</v>
      </c>
      <c r="CY47">
        <f>AD47</f>
        <v>199.33</v>
      </c>
      <c r="CZ47">
        <f>AH47</f>
        <v>8.23</v>
      </c>
      <c r="DA47">
        <f>AL47</f>
        <v>24.22</v>
      </c>
      <c r="DB47">
        <f>ROUND((ROUND(AT47*CZ47,2)*ROUND((1.15*1.15),7)),6)</f>
        <v>1227.1874250000001</v>
      </c>
      <c r="DC47">
        <f>ROUND((ROUND(AT47*AG47,2)*ROUND((1.15*1.15),7)),6)</f>
        <v>0</v>
      </c>
    </row>
    <row r="48" spans="1:107">
      <c r="A48">
        <f>ROW(Source!A90)</f>
        <v>90</v>
      </c>
      <c r="B48">
        <v>31028412</v>
      </c>
      <c r="C48">
        <v>31028774</v>
      </c>
      <c r="D48">
        <v>29084573</v>
      </c>
      <c r="E48">
        <v>1</v>
      </c>
      <c r="F48">
        <v>1</v>
      </c>
      <c r="G48">
        <v>1</v>
      </c>
      <c r="H48">
        <v>1</v>
      </c>
      <c r="I48" t="s">
        <v>774</v>
      </c>
      <c r="J48" t="s">
        <v>6</v>
      </c>
      <c r="K48" t="s">
        <v>775</v>
      </c>
      <c r="L48">
        <v>608254</v>
      </c>
      <c r="N48">
        <v>1013</v>
      </c>
      <c r="O48" t="s">
        <v>776</v>
      </c>
      <c r="P48" t="s">
        <v>776</v>
      </c>
      <c r="Q48">
        <v>1</v>
      </c>
      <c r="W48">
        <v>0</v>
      </c>
      <c r="X48">
        <v>95408949</v>
      </c>
      <c r="Y48">
        <v>0.28749999999999998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1</v>
      </c>
      <c r="AJ48">
        <v>1</v>
      </c>
      <c r="AK48">
        <v>24.22</v>
      </c>
      <c r="AL48">
        <v>1</v>
      </c>
      <c r="AN48">
        <v>0</v>
      </c>
      <c r="AO48">
        <v>1</v>
      </c>
      <c r="AP48">
        <v>1</v>
      </c>
      <c r="AQ48">
        <v>0</v>
      </c>
      <c r="AR48">
        <v>0</v>
      </c>
      <c r="AS48" t="s">
        <v>6</v>
      </c>
      <c r="AT48">
        <v>0.2</v>
      </c>
      <c r="AU48" t="s">
        <v>126</v>
      </c>
      <c r="AV48">
        <v>2</v>
      </c>
      <c r="AW48">
        <v>2</v>
      </c>
      <c r="AX48">
        <v>31028783</v>
      </c>
      <c r="AY48">
        <v>1</v>
      </c>
      <c r="AZ48">
        <v>0</v>
      </c>
      <c r="BA48">
        <v>56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Y48*Source!I90</f>
        <v>6.9862499999999994E-3</v>
      </c>
      <c r="CY48">
        <f>AD48</f>
        <v>0</v>
      </c>
      <c r="CZ48">
        <f>AH48</f>
        <v>0</v>
      </c>
      <c r="DA48">
        <f>AL48</f>
        <v>1</v>
      </c>
      <c r="DB48">
        <f>ROUND((ROUND(AT48*CZ48,2)*ROUND((1.25*1.15),7)),6)</f>
        <v>0</v>
      </c>
      <c r="DC48">
        <f>ROUND((ROUND(AT48*AG48,2)*ROUND((1.25*1.15),7)),6)</f>
        <v>0</v>
      </c>
    </row>
    <row r="49" spans="1:107">
      <c r="A49">
        <f>ROW(Source!A90)</f>
        <v>90</v>
      </c>
      <c r="B49">
        <v>31028412</v>
      </c>
      <c r="C49">
        <v>31028774</v>
      </c>
      <c r="D49">
        <v>29147520</v>
      </c>
      <c r="E49">
        <v>1</v>
      </c>
      <c r="F49">
        <v>1</v>
      </c>
      <c r="G49">
        <v>1</v>
      </c>
      <c r="H49">
        <v>2</v>
      </c>
      <c r="I49" t="s">
        <v>777</v>
      </c>
      <c r="J49" t="s">
        <v>778</v>
      </c>
      <c r="K49" t="s">
        <v>779</v>
      </c>
      <c r="L49">
        <v>1368</v>
      </c>
      <c r="N49">
        <v>1011</v>
      </c>
      <c r="O49" t="s">
        <v>780</v>
      </c>
      <c r="P49" t="s">
        <v>780</v>
      </c>
      <c r="Q49">
        <v>1</v>
      </c>
      <c r="W49">
        <v>0</v>
      </c>
      <c r="X49">
        <v>-2048414082</v>
      </c>
      <c r="Y49">
        <v>0.28749999999999998</v>
      </c>
      <c r="AA49">
        <v>0</v>
      </c>
      <c r="AB49">
        <v>656.51</v>
      </c>
      <c r="AC49">
        <v>315.58999999999997</v>
      </c>
      <c r="AD49">
        <v>0</v>
      </c>
      <c r="AE49">
        <v>0</v>
      </c>
      <c r="AF49">
        <v>85.93</v>
      </c>
      <c r="AG49">
        <v>13.03</v>
      </c>
      <c r="AH49">
        <v>0</v>
      </c>
      <c r="AI49">
        <v>1</v>
      </c>
      <c r="AJ49">
        <v>7.64</v>
      </c>
      <c r="AK49">
        <v>24.22</v>
      </c>
      <c r="AL49">
        <v>1</v>
      </c>
      <c r="AN49">
        <v>0</v>
      </c>
      <c r="AO49">
        <v>1</v>
      </c>
      <c r="AP49">
        <v>1</v>
      </c>
      <c r="AQ49">
        <v>0</v>
      </c>
      <c r="AR49">
        <v>0</v>
      </c>
      <c r="AS49" t="s">
        <v>6</v>
      </c>
      <c r="AT49">
        <v>0.2</v>
      </c>
      <c r="AU49" t="s">
        <v>126</v>
      </c>
      <c r="AV49">
        <v>0</v>
      </c>
      <c r="AW49">
        <v>2</v>
      </c>
      <c r="AX49">
        <v>31028784</v>
      </c>
      <c r="AY49">
        <v>1</v>
      </c>
      <c r="AZ49">
        <v>0</v>
      </c>
      <c r="BA49">
        <v>57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Y49*Source!I90</f>
        <v>6.9862499999999994E-3</v>
      </c>
      <c r="CY49">
        <f>AB49</f>
        <v>656.51</v>
      </c>
      <c r="CZ49">
        <f>AF49</f>
        <v>85.93</v>
      </c>
      <c r="DA49">
        <f>AJ49</f>
        <v>7.64</v>
      </c>
      <c r="DB49">
        <f>ROUND((ROUND(AT49*CZ49,2)*ROUND((1.25*1.15),7)),6)</f>
        <v>24.710625</v>
      </c>
      <c r="DC49">
        <f>ROUND((ROUND(AT49*AG49,2)*ROUND((1.25*1.15),7)),6)</f>
        <v>3.7518750000000001</v>
      </c>
    </row>
    <row r="50" spans="1:107">
      <c r="A50">
        <f>ROW(Source!A90)</f>
        <v>90</v>
      </c>
      <c r="B50">
        <v>31028412</v>
      </c>
      <c r="C50">
        <v>31028774</v>
      </c>
      <c r="D50">
        <v>29149520</v>
      </c>
      <c r="E50">
        <v>1</v>
      </c>
      <c r="F50">
        <v>1</v>
      </c>
      <c r="G50">
        <v>1</v>
      </c>
      <c r="H50">
        <v>2</v>
      </c>
      <c r="I50" t="s">
        <v>790</v>
      </c>
      <c r="J50" t="s">
        <v>791</v>
      </c>
      <c r="K50" t="s">
        <v>792</v>
      </c>
      <c r="L50">
        <v>1368</v>
      </c>
      <c r="N50">
        <v>1011</v>
      </c>
      <c r="O50" t="s">
        <v>780</v>
      </c>
      <c r="P50" t="s">
        <v>780</v>
      </c>
      <c r="Q50">
        <v>1</v>
      </c>
      <c r="W50">
        <v>0</v>
      </c>
      <c r="X50">
        <v>-1931461795</v>
      </c>
      <c r="Y50">
        <v>0.10062500000000001</v>
      </c>
      <c r="AA50">
        <v>0</v>
      </c>
      <c r="AB50">
        <v>699.98</v>
      </c>
      <c r="AC50">
        <v>0</v>
      </c>
      <c r="AD50">
        <v>0</v>
      </c>
      <c r="AE50">
        <v>0</v>
      </c>
      <c r="AF50">
        <v>91.62</v>
      </c>
      <c r="AG50">
        <v>0</v>
      </c>
      <c r="AH50">
        <v>0</v>
      </c>
      <c r="AI50">
        <v>1</v>
      </c>
      <c r="AJ50">
        <v>7.64</v>
      </c>
      <c r="AK50">
        <v>24.22</v>
      </c>
      <c r="AL50">
        <v>1</v>
      </c>
      <c r="AN50">
        <v>0</v>
      </c>
      <c r="AO50">
        <v>1</v>
      </c>
      <c r="AP50">
        <v>1</v>
      </c>
      <c r="AQ50">
        <v>0</v>
      </c>
      <c r="AR50">
        <v>0</v>
      </c>
      <c r="AS50" t="s">
        <v>6</v>
      </c>
      <c r="AT50">
        <v>7.0000000000000007E-2</v>
      </c>
      <c r="AU50" t="s">
        <v>126</v>
      </c>
      <c r="AV50">
        <v>0</v>
      </c>
      <c r="AW50">
        <v>2</v>
      </c>
      <c r="AX50">
        <v>31028785</v>
      </c>
      <c r="AY50">
        <v>1</v>
      </c>
      <c r="AZ50">
        <v>0</v>
      </c>
      <c r="BA50">
        <v>58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Y50*Source!I90</f>
        <v>2.4451874999999999E-3</v>
      </c>
      <c r="CY50">
        <f>AB50</f>
        <v>699.98</v>
      </c>
      <c r="CZ50">
        <f>AF50</f>
        <v>91.62</v>
      </c>
      <c r="DA50">
        <f>AJ50</f>
        <v>7.64</v>
      </c>
      <c r="DB50">
        <f>ROUND((ROUND(AT50*CZ50,2)*ROUND((1.25*1.15),7)),6)</f>
        <v>9.2143750000000004</v>
      </c>
      <c r="DC50">
        <f>ROUND((ROUND(AT50*AG50,2)*ROUND((1.25*1.15),7)),6)</f>
        <v>0</v>
      </c>
    </row>
    <row r="51" spans="1:107">
      <c r="A51">
        <f>ROW(Source!A90)</f>
        <v>90</v>
      </c>
      <c r="B51">
        <v>31028412</v>
      </c>
      <c r="C51">
        <v>31028774</v>
      </c>
      <c r="D51">
        <v>29150561</v>
      </c>
      <c r="E51">
        <v>1</v>
      </c>
      <c r="F51">
        <v>1</v>
      </c>
      <c r="G51">
        <v>1</v>
      </c>
      <c r="H51">
        <v>3</v>
      </c>
      <c r="I51" t="s">
        <v>793</v>
      </c>
      <c r="J51" t="s">
        <v>794</v>
      </c>
      <c r="K51" t="s">
        <v>795</v>
      </c>
      <c r="L51">
        <v>1348</v>
      </c>
      <c r="N51">
        <v>1009</v>
      </c>
      <c r="O51" t="s">
        <v>137</v>
      </c>
      <c r="P51" t="s">
        <v>137</v>
      </c>
      <c r="Q51">
        <v>1000</v>
      </c>
      <c r="W51">
        <v>0</v>
      </c>
      <c r="X51">
        <v>-592936270</v>
      </c>
      <c r="Y51">
        <v>4.0000000000000001E-3</v>
      </c>
      <c r="AA51">
        <v>52235.839999999997</v>
      </c>
      <c r="AB51">
        <v>0</v>
      </c>
      <c r="AC51">
        <v>0</v>
      </c>
      <c r="AD51">
        <v>0</v>
      </c>
      <c r="AE51">
        <v>8466.1</v>
      </c>
      <c r="AF51">
        <v>0</v>
      </c>
      <c r="AG51">
        <v>0</v>
      </c>
      <c r="AH51">
        <v>0</v>
      </c>
      <c r="AI51">
        <v>6.17</v>
      </c>
      <c r="AJ51">
        <v>1</v>
      </c>
      <c r="AK51">
        <v>1</v>
      </c>
      <c r="AL51">
        <v>1</v>
      </c>
      <c r="AN51">
        <v>0</v>
      </c>
      <c r="AO51">
        <v>1</v>
      </c>
      <c r="AP51">
        <v>0</v>
      </c>
      <c r="AQ51">
        <v>0</v>
      </c>
      <c r="AR51">
        <v>0</v>
      </c>
      <c r="AS51" t="s">
        <v>6</v>
      </c>
      <c r="AT51">
        <v>4.0000000000000001E-3</v>
      </c>
      <c r="AU51" t="s">
        <v>6</v>
      </c>
      <c r="AV51">
        <v>0</v>
      </c>
      <c r="AW51">
        <v>2</v>
      </c>
      <c r="AX51">
        <v>31028786</v>
      </c>
      <c r="AY51">
        <v>1</v>
      </c>
      <c r="AZ51">
        <v>0</v>
      </c>
      <c r="BA51">
        <v>59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Y51*Source!I90</f>
        <v>9.7199999999999991E-5</v>
      </c>
      <c r="CY51">
        <f>AA51</f>
        <v>52235.839999999997</v>
      </c>
      <c r="CZ51">
        <f>AE51</f>
        <v>8466.1</v>
      </c>
      <c r="DA51">
        <f>AI51</f>
        <v>6.17</v>
      </c>
      <c r="DB51">
        <f>ROUND(ROUND(AT51*CZ51,2),6)</f>
        <v>33.86</v>
      </c>
      <c r="DC51">
        <f>ROUND(ROUND(AT51*AG51,2),6)</f>
        <v>0</v>
      </c>
    </row>
    <row r="52" spans="1:107">
      <c r="A52">
        <f>ROW(Source!A90)</f>
        <v>90</v>
      </c>
      <c r="B52">
        <v>31028412</v>
      </c>
      <c r="C52">
        <v>31028774</v>
      </c>
      <c r="D52">
        <v>29151141</v>
      </c>
      <c r="E52">
        <v>1</v>
      </c>
      <c r="F52">
        <v>1</v>
      </c>
      <c r="G52">
        <v>1</v>
      </c>
      <c r="H52">
        <v>3</v>
      </c>
      <c r="I52" t="s">
        <v>859</v>
      </c>
      <c r="J52" t="s">
        <v>860</v>
      </c>
      <c r="K52" t="s">
        <v>861</v>
      </c>
      <c r="L52">
        <v>1348</v>
      </c>
      <c r="N52">
        <v>1009</v>
      </c>
      <c r="O52" t="s">
        <v>137</v>
      </c>
      <c r="P52" t="s">
        <v>137</v>
      </c>
      <c r="Q52">
        <v>1000</v>
      </c>
      <c r="W52">
        <v>0</v>
      </c>
      <c r="X52">
        <v>-1196663995</v>
      </c>
      <c r="Y52">
        <v>1.2E-2</v>
      </c>
      <c r="AA52">
        <v>54961.62</v>
      </c>
      <c r="AB52">
        <v>0</v>
      </c>
      <c r="AC52">
        <v>0</v>
      </c>
      <c r="AD52">
        <v>0</v>
      </c>
      <c r="AE52">
        <v>8907.8799999999992</v>
      </c>
      <c r="AF52">
        <v>0</v>
      </c>
      <c r="AG52">
        <v>0</v>
      </c>
      <c r="AH52">
        <v>0</v>
      </c>
      <c r="AI52">
        <v>6.17</v>
      </c>
      <c r="AJ52">
        <v>1</v>
      </c>
      <c r="AK52">
        <v>1</v>
      </c>
      <c r="AL52">
        <v>1</v>
      </c>
      <c r="AN52">
        <v>0</v>
      </c>
      <c r="AO52">
        <v>1</v>
      </c>
      <c r="AP52">
        <v>0</v>
      </c>
      <c r="AQ52">
        <v>0</v>
      </c>
      <c r="AR52">
        <v>0</v>
      </c>
      <c r="AS52" t="s">
        <v>6</v>
      </c>
      <c r="AT52">
        <v>1.2E-2</v>
      </c>
      <c r="AU52" t="s">
        <v>6</v>
      </c>
      <c r="AV52">
        <v>0</v>
      </c>
      <c r="AW52">
        <v>2</v>
      </c>
      <c r="AX52">
        <v>31028787</v>
      </c>
      <c r="AY52">
        <v>1</v>
      </c>
      <c r="AZ52">
        <v>0</v>
      </c>
      <c r="BA52">
        <v>60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Y52*Source!I90</f>
        <v>2.9159999999999999E-4</v>
      </c>
      <c r="CY52">
        <f>AA52</f>
        <v>54961.62</v>
      </c>
      <c r="CZ52">
        <f>AE52</f>
        <v>8907.8799999999992</v>
      </c>
      <c r="DA52">
        <f>AI52</f>
        <v>6.17</v>
      </c>
      <c r="DB52">
        <f>ROUND(ROUND(AT52*CZ52,2),6)</f>
        <v>106.89</v>
      </c>
      <c r="DC52">
        <f>ROUND(ROUND(AT52*AG52,2),6)</f>
        <v>0</v>
      </c>
    </row>
    <row r="53" spans="1:107">
      <c r="A53">
        <f>ROW(Source!A90)</f>
        <v>90</v>
      </c>
      <c r="B53">
        <v>31028412</v>
      </c>
      <c r="C53">
        <v>31028774</v>
      </c>
      <c r="D53">
        <v>29152118</v>
      </c>
      <c r="E53">
        <v>1</v>
      </c>
      <c r="F53">
        <v>1</v>
      </c>
      <c r="G53">
        <v>1</v>
      </c>
      <c r="H53">
        <v>3</v>
      </c>
      <c r="I53" t="s">
        <v>862</v>
      </c>
      <c r="J53" t="s">
        <v>863</v>
      </c>
      <c r="K53" t="s">
        <v>864</v>
      </c>
      <c r="L53">
        <v>1348</v>
      </c>
      <c r="N53">
        <v>1009</v>
      </c>
      <c r="O53" t="s">
        <v>137</v>
      </c>
      <c r="P53" t="s">
        <v>137</v>
      </c>
      <c r="Q53">
        <v>1000</v>
      </c>
      <c r="W53">
        <v>0</v>
      </c>
      <c r="X53">
        <v>-148970551</v>
      </c>
      <c r="Y53">
        <v>0.78200000000000003</v>
      </c>
      <c r="AA53">
        <v>75073.100000000006</v>
      </c>
      <c r="AB53">
        <v>0</v>
      </c>
      <c r="AC53">
        <v>0</v>
      </c>
      <c r="AD53">
        <v>0</v>
      </c>
      <c r="AE53">
        <v>12167.44</v>
      </c>
      <c r="AF53">
        <v>0</v>
      </c>
      <c r="AG53">
        <v>0</v>
      </c>
      <c r="AH53">
        <v>0</v>
      </c>
      <c r="AI53">
        <v>6.17</v>
      </c>
      <c r="AJ53">
        <v>1</v>
      </c>
      <c r="AK53">
        <v>1</v>
      </c>
      <c r="AL53">
        <v>1</v>
      </c>
      <c r="AN53">
        <v>0</v>
      </c>
      <c r="AO53">
        <v>1</v>
      </c>
      <c r="AP53">
        <v>0</v>
      </c>
      <c r="AQ53">
        <v>0</v>
      </c>
      <c r="AR53">
        <v>0</v>
      </c>
      <c r="AS53" t="s">
        <v>6</v>
      </c>
      <c r="AT53">
        <v>0.78200000000000003</v>
      </c>
      <c r="AU53" t="s">
        <v>6</v>
      </c>
      <c r="AV53">
        <v>0</v>
      </c>
      <c r="AW53">
        <v>2</v>
      </c>
      <c r="AX53">
        <v>31028788</v>
      </c>
      <c r="AY53">
        <v>1</v>
      </c>
      <c r="AZ53">
        <v>0</v>
      </c>
      <c r="BA53">
        <v>61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Y53*Source!I90</f>
        <v>1.9002599999999998E-2</v>
      </c>
      <c r="CY53">
        <f>AA53</f>
        <v>75073.100000000006</v>
      </c>
      <c r="CZ53">
        <f>AE53</f>
        <v>12167.44</v>
      </c>
      <c r="DA53">
        <f>AI53</f>
        <v>6.17</v>
      </c>
      <c r="DB53">
        <f>ROUND(ROUND(AT53*CZ53,2),6)</f>
        <v>9514.94</v>
      </c>
      <c r="DC53">
        <f>ROUND(ROUND(AT53*AG53,2),6)</f>
        <v>0</v>
      </c>
    </row>
    <row r="54" spans="1:107">
      <c r="A54">
        <f>ROW(Source!A91)</f>
        <v>91</v>
      </c>
      <c r="B54">
        <v>31028412</v>
      </c>
      <c r="C54">
        <v>31028789</v>
      </c>
      <c r="D54">
        <v>29084595</v>
      </c>
      <c r="E54">
        <v>1</v>
      </c>
      <c r="F54">
        <v>1</v>
      </c>
      <c r="G54">
        <v>1</v>
      </c>
      <c r="H54">
        <v>1</v>
      </c>
      <c r="I54" t="s">
        <v>833</v>
      </c>
      <c r="J54" t="s">
        <v>6</v>
      </c>
      <c r="K54" t="s">
        <v>834</v>
      </c>
      <c r="L54">
        <v>1369</v>
      </c>
      <c r="N54">
        <v>1013</v>
      </c>
      <c r="O54" t="s">
        <v>773</v>
      </c>
      <c r="P54" t="s">
        <v>773</v>
      </c>
      <c r="Q54">
        <v>1</v>
      </c>
      <c r="W54">
        <v>0</v>
      </c>
      <c r="X54">
        <v>62379012</v>
      </c>
      <c r="Y54">
        <v>21.027749999999997</v>
      </c>
      <c r="AA54">
        <v>0</v>
      </c>
      <c r="AB54">
        <v>0</v>
      </c>
      <c r="AC54">
        <v>0</v>
      </c>
      <c r="AD54">
        <v>217.25</v>
      </c>
      <c r="AE54">
        <v>0</v>
      </c>
      <c r="AF54">
        <v>0</v>
      </c>
      <c r="AG54">
        <v>0</v>
      </c>
      <c r="AH54">
        <v>8.9700000000000006</v>
      </c>
      <c r="AI54">
        <v>1</v>
      </c>
      <c r="AJ54">
        <v>1</v>
      </c>
      <c r="AK54">
        <v>1</v>
      </c>
      <c r="AL54">
        <v>24.22</v>
      </c>
      <c r="AN54">
        <v>0</v>
      </c>
      <c r="AO54">
        <v>1</v>
      </c>
      <c r="AP54">
        <v>1</v>
      </c>
      <c r="AQ54">
        <v>0</v>
      </c>
      <c r="AR54">
        <v>0</v>
      </c>
      <c r="AS54" t="s">
        <v>6</v>
      </c>
      <c r="AT54">
        <v>15.9</v>
      </c>
      <c r="AU54" t="s">
        <v>127</v>
      </c>
      <c r="AV54">
        <v>1</v>
      </c>
      <c r="AW54">
        <v>2</v>
      </c>
      <c r="AX54">
        <v>31028796</v>
      </c>
      <c r="AY54">
        <v>1</v>
      </c>
      <c r="AZ54">
        <v>0</v>
      </c>
      <c r="BA54">
        <v>62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Y54*Source!I91</f>
        <v>5.4672149999999995</v>
      </c>
      <c r="CY54">
        <f>AD54</f>
        <v>217.25</v>
      </c>
      <c r="CZ54">
        <f>AH54</f>
        <v>8.9700000000000006</v>
      </c>
      <c r="DA54">
        <f>AL54</f>
        <v>24.22</v>
      </c>
      <c r="DB54">
        <f>ROUND((ROUND(AT54*CZ54,2)*ROUND((1.15*1.15),7)),6)</f>
        <v>188.61494999999999</v>
      </c>
      <c r="DC54">
        <f>ROUND((ROUND(AT54*AG54,2)*ROUND((1.15*1.15),7)),6)</f>
        <v>0</v>
      </c>
    </row>
    <row r="55" spans="1:107">
      <c r="A55">
        <f>ROW(Source!A91)</f>
        <v>91</v>
      </c>
      <c r="B55">
        <v>31028412</v>
      </c>
      <c r="C55">
        <v>31028789</v>
      </c>
      <c r="D55">
        <v>29147785</v>
      </c>
      <c r="E55">
        <v>1</v>
      </c>
      <c r="F55">
        <v>1</v>
      </c>
      <c r="G55">
        <v>1</v>
      </c>
      <c r="H55">
        <v>2</v>
      </c>
      <c r="I55" t="s">
        <v>865</v>
      </c>
      <c r="J55" t="s">
        <v>866</v>
      </c>
      <c r="K55" t="s">
        <v>867</v>
      </c>
      <c r="L55">
        <v>1368</v>
      </c>
      <c r="N55">
        <v>1011</v>
      </c>
      <c r="O55" t="s">
        <v>780</v>
      </c>
      <c r="P55" t="s">
        <v>780</v>
      </c>
      <c r="Q55">
        <v>1</v>
      </c>
      <c r="W55">
        <v>0</v>
      </c>
      <c r="X55">
        <v>2017111784</v>
      </c>
      <c r="Y55">
        <v>11.945625</v>
      </c>
      <c r="AA55">
        <v>0</v>
      </c>
      <c r="AB55">
        <v>411.57</v>
      </c>
      <c r="AC55">
        <v>0</v>
      </c>
      <c r="AD55">
        <v>0</v>
      </c>
      <c r="AE55">
        <v>0</v>
      </c>
      <c r="AF55">
        <v>53.87</v>
      </c>
      <c r="AG55">
        <v>0</v>
      </c>
      <c r="AH55">
        <v>0</v>
      </c>
      <c r="AI55">
        <v>1</v>
      </c>
      <c r="AJ55">
        <v>7.64</v>
      </c>
      <c r="AK55">
        <v>24.22</v>
      </c>
      <c r="AL55">
        <v>1</v>
      </c>
      <c r="AN55">
        <v>0</v>
      </c>
      <c r="AO55">
        <v>1</v>
      </c>
      <c r="AP55">
        <v>1</v>
      </c>
      <c r="AQ55">
        <v>0</v>
      </c>
      <c r="AR55">
        <v>0</v>
      </c>
      <c r="AS55" t="s">
        <v>6</v>
      </c>
      <c r="AT55">
        <v>8.31</v>
      </c>
      <c r="AU55" t="s">
        <v>126</v>
      </c>
      <c r="AV55">
        <v>0</v>
      </c>
      <c r="AW55">
        <v>2</v>
      </c>
      <c r="AX55">
        <v>31028797</v>
      </c>
      <c r="AY55">
        <v>1</v>
      </c>
      <c r="AZ55">
        <v>0</v>
      </c>
      <c r="BA55">
        <v>63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Y55*Source!I91</f>
        <v>3.1058625000000002</v>
      </c>
      <c r="CY55">
        <f>AB55</f>
        <v>411.57</v>
      </c>
      <c r="CZ55">
        <f>AF55</f>
        <v>53.87</v>
      </c>
      <c r="DA55">
        <f>AJ55</f>
        <v>7.64</v>
      </c>
      <c r="DB55">
        <f>ROUND((ROUND(AT55*CZ55,2)*ROUND((1.25*1.15),7)),6)</f>
        <v>643.51125000000002</v>
      </c>
      <c r="DC55">
        <f>ROUND((ROUND(AT55*AG55,2)*ROUND((1.25*1.15),7)),6)</f>
        <v>0</v>
      </c>
    </row>
    <row r="56" spans="1:107">
      <c r="A56">
        <f>ROW(Source!A91)</f>
        <v>91</v>
      </c>
      <c r="B56">
        <v>31028412</v>
      </c>
      <c r="C56">
        <v>31028789</v>
      </c>
      <c r="D56">
        <v>29149520</v>
      </c>
      <c r="E56">
        <v>1</v>
      </c>
      <c r="F56">
        <v>1</v>
      </c>
      <c r="G56">
        <v>1</v>
      </c>
      <c r="H56">
        <v>2</v>
      </c>
      <c r="I56" t="s">
        <v>790</v>
      </c>
      <c r="J56" t="s">
        <v>791</v>
      </c>
      <c r="K56" t="s">
        <v>792</v>
      </c>
      <c r="L56">
        <v>1368</v>
      </c>
      <c r="N56">
        <v>1011</v>
      </c>
      <c r="O56" t="s">
        <v>780</v>
      </c>
      <c r="P56" t="s">
        <v>780</v>
      </c>
      <c r="Q56">
        <v>1</v>
      </c>
      <c r="W56">
        <v>0</v>
      </c>
      <c r="X56">
        <v>-1931461795</v>
      </c>
      <c r="Y56">
        <v>7.1874999999999994E-2</v>
      </c>
      <c r="AA56">
        <v>0</v>
      </c>
      <c r="AB56">
        <v>699.98</v>
      </c>
      <c r="AC56">
        <v>0</v>
      </c>
      <c r="AD56">
        <v>0</v>
      </c>
      <c r="AE56">
        <v>0</v>
      </c>
      <c r="AF56">
        <v>91.62</v>
      </c>
      <c r="AG56">
        <v>0</v>
      </c>
      <c r="AH56">
        <v>0</v>
      </c>
      <c r="AI56">
        <v>1</v>
      </c>
      <c r="AJ56">
        <v>7.64</v>
      </c>
      <c r="AK56">
        <v>24.22</v>
      </c>
      <c r="AL56">
        <v>1</v>
      </c>
      <c r="AN56">
        <v>0</v>
      </c>
      <c r="AO56">
        <v>1</v>
      </c>
      <c r="AP56">
        <v>1</v>
      </c>
      <c r="AQ56">
        <v>0</v>
      </c>
      <c r="AR56">
        <v>0</v>
      </c>
      <c r="AS56" t="s">
        <v>6</v>
      </c>
      <c r="AT56">
        <v>0.05</v>
      </c>
      <c r="AU56" t="s">
        <v>126</v>
      </c>
      <c r="AV56">
        <v>0</v>
      </c>
      <c r="AW56">
        <v>2</v>
      </c>
      <c r="AX56">
        <v>31028798</v>
      </c>
      <c r="AY56">
        <v>1</v>
      </c>
      <c r="AZ56">
        <v>0</v>
      </c>
      <c r="BA56">
        <v>64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Y56*Source!I91</f>
        <v>1.8687499999999999E-2</v>
      </c>
      <c r="CY56">
        <f>AB56</f>
        <v>699.98</v>
      </c>
      <c r="CZ56">
        <f>AF56</f>
        <v>91.62</v>
      </c>
      <c r="DA56">
        <f>AJ56</f>
        <v>7.64</v>
      </c>
      <c r="DB56">
        <f>ROUND((ROUND(AT56*CZ56,2)*ROUND((1.25*1.15),7)),6)</f>
        <v>6.5837500000000002</v>
      </c>
      <c r="DC56">
        <f>ROUND((ROUND(AT56*AG56,2)*ROUND((1.25*1.15),7)),6)</f>
        <v>0</v>
      </c>
    </row>
    <row r="57" spans="1:107">
      <c r="A57">
        <f>ROW(Source!A91)</f>
        <v>91</v>
      </c>
      <c r="B57">
        <v>31028412</v>
      </c>
      <c r="C57">
        <v>31028789</v>
      </c>
      <c r="D57">
        <v>29150706</v>
      </c>
      <c r="E57">
        <v>1</v>
      </c>
      <c r="F57">
        <v>1</v>
      </c>
      <c r="G57">
        <v>1</v>
      </c>
      <c r="H57">
        <v>3</v>
      </c>
      <c r="I57" t="s">
        <v>868</v>
      </c>
      <c r="J57" t="s">
        <v>869</v>
      </c>
      <c r="K57" t="s">
        <v>870</v>
      </c>
      <c r="L57">
        <v>1348</v>
      </c>
      <c r="N57">
        <v>1009</v>
      </c>
      <c r="O57" t="s">
        <v>137</v>
      </c>
      <c r="P57" t="s">
        <v>137</v>
      </c>
      <c r="Q57">
        <v>1000</v>
      </c>
      <c r="W57">
        <v>0</v>
      </c>
      <c r="X57">
        <v>910559724</v>
      </c>
      <c r="Y57">
        <v>3.7999999999999999E-2</v>
      </c>
      <c r="AA57">
        <v>71362.22</v>
      </c>
      <c r="AB57">
        <v>0</v>
      </c>
      <c r="AC57">
        <v>0</v>
      </c>
      <c r="AD57">
        <v>0</v>
      </c>
      <c r="AE57">
        <v>11566</v>
      </c>
      <c r="AF57">
        <v>0</v>
      </c>
      <c r="AG57">
        <v>0</v>
      </c>
      <c r="AH57">
        <v>0</v>
      </c>
      <c r="AI57">
        <v>6.17</v>
      </c>
      <c r="AJ57">
        <v>1</v>
      </c>
      <c r="AK57">
        <v>1</v>
      </c>
      <c r="AL57">
        <v>1</v>
      </c>
      <c r="AN57">
        <v>0</v>
      </c>
      <c r="AO57">
        <v>1</v>
      </c>
      <c r="AP57">
        <v>0</v>
      </c>
      <c r="AQ57">
        <v>0</v>
      </c>
      <c r="AR57">
        <v>0</v>
      </c>
      <c r="AS57" t="s">
        <v>6</v>
      </c>
      <c r="AT57">
        <v>3.7999999999999999E-2</v>
      </c>
      <c r="AU57" t="s">
        <v>6</v>
      </c>
      <c r="AV57">
        <v>0</v>
      </c>
      <c r="AW57">
        <v>2</v>
      </c>
      <c r="AX57">
        <v>31028799</v>
      </c>
      <c r="AY57">
        <v>1</v>
      </c>
      <c r="AZ57">
        <v>0</v>
      </c>
      <c r="BA57">
        <v>65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Y57*Source!I91</f>
        <v>9.8799999999999999E-3</v>
      </c>
      <c r="CY57">
        <f>AA57</f>
        <v>71362.22</v>
      </c>
      <c r="CZ57">
        <f>AE57</f>
        <v>11566</v>
      </c>
      <c r="DA57">
        <f>AI57</f>
        <v>6.17</v>
      </c>
      <c r="DB57">
        <f>ROUND(ROUND(AT57*CZ57,2),6)</f>
        <v>439.51</v>
      </c>
      <c r="DC57">
        <f>ROUND(ROUND(AT57*AG57,2),6)</f>
        <v>0</v>
      </c>
    </row>
    <row r="58" spans="1:107">
      <c r="A58">
        <f>ROW(Source!A91)</f>
        <v>91</v>
      </c>
      <c r="B58">
        <v>31028412</v>
      </c>
      <c r="C58">
        <v>31028789</v>
      </c>
      <c r="D58">
        <v>29152014</v>
      </c>
      <c r="E58">
        <v>1</v>
      </c>
      <c r="F58">
        <v>1</v>
      </c>
      <c r="G58">
        <v>1</v>
      </c>
      <c r="H58">
        <v>3</v>
      </c>
      <c r="I58" t="s">
        <v>838</v>
      </c>
      <c r="J58" t="s">
        <v>839</v>
      </c>
      <c r="K58" t="s">
        <v>840</v>
      </c>
      <c r="L58">
        <v>1346</v>
      </c>
      <c r="N58">
        <v>1009</v>
      </c>
      <c r="O58" t="s">
        <v>118</v>
      </c>
      <c r="P58" t="s">
        <v>118</v>
      </c>
      <c r="Q58">
        <v>1</v>
      </c>
      <c r="W58">
        <v>0</v>
      </c>
      <c r="X58">
        <v>-1526040720</v>
      </c>
      <c r="Y58">
        <v>0.01</v>
      </c>
      <c r="AA58">
        <v>11.97</v>
      </c>
      <c r="AB58">
        <v>0</v>
      </c>
      <c r="AC58">
        <v>0</v>
      </c>
      <c r="AD58">
        <v>0</v>
      </c>
      <c r="AE58">
        <v>1.94</v>
      </c>
      <c r="AF58">
        <v>0</v>
      </c>
      <c r="AG58">
        <v>0</v>
      </c>
      <c r="AH58">
        <v>0</v>
      </c>
      <c r="AI58">
        <v>6.17</v>
      </c>
      <c r="AJ58">
        <v>1</v>
      </c>
      <c r="AK58">
        <v>1</v>
      </c>
      <c r="AL58">
        <v>1</v>
      </c>
      <c r="AN58">
        <v>0</v>
      </c>
      <c r="AO58">
        <v>1</v>
      </c>
      <c r="AP58">
        <v>0</v>
      </c>
      <c r="AQ58">
        <v>0</v>
      </c>
      <c r="AR58">
        <v>0</v>
      </c>
      <c r="AS58" t="s">
        <v>6</v>
      </c>
      <c r="AT58">
        <v>0.01</v>
      </c>
      <c r="AU58" t="s">
        <v>6</v>
      </c>
      <c r="AV58">
        <v>0</v>
      </c>
      <c r="AW58">
        <v>2</v>
      </c>
      <c r="AX58">
        <v>31028800</v>
      </c>
      <c r="AY58">
        <v>1</v>
      </c>
      <c r="AZ58">
        <v>0</v>
      </c>
      <c r="BA58">
        <v>66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Y58*Source!I91</f>
        <v>2.6000000000000003E-3</v>
      </c>
      <c r="CY58">
        <f>AA58</f>
        <v>11.97</v>
      </c>
      <c r="CZ58">
        <f>AE58</f>
        <v>1.94</v>
      </c>
      <c r="DA58">
        <f>AI58</f>
        <v>6.17</v>
      </c>
      <c r="DB58">
        <f>ROUND(ROUND(AT58*CZ58,2),6)</f>
        <v>0.02</v>
      </c>
      <c r="DC58">
        <f>ROUND(ROUND(AT58*AG58,2),6)</f>
        <v>0</v>
      </c>
    </row>
    <row r="59" spans="1:107">
      <c r="A59">
        <f>ROW(Source!A91)</f>
        <v>91</v>
      </c>
      <c r="B59">
        <v>31028412</v>
      </c>
      <c r="C59">
        <v>31028789</v>
      </c>
      <c r="D59">
        <v>29195057</v>
      </c>
      <c r="E59">
        <v>1</v>
      </c>
      <c r="F59">
        <v>1</v>
      </c>
      <c r="G59">
        <v>1</v>
      </c>
      <c r="H59">
        <v>3</v>
      </c>
      <c r="I59" t="s">
        <v>871</v>
      </c>
      <c r="J59" t="s">
        <v>872</v>
      </c>
      <c r="K59" t="s">
        <v>873</v>
      </c>
      <c r="L59">
        <v>1339</v>
      </c>
      <c r="N59">
        <v>1007</v>
      </c>
      <c r="O59" t="s">
        <v>109</v>
      </c>
      <c r="P59" t="s">
        <v>109</v>
      </c>
      <c r="Q59">
        <v>1</v>
      </c>
      <c r="W59">
        <v>0</v>
      </c>
      <c r="X59">
        <v>585056117</v>
      </c>
      <c r="Y59">
        <v>2.9999999999999997E-4</v>
      </c>
      <c r="AA59">
        <v>460.16</v>
      </c>
      <c r="AB59">
        <v>0</v>
      </c>
      <c r="AC59">
        <v>0</v>
      </c>
      <c r="AD59">
        <v>0</v>
      </c>
      <c r="AE59">
        <v>74.58</v>
      </c>
      <c r="AF59">
        <v>0</v>
      </c>
      <c r="AG59">
        <v>0</v>
      </c>
      <c r="AH59">
        <v>0</v>
      </c>
      <c r="AI59">
        <v>6.17</v>
      </c>
      <c r="AJ59">
        <v>1</v>
      </c>
      <c r="AK59">
        <v>1</v>
      </c>
      <c r="AL59">
        <v>1</v>
      </c>
      <c r="AN59">
        <v>0</v>
      </c>
      <c r="AO59">
        <v>1</v>
      </c>
      <c r="AP59">
        <v>0</v>
      </c>
      <c r="AQ59">
        <v>0</v>
      </c>
      <c r="AR59">
        <v>0</v>
      </c>
      <c r="AS59" t="s">
        <v>6</v>
      </c>
      <c r="AT59">
        <v>2.9999999999999997E-4</v>
      </c>
      <c r="AU59" t="s">
        <v>6</v>
      </c>
      <c r="AV59">
        <v>0</v>
      </c>
      <c r="AW59">
        <v>2</v>
      </c>
      <c r="AX59">
        <v>31028802</v>
      </c>
      <c r="AY59">
        <v>1</v>
      </c>
      <c r="AZ59">
        <v>0</v>
      </c>
      <c r="BA59">
        <v>68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Y59*Source!I91</f>
        <v>7.7999999999999999E-5</v>
      </c>
      <c r="CY59">
        <f>AA59</f>
        <v>460.16</v>
      </c>
      <c r="CZ59">
        <f>AE59</f>
        <v>74.58</v>
      </c>
      <c r="DA59">
        <f>AI59</f>
        <v>6.17</v>
      </c>
      <c r="DB59">
        <f>ROUND(ROUND(AT59*CZ59,2),6)</f>
        <v>0.02</v>
      </c>
      <c r="DC59">
        <f>ROUND(ROUND(AT59*AG59,2),6)</f>
        <v>0</v>
      </c>
    </row>
    <row r="60" spans="1:107">
      <c r="A60">
        <f>ROW(Source!A95)</f>
        <v>95</v>
      </c>
      <c r="B60">
        <v>31028412</v>
      </c>
      <c r="C60">
        <v>31028806</v>
      </c>
      <c r="D60">
        <v>29084589</v>
      </c>
      <c r="E60">
        <v>1</v>
      </c>
      <c r="F60">
        <v>1</v>
      </c>
      <c r="G60">
        <v>1</v>
      </c>
      <c r="H60">
        <v>1</v>
      </c>
      <c r="I60" t="s">
        <v>771</v>
      </c>
      <c r="J60" t="s">
        <v>6</v>
      </c>
      <c r="K60" t="s">
        <v>772</v>
      </c>
      <c r="L60">
        <v>1369</v>
      </c>
      <c r="N60">
        <v>1013</v>
      </c>
      <c r="O60" t="s">
        <v>773</v>
      </c>
      <c r="P60" t="s">
        <v>773</v>
      </c>
      <c r="Q60">
        <v>1</v>
      </c>
      <c r="W60">
        <v>0</v>
      </c>
      <c r="X60">
        <v>-1659096359</v>
      </c>
      <c r="Y60">
        <v>9.4759999999999991</v>
      </c>
      <c r="AA60">
        <v>0</v>
      </c>
      <c r="AB60">
        <v>0</v>
      </c>
      <c r="AC60">
        <v>0</v>
      </c>
      <c r="AD60">
        <v>207.08</v>
      </c>
      <c r="AE60">
        <v>0</v>
      </c>
      <c r="AF60">
        <v>0</v>
      </c>
      <c r="AG60">
        <v>0</v>
      </c>
      <c r="AH60">
        <v>8.5500000000000007</v>
      </c>
      <c r="AI60">
        <v>1</v>
      </c>
      <c r="AJ60">
        <v>1</v>
      </c>
      <c r="AK60">
        <v>1</v>
      </c>
      <c r="AL60">
        <v>24.22</v>
      </c>
      <c r="AN60">
        <v>0</v>
      </c>
      <c r="AO60">
        <v>1</v>
      </c>
      <c r="AP60">
        <v>1</v>
      </c>
      <c r="AQ60">
        <v>0</v>
      </c>
      <c r="AR60">
        <v>0</v>
      </c>
      <c r="AS60" t="s">
        <v>6</v>
      </c>
      <c r="AT60">
        <v>8.24</v>
      </c>
      <c r="AU60" t="s">
        <v>36</v>
      </c>
      <c r="AV60">
        <v>1</v>
      </c>
      <c r="AW60">
        <v>2</v>
      </c>
      <c r="AX60">
        <v>31028811</v>
      </c>
      <c r="AY60">
        <v>1</v>
      </c>
      <c r="AZ60">
        <v>0</v>
      </c>
      <c r="BA60">
        <v>69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Y60*Source!I95</f>
        <v>345.30543999999992</v>
      </c>
      <c r="CY60">
        <f>AD60</f>
        <v>207.08</v>
      </c>
      <c r="CZ60">
        <f>AH60</f>
        <v>8.5500000000000007</v>
      </c>
      <c r="DA60">
        <f>AL60</f>
        <v>24.22</v>
      </c>
      <c r="DB60">
        <f>ROUND((ROUND(AT60*CZ60,2)*ROUND(1.15,7)),6)</f>
        <v>81.017499999999998</v>
      </c>
      <c r="DC60">
        <f>ROUND((ROUND(AT60*AG60,2)*ROUND(1.15,7)),6)</f>
        <v>0</v>
      </c>
    </row>
    <row r="61" spans="1:107">
      <c r="A61">
        <f>ROW(Source!A95)</f>
        <v>95</v>
      </c>
      <c r="B61">
        <v>31028412</v>
      </c>
      <c r="C61">
        <v>31028806</v>
      </c>
      <c r="D61">
        <v>29084573</v>
      </c>
      <c r="E61">
        <v>1</v>
      </c>
      <c r="F61">
        <v>1</v>
      </c>
      <c r="G61">
        <v>1</v>
      </c>
      <c r="H61">
        <v>1</v>
      </c>
      <c r="I61" t="s">
        <v>774</v>
      </c>
      <c r="J61" t="s">
        <v>6</v>
      </c>
      <c r="K61" t="s">
        <v>775</v>
      </c>
      <c r="L61">
        <v>608254</v>
      </c>
      <c r="N61">
        <v>1013</v>
      </c>
      <c r="O61" t="s">
        <v>776</v>
      </c>
      <c r="P61" t="s">
        <v>776</v>
      </c>
      <c r="Q61">
        <v>1</v>
      </c>
      <c r="W61">
        <v>0</v>
      </c>
      <c r="X61">
        <v>95408949</v>
      </c>
      <c r="Y61">
        <v>1.3224999999999998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1</v>
      </c>
      <c r="AJ61">
        <v>1</v>
      </c>
      <c r="AK61">
        <v>24.22</v>
      </c>
      <c r="AL61">
        <v>1</v>
      </c>
      <c r="AN61">
        <v>0</v>
      </c>
      <c r="AO61">
        <v>1</v>
      </c>
      <c r="AP61">
        <v>1</v>
      </c>
      <c r="AQ61">
        <v>0</v>
      </c>
      <c r="AR61">
        <v>0</v>
      </c>
      <c r="AS61" t="s">
        <v>6</v>
      </c>
      <c r="AT61">
        <v>1.1499999999999999</v>
      </c>
      <c r="AU61" t="s">
        <v>36</v>
      </c>
      <c r="AV61">
        <v>2</v>
      </c>
      <c r="AW61">
        <v>2</v>
      </c>
      <c r="AX61">
        <v>31028812</v>
      </c>
      <c r="AY61">
        <v>1</v>
      </c>
      <c r="AZ61">
        <v>0</v>
      </c>
      <c r="BA61">
        <v>70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Y61*Source!I95</f>
        <v>48.19189999999999</v>
      </c>
      <c r="CY61">
        <f>AD61</f>
        <v>0</v>
      </c>
      <c r="CZ61">
        <f>AH61</f>
        <v>0</v>
      </c>
      <c r="DA61">
        <f>AL61</f>
        <v>1</v>
      </c>
      <c r="DB61">
        <f>ROUND((ROUND(AT61*CZ61,2)*ROUND(1.15,7)),6)</f>
        <v>0</v>
      </c>
      <c r="DC61">
        <f>ROUND((ROUND(AT61*AG61,2)*ROUND(1.15,7)),6)</f>
        <v>0</v>
      </c>
    </row>
    <row r="62" spans="1:107">
      <c r="A62">
        <f>ROW(Source!A95)</f>
        <v>95</v>
      </c>
      <c r="B62">
        <v>31028412</v>
      </c>
      <c r="C62">
        <v>31028806</v>
      </c>
      <c r="D62">
        <v>29147843</v>
      </c>
      <c r="E62">
        <v>1</v>
      </c>
      <c r="F62">
        <v>1</v>
      </c>
      <c r="G62">
        <v>1</v>
      </c>
      <c r="H62">
        <v>2</v>
      </c>
      <c r="I62" t="s">
        <v>874</v>
      </c>
      <c r="J62" t="s">
        <v>875</v>
      </c>
      <c r="K62" t="s">
        <v>876</v>
      </c>
      <c r="L62">
        <v>1368</v>
      </c>
      <c r="N62">
        <v>1011</v>
      </c>
      <c r="O62" t="s">
        <v>780</v>
      </c>
      <c r="P62" t="s">
        <v>780</v>
      </c>
      <c r="Q62">
        <v>1</v>
      </c>
      <c r="W62">
        <v>0</v>
      </c>
      <c r="X62">
        <v>-488413844</v>
      </c>
      <c r="Y62">
        <v>1.3224999999999998</v>
      </c>
      <c r="AA62">
        <v>0</v>
      </c>
      <c r="AB62">
        <v>665.52</v>
      </c>
      <c r="AC62">
        <v>235.18</v>
      </c>
      <c r="AD62">
        <v>0</v>
      </c>
      <c r="AE62">
        <v>0</v>
      </c>
      <c r="AF62">
        <v>87.11</v>
      </c>
      <c r="AG62">
        <v>9.7100000000000009</v>
      </c>
      <c r="AH62">
        <v>0</v>
      </c>
      <c r="AI62">
        <v>1</v>
      </c>
      <c r="AJ62">
        <v>7.64</v>
      </c>
      <c r="AK62">
        <v>24.22</v>
      </c>
      <c r="AL62">
        <v>1</v>
      </c>
      <c r="AN62">
        <v>0</v>
      </c>
      <c r="AO62">
        <v>1</v>
      </c>
      <c r="AP62">
        <v>1</v>
      </c>
      <c r="AQ62">
        <v>0</v>
      </c>
      <c r="AR62">
        <v>0</v>
      </c>
      <c r="AS62" t="s">
        <v>6</v>
      </c>
      <c r="AT62">
        <v>1.1499999999999999</v>
      </c>
      <c r="AU62" t="s">
        <v>36</v>
      </c>
      <c r="AV62">
        <v>0</v>
      </c>
      <c r="AW62">
        <v>2</v>
      </c>
      <c r="AX62">
        <v>31028813</v>
      </c>
      <c r="AY62">
        <v>1</v>
      </c>
      <c r="AZ62">
        <v>0</v>
      </c>
      <c r="BA62">
        <v>71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Y62*Source!I95</f>
        <v>48.19189999999999</v>
      </c>
      <c r="CY62">
        <f>AB62</f>
        <v>665.52</v>
      </c>
      <c r="CZ62">
        <f>AF62</f>
        <v>87.11</v>
      </c>
      <c r="DA62">
        <f>AJ62</f>
        <v>7.64</v>
      </c>
      <c r="DB62">
        <f>ROUND((ROUND(AT62*CZ62,2)*ROUND(1.15,7)),6)</f>
        <v>115.20699999999999</v>
      </c>
      <c r="DC62">
        <f>ROUND((ROUND(AT62*AG62,2)*ROUND(1.15,7)),6)</f>
        <v>12.845499999999999</v>
      </c>
    </row>
    <row r="63" spans="1:107">
      <c r="A63">
        <f>ROW(Source!A95)</f>
        <v>95</v>
      </c>
      <c r="B63">
        <v>31028412</v>
      </c>
      <c r="C63">
        <v>31028806</v>
      </c>
      <c r="D63">
        <v>29149208</v>
      </c>
      <c r="E63">
        <v>1</v>
      </c>
      <c r="F63">
        <v>1</v>
      </c>
      <c r="G63">
        <v>1</v>
      </c>
      <c r="H63">
        <v>2</v>
      </c>
      <c r="I63" t="s">
        <v>877</v>
      </c>
      <c r="J63" t="s">
        <v>878</v>
      </c>
      <c r="K63" t="s">
        <v>879</v>
      </c>
      <c r="L63">
        <v>1368</v>
      </c>
      <c r="N63">
        <v>1011</v>
      </c>
      <c r="O63" t="s">
        <v>780</v>
      </c>
      <c r="P63" t="s">
        <v>780</v>
      </c>
      <c r="Q63">
        <v>1</v>
      </c>
      <c r="W63">
        <v>0</v>
      </c>
      <c r="X63">
        <v>-554917348</v>
      </c>
      <c r="Y63">
        <v>2.6449999999999996</v>
      </c>
      <c r="AA63">
        <v>0</v>
      </c>
      <c r="AB63">
        <v>11.69</v>
      </c>
      <c r="AC63">
        <v>0</v>
      </c>
      <c r="AD63">
        <v>0</v>
      </c>
      <c r="AE63">
        <v>0</v>
      </c>
      <c r="AF63">
        <v>1.53</v>
      </c>
      <c r="AG63">
        <v>0</v>
      </c>
      <c r="AH63">
        <v>0</v>
      </c>
      <c r="AI63">
        <v>1</v>
      </c>
      <c r="AJ63">
        <v>7.64</v>
      </c>
      <c r="AK63">
        <v>24.22</v>
      </c>
      <c r="AL63">
        <v>1</v>
      </c>
      <c r="AN63">
        <v>0</v>
      </c>
      <c r="AO63">
        <v>1</v>
      </c>
      <c r="AP63">
        <v>1</v>
      </c>
      <c r="AQ63">
        <v>0</v>
      </c>
      <c r="AR63">
        <v>0</v>
      </c>
      <c r="AS63" t="s">
        <v>6</v>
      </c>
      <c r="AT63">
        <v>2.2999999999999998</v>
      </c>
      <c r="AU63" t="s">
        <v>36</v>
      </c>
      <c r="AV63">
        <v>0</v>
      </c>
      <c r="AW63">
        <v>2</v>
      </c>
      <c r="AX63">
        <v>31028814</v>
      </c>
      <c r="AY63">
        <v>1</v>
      </c>
      <c r="AZ63">
        <v>0</v>
      </c>
      <c r="BA63">
        <v>72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Y63*Source!I95</f>
        <v>96.383799999999979</v>
      </c>
      <c r="CY63">
        <f>AB63</f>
        <v>11.69</v>
      </c>
      <c r="CZ63">
        <f>AF63</f>
        <v>1.53</v>
      </c>
      <c r="DA63">
        <f>AJ63</f>
        <v>7.64</v>
      </c>
      <c r="DB63">
        <f>ROUND((ROUND(AT63*CZ63,2)*ROUND(1.15,7)),6)</f>
        <v>4.048</v>
      </c>
      <c r="DC63">
        <f>ROUND((ROUND(AT63*AG63,2)*ROUND(1.15,7)),6)</f>
        <v>0</v>
      </c>
    </row>
    <row r="64" spans="1:107">
      <c r="A64">
        <f>ROW(Source!A96)</f>
        <v>96</v>
      </c>
      <c r="B64">
        <v>31028412</v>
      </c>
      <c r="C64">
        <v>31028815</v>
      </c>
      <c r="D64">
        <v>29084581</v>
      </c>
      <c r="E64">
        <v>1</v>
      </c>
      <c r="F64">
        <v>1</v>
      </c>
      <c r="G64">
        <v>1</v>
      </c>
      <c r="H64">
        <v>1</v>
      </c>
      <c r="I64" t="s">
        <v>880</v>
      </c>
      <c r="J64" t="s">
        <v>6</v>
      </c>
      <c r="K64" t="s">
        <v>881</v>
      </c>
      <c r="L64">
        <v>1369</v>
      </c>
      <c r="N64">
        <v>1013</v>
      </c>
      <c r="O64" t="s">
        <v>773</v>
      </c>
      <c r="P64" t="s">
        <v>773</v>
      </c>
      <c r="Q64">
        <v>1</v>
      </c>
      <c r="W64">
        <v>0</v>
      </c>
      <c r="X64">
        <v>-1013777572</v>
      </c>
      <c r="Y64">
        <v>7.1414999999999997</v>
      </c>
      <c r="AA64">
        <v>0</v>
      </c>
      <c r="AB64">
        <v>0</v>
      </c>
      <c r="AC64">
        <v>0</v>
      </c>
      <c r="AD64">
        <v>194.24</v>
      </c>
      <c r="AE64">
        <v>0</v>
      </c>
      <c r="AF64">
        <v>0</v>
      </c>
      <c r="AG64">
        <v>0</v>
      </c>
      <c r="AH64">
        <v>8.02</v>
      </c>
      <c r="AI64">
        <v>1</v>
      </c>
      <c r="AJ64">
        <v>1</v>
      </c>
      <c r="AK64">
        <v>1</v>
      </c>
      <c r="AL64">
        <v>24.22</v>
      </c>
      <c r="AN64">
        <v>0</v>
      </c>
      <c r="AO64">
        <v>1</v>
      </c>
      <c r="AP64">
        <v>1</v>
      </c>
      <c r="AQ64">
        <v>0</v>
      </c>
      <c r="AR64">
        <v>0</v>
      </c>
      <c r="AS64" t="s">
        <v>6</v>
      </c>
      <c r="AT64">
        <v>5.4</v>
      </c>
      <c r="AU64" t="s">
        <v>127</v>
      </c>
      <c r="AV64">
        <v>1</v>
      </c>
      <c r="AW64">
        <v>2</v>
      </c>
      <c r="AX64">
        <v>31028821</v>
      </c>
      <c r="AY64">
        <v>1</v>
      </c>
      <c r="AZ64">
        <v>0</v>
      </c>
      <c r="BA64">
        <v>73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Y64*Source!I96</f>
        <v>260.23625999999996</v>
      </c>
      <c r="CY64">
        <f>AD64</f>
        <v>194.24</v>
      </c>
      <c r="CZ64">
        <f>AH64</f>
        <v>8.02</v>
      </c>
      <c r="DA64">
        <f>AL64</f>
        <v>24.22</v>
      </c>
      <c r="DB64">
        <f>ROUND((ROUND(AT64*CZ64,2)*ROUND((1.15*1.15),7)),6)</f>
        <v>57.277475000000003</v>
      </c>
      <c r="DC64">
        <f>ROUND((ROUND(AT64*AG64,2)*ROUND((1.15*1.15),7)),6)</f>
        <v>0</v>
      </c>
    </row>
    <row r="65" spans="1:107">
      <c r="A65">
        <f>ROW(Source!A96)</f>
        <v>96</v>
      </c>
      <c r="B65">
        <v>31028412</v>
      </c>
      <c r="C65">
        <v>31028815</v>
      </c>
      <c r="D65">
        <v>29084573</v>
      </c>
      <c r="E65">
        <v>1</v>
      </c>
      <c r="F65">
        <v>1</v>
      </c>
      <c r="G65">
        <v>1</v>
      </c>
      <c r="H65">
        <v>1</v>
      </c>
      <c r="I65" t="s">
        <v>774</v>
      </c>
      <c r="J65" t="s">
        <v>6</v>
      </c>
      <c r="K65" t="s">
        <v>775</v>
      </c>
      <c r="L65">
        <v>608254</v>
      </c>
      <c r="N65">
        <v>1013</v>
      </c>
      <c r="O65" t="s">
        <v>776</v>
      </c>
      <c r="P65" t="s">
        <v>776</v>
      </c>
      <c r="Q65">
        <v>1</v>
      </c>
      <c r="W65">
        <v>0</v>
      </c>
      <c r="X65">
        <v>95408949</v>
      </c>
      <c r="Y65">
        <v>0.57499999999999996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1</v>
      </c>
      <c r="AJ65">
        <v>1</v>
      </c>
      <c r="AK65">
        <v>24.22</v>
      </c>
      <c r="AL65">
        <v>1</v>
      </c>
      <c r="AN65">
        <v>0</v>
      </c>
      <c r="AO65">
        <v>1</v>
      </c>
      <c r="AP65">
        <v>1</v>
      </c>
      <c r="AQ65">
        <v>0</v>
      </c>
      <c r="AR65">
        <v>0</v>
      </c>
      <c r="AS65" t="s">
        <v>6</v>
      </c>
      <c r="AT65">
        <v>0.4</v>
      </c>
      <c r="AU65" t="s">
        <v>126</v>
      </c>
      <c r="AV65">
        <v>2</v>
      </c>
      <c r="AW65">
        <v>2</v>
      </c>
      <c r="AX65">
        <v>31028822</v>
      </c>
      <c r="AY65">
        <v>1</v>
      </c>
      <c r="AZ65">
        <v>0</v>
      </c>
      <c r="BA65">
        <v>74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Y65*Source!I96</f>
        <v>20.952999999999996</v>
      </c>
      <c r="CY65">
        <f>AD65</f>
        <v>0</v>
      </c>
      <c r="CZ65">
        <f>AH65</f>
        <v>0</v>
      </c>
      <c r="DA65">
        <f>AL65</f>
        <v>1</v>
      </c>
      <c r="DB65">
        <f>ROUND((ROUND(AT65*CZ65,2)*ROUND((1.25*1.15),7)),6)</f>
        <v>0</v>
      </c>
      <c r="DC65">
        <f>ROUND((ROUND(AT65*AG65,2)*ROUND((1.25*1.15),7)),6)</f>
        <v>0</v>
      </c>
    </row>
    <row r="66" spans="1:107">
      <c r="A66">
        <f>ROW(Source!A96)</f>
        <v>96</v>
      </c>
      <c r="B66">
        <v>31028412</v>
      </c>
      <c r="C66">
        <v>31028815</v>
      </c>
      <c r="D66">
        <v>29147520</v>
      </c>
      <c r="E66">
        <v>1</v>
      </c>
      <c r="F66">
        <v>1</v>
      </c>
      <c r="G66">
        <v>1</v>
      </c>
      <c r="H66">
        <v>2</v>
      </c>
      <c r="I66" t="s">
        <v>777</v>
      </c>
      <c r="J66" t="s">
        <v>778</v>
      </c>
      <c r="K66" t="s">
        <v>779</v>
      </c>
      <c r="L66">
        <v>1368</v>
      </c>
      <c r="N66">
        <v>1011</v>
      </c>
      <c r="O66" t="s">
        <v>780</v>
      </c>
      <c r="P66" t="s">
        <v>780</v>
      </c>
      <c r="Q66">
        <v>1</v>
      </c>
      <c r="W66">
        <v>0</v>
      </c>
      <c r="X66">
        <v>-2048414082</v>
      </c>
      <c r="Y66">
        <v>0.57499999999999996</v>
      </c>
      <c r="AA66">
        <v>0</v>
      </c>
      <c r="AB66">
        <v>656.51</v>
      </c>
      <c r="AC66">
        <v>315.58999999999997</v>
      </c>
      <c r="AD66">
        <v>0</v>
      </c>
      <c r="AE66">
        <v>0</v>
      </c>
      <c r="AF66">
        <v>85.93</v>
      </c>
      <c r="AG66">
        <v>13.03</v>
      </c>
      <c r="AH66">
        <v>0</v>
      </c>
      <c r="AI66">
        <v>1</v>
      </c>
      <c r="AJ66">
        <v>7.64</v>
      </c>
      <c r="AK66">
        <v>24.22</v>
      </c>
      <c r="AL66">
        <v>1</v>
      </c>
      <c r="AN66">
        <v>0</v>
      </c>
      <c r="AO66">
        <v>1</v>
      </c>
      <c r="AP66">
        <v>1</v>
      </c>
      <c r="AQ66">
        <v>0</v>
      </c>
      <c r="AR66">
        <v>0</v>
      </c>
      <c r="AS66" t="s">
        <v>6</v>
      </c>
      <c r="AT66">
        <v>0.4</v>
      </c>
      <c r="AU66" t="s">
        <v>126</v>
      </c>
      <c r="AV66">
        <v>0</v>
      </c>
      <c r="AW66">
        <v>2</v>
      </c>
      <c r="AX66">
        <v>31028823</v>
      </c>
      <c r="AY66">
        <v>1</v>
      </c>
      <c r="AZ66">
        <v>0</v>
      </c>
      <c r="BA66">
        <v>75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Y66*Source!I96</f>
        <v>20.952999999999996</v>
      </c>
      <c r="CY66">
        <f>AB66</f>
        <v>656.51</v>
      </c>
      <c r="CZ66">
        <f>AF66</f>
        <v>85.93</v>
      </c>
      <c r="DA66">
        <f>AJ66</f>
        <v>7.64</v>
      </c>
      <c r="DB66">
        <f>ROUND((ROUND(AT66*CZ66,2)*ROUND((1.25*1.15),7)),6)</f>
        <v>49.406874999999999</v>
      </c>
      <c r="DC66">
        <f>ROUND((ROUND(AT66*AG66,2)*ROUND((1.25*1.15),7)),6)</f>
        <v>7.4893749999999999</v>
      </c>
    </row>
    <row r="67" spans="1:107">
      <c r="A67">
        <f>ROW(Source!A96)</f>
        <v>96</v>
      </c>
      <c r="B67">
        <v>31028412</v>
      </c>
      <c r="C67">
        <v>31028815</v>
      </c>
      <c r="D67">
        <v>29158138</v>
      </c>
      <c r="E67">
        <v>1</v>
      </c>
      <c r="F67">
        <v>1</v>
      </c>
      <c r="G67">
        <v>1</v>
      </c>
      <c r="H67">
        <v>3</v>
      </c>
      <c r="I67" t="s">
        <v>882</v>
      </c>
      <c r="J67" t="s">
        <v>883</v>
      </c>
      <c r="K67" t="s">
        <v>884</v>
      </c>
      <c r="L67">
        <v>1339</v>
      </c>
      <c r="N67">
        <v>1007</v>
      </c>
      <c r="O67" t="s">
        <v>109</v>
      </c>
      <c r="P67" t="s">
        <v>109</v>
      </c>
      <c r="Q67">
        <v>1</v>
      </c>
      <c r="W67">
        <v>0</v>
      </c>
      <c r="X67">
        <v>2054754152</v>
      </c>
      <c r="Y67">
        <v>5.0000000000000001E-4</v>
      </c>
      <c r="AA67">
        <v>4960.5600000000004</v>
      </c>
      <c r="AB67">
        <v>0</v>
      </c>
      <c r="AC67">
        <v>0</v>
      </c>
      <c r="AD67">
        <v>0</v>
      </c>
      <c r="AE67">
        <v>803.98</v>
      </c>
      <c r="AF67">
        <v>0</v>
      </c>
      <c r="AG67">
        <v>0</v>
      </c>
      <c r="AH67">
        <v>0</v>
      </c>
      <c r="AI67">
        <v>6.17</v>
      </c>
      <c r="AJ67">
        <v>1</v>
      </c>
      <c r="AK67">
        <v>1</v>
      </c>
      <c r="AL67">
        <v>1</v>
      </c>
      <c r="AN67">
        <v>0</v>
      </c>
      <c r="AO67">
        <v>1</v>
      </c>
      <c r="AP67">
        <v>0</v>
      </c>
      <c r="AQ67">
        <v>0</v>
      </c>
      <c r="AR67">
        <v>0</v>
      </c>
      <c r="AS67" t="s">
        <v>6</v>
      </c>
      <c r="AT67">
        <v>5.0000000000000001E-4</v>
      </c>
      <c r="AU67" t="s">
        <v>6</v>
      </c>
      <c r="AV67">
        <v>0</v>
      </c>
      <c r="AW67">
        <v>2</v>
      </c>
      <c r="AX67">
        <v>31028824</v>
      </c>
      <c r="AY67">
        <v>1</v>
      </c>
      <c r="AZ67">
        <v>0</v>
      </c>
      <c r="BA67">
        <v>76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Y67*Source!I96</f>
        <v>1.822E-2</v>
      </c>
      <c r="CY67">
        <f>AA67</f>
        <v>4960.5600000000004</v>
      </c>
      <c r="CZ67">
        <f>AE67</f>
        <v>803.98</v>
      </c>
      <c r="DA67">
        <f>AI67</f>
        <v>6.17</v>
      </c>
      <c r="DB67">
        <f>ROUND(ROUND(AT67*CZ67,2),6)</f>
        <v>0.4</v>
      </c>
      <c r="DC67">
        <f>ROUND(ROUND(AT67*AG67,2),6)</f>
        <v>0</v>
      </c>
    </row>
    <row r="68" spans="1:107">
      <c r="A68">
        <f>ROW(Source!A96)</f>
        <v>96</v>
      </c>
      <c r="B68">
        <v>31028412</v>
      </c>
      <c r="C68">
        <v>31028815</v>
      </c>
      <c r="D68">
        <v>29195171</v>
      </c>
      <c r="E68">
        <v>1</v>
      </c>
      <c r="F68">
        <v>1</v>
      </c>
      <c r="G68">
        <v>1</v>
      </c>
      <c r="H68">
        <v>3</v>
      </c>
      <c r="I68" t="s">
        <v>830</v>
      </c>
      <c r="J68" t="s">
        <v>831</v>
      </c>
      <c r="K68" t="s">
        <v>832</v>
      </c>
      <c r="L68">
        <v>1339</v>
      </c>
      <c r="N68">
        <v>1007</v>
      </c>
      <c r="O68" t="s">
        <v>109</v>
      </c>
      <c r="P68" t="s">
        <v>109</v>
      </c>
      <c r="Q68">
        <v>1</v>
      </c>
      <c r="W68">
        <v>0</v>
      </c>
      <c r="X68">
        <v>2050165204</v>
      </c>
      <c r="Y68">
        <v>0.44</v>
      </c>
      <c r="AA68">
        <v>15.12</v>
      </c>
      <c r="AB68">
        <v>0</v>
      </c>
      <c r="AC68">
        <v>0</v>
      </c>
      <c r="AD68">
        <v>0</v>
      </c>
      <c r="AE68">
        <v>2.4500000000000002</v>
      </c>
      <c r="AF68">
        <v>0</v>
      </c>
      <c r="AG68">
        <v>0</v>
      </c>
      <c r="AH68">
        <v>0</v>
      </c>
      <c r="AI68">
        <v>6.17</v>
      </c>
      <c r="AJ68">
        <v>1</v>
      </c>
      <c r="AK68">
        <v>1</v>
      </c>
      <c r="AL68">
        <v>1</v>
      </c>
      <c r="AN68">
        <v>0</v>
      </c>
      <c r="AO68">
        <v>1</v>
      </c>
      <c r="AP68">
        <v>0</v>
      </c>
      <c r="AQ68">
        <v>0</v>
      </c>
      <c r="AR68">
        <v>0</v>
      </c>
      <c r="AS68" t="s">
        <v>6</v>
      </c>
      <c r="AT68">
        <v>0.44</v>
      </c>
      <c r="AU68" t="s">
        <v>6</v>
      </c>
      <c r="AV68">
        <v>0</v>
      </c>
      <c r="AW68">
        <v>2</v>
      </c>
      <c r="AX68">
        <v>31028827</v>
      </c>
      <c r="AY68">
        <v>1</v>
      </c>
      <c r="AZ68">
        <v>0</v>
      </c>
      <c r="BA68">
        <v>79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Y68*Source!I96</f>
        <v>16.0336</v>
      </c>
      <c r="CY68">
        <f>AA68</f>
        <v>15.12</v>
      </c>
      <c r="CZ68">
        <f>AE68</f>
        <v>2.4500000000000002</v>
      </c>
      <c r="DA68">
        <f>AI68</f>
        <v>6.17</v>
      </c>
      <c r="DB68">
        <f>ROUND(ROUND(AT68*CZ68,2),6)</f>
        <v>1.08</v>
      </c>
      <c r="DC68">
        <f>ROUND(ROUND(AT68*AG68,2),6)</f>
        <v>0</v>
      </c>
    </row>
    <row r="69" spans="1:107">
      <c r="A69">
        <f>ROW(Source!A101)</f>
        <v>101</v>
      </c>
      <c r="B69">
        <v>31028412</v>
      </c>
      <c r="C69">
        <v>31028832</v>
      </c>
      <c r="D69">
        <v>29084579</v>
      </c>
      <c r="E69">
        <v>1</v>
      </c>
      <c r="F69">
        <v>1</v>
      </c>
      <c r="G69">
        <v>1</v>
      </c>
      <c r="H69">
        <v>1</v>
      </c>
      <c r="I69" t="s">
        <v>849</v>
      </c>
      <c r="J69" t="s">
        <v>6</v>
      </c>
      <c r="K69" t="s">
        <v>850</v>
      </c>
      <c r="L69">
        <v>1369</v>
      </c>
      <c r="N69">
        <v>1013</v>
      </c>
      <c r="O69" t="s">
        <v>773</v>
      </c>
      <c r="P69" t="s">
        <v>773</v>
      </c>
      <c r="Q69">
        <v>1</v>
      </c>
      <c r="W69">
        <v>0</v>
      </c>
      <c r="X69">
        <v>260198247</v>
      </c>
      <c r="Y69">
        <v>45.148999999999994</v>
      </c>
      <c r="AA69">
        <v>0</v>
      </c>
      <c r="AB69">
        <v>0</v>
      </c>
      <c r="AC69">
        <v>0</v>
      </c>
      <c r="AD69">
        <v>225</v>
      </c>
      <c r="AE69">
        <v>0</v>
      </c>
      <c r="AF69">
        <v>0</v>
      </c>
      <c r="AG69">
        <v>0</v>
      </c>
      <c r="AH69">
        <v>9.2899999999999991</v>
      </c>
      <c r="AI69">
        <v>1</v>
      </c>
      <c r="AJ69">
        <v>1</v>
      </c>
      <c r="AK69">
        <v>1</v>
      </c>
      <c r="AL69">
        <v>24.22</v>
      </c>
      <c r="AN69">
        <v>0</v>
      </c>
      <c r="AO69">
        <v>1</v>
      </c>
      <c r="AP69">
        <v>1</v>
      </c>
      <c r="AQ69">
        <v>0</v>
      </c>
      <c r="AR69">
        <v>0</v>
      </c>
      <c r="AS69" t="s">
        <v>6</v>
      </c>
      <c r="AT69">
        <v>39.26</v>
      </c>
      <c r="AU69" t="s">
        <v>36</v>
      </c>
      <c r="AV69">
        <v>1</v>
      </c>
      <c r="AW69">
        <v>2</v>
      </c>
      <c r="AX69">
        <v>31028842</v>
      </c>
      <c r="AY69">
        <v>1</v>
      </c>
      <c r="AZ69">
        <v>0</v>
      </c>
      <c r="BA69">
        <v>80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Y69*Source!I101</f>
        <v>446.97509999999994</v>
      </c>
      <c r="CY69">
        <f>AD69</f>
        <v>225</v>
      </c>
      <c r="CZ69">
        <f>AH69</f>
        <v>9.2899999999999991</v>
      </c>
      <c r="DA69">
        <f>AL69</f>
        <v>24.22</v>
      </c>
      <c r="DB69">
        <f>ROUND((ROUND(AT69*CZ69,2)*ROUND(1.15,7)),6)</f>
        <v>419.43950000000001</v>
      </c>
      <c r="DC69">
        <f>ROUND((ROUND(AT69*AG69,2)*ROUND(1.15,7)),6)</f>
        <v>0</v>
      </c>
    </row>
    <row r="70" spans="1:107">
      <c r="A70">
        <f>ROW(Source!A101)</f>
        <v>101</v>
      </c>
      <c r="B70">
        <v>31028412</v>
      </c>
      <c r="C70">
        <v>31028832</v>
      </c>
      <c r="D70">
        <v>29084573</v>
      </c>
      <c r="E70">
        <v>1</v>
      </c>
      <c r="F70">
        <v>1</v>
      </c>
      <c r="G70">
        <v>1</v>
      </c>
      <c r="H70">
        <v>1</v>
      </c>
      <c r="I70" t="s">
        <v>774</v>
      </c>
      <c r="J70" t="s">
        <v>6</v>
      </c>
      <c r="K70" t="s">
        <v>775</v>
      </c>
      <c r="L70">
        <v>608254</v>
      </c>
      <c r="N70">
        <v>1013</v>
      </c>
      <c r="O70" t="s">
        <v>776</v>
      </c>
      <c r="P70" t="s">
        <v>776</v>
      </c>
      <c r="Q70">
        <v>1</v>
      </c>
      <c r="W70">
        <v>0</v>
      </c>
      <c r="X70">
        <v>95408949</v>
      </c>
      <c r="Y70">
        <v>4.5424999999999995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1</v>
      </c>
      <c r="AJ70">
        <v>1</v>
      </c>
      <c r="AK70">
        <v>24.22</v>
      </c>
      <c r="AL70">
        <v>1</v>
      </c>
      <c r="AN70">
        <v>0</v>
      </c>
      <c r="AO70">
        <v>1</v>
      </c>
      <c r="AP70">
        <v>1</v>
      </c>
      <c r="AQ70">
        <v>0</v>
      </c>
      <c r="AR70">
        <v>0</v>
      </c>
      <c r="AS70" t="s">
        <v>6</v>
      </c>
      <c r="AT70">
        <v>3.95</v>
      </c>
      <c r="AU70" t="s">
        <v>36</v>
      </c>
      <c r="AV70">
        <v>2</v>
      </c>
      <c r="AW70">
        <v>2</v>
      </c>
      <c r="AX70">
        <v>31028843</v>
      </c>
      <c r="AY70">
        <v>1</v>
      </c>
      <c r="AZ70">
        <v>0</v>
      </c>
      <c r="BA70">
        <v>81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Y70*Source!I101</f>
        <v>44.970749999999995</v>
      </c>
      <c r="CY70">
        <f>AD70</f>
        <v>0</v>
      </c>
      <c r="CZ70">
        <f>AH70</f>
        <v>0</v>
      </c>
      <c r="DA70">
        <f>AL70</f>
        <v>1</v>
      </c>
      <c r="DB70">
        <f>ROUND((ROUND(AT70*CZ70,2)*ROUND(1.15,7)),6)</f>
        <v>0</v>
      </c>
      <c r="DC70">
        <f>ROUND((ROUND(AT70*AG70,2)*ROUND(1.15,7)),6)</f>
        <v>0</v>
      </c>
    </row>
    <row r="71" spans="1:107">
      <c r="A71">
        <f>ROW(Source!A101)</f>
        <v>101</v>
      </c>
      <c r="B71">
        <v>31028412</v>
      </c>
      <c r="C71">
        <v>31028832</v>
      </c>
      <c r="D71">
        <v>29147732</v>
      </c>
      <c r="E71">
        <v>1</v>
      </c>
      <c r="F71">
        <v>1</v>
      </c>
      <c r="G71">
        <v>1</v>
      </c>
      <c r="H71">
        <v>2</v>
      </c>
      <c r="I71" t="s">
        <v>846</v>
      </c>
      <c r="J71" t="s">
        <v>847</v>
      </c>
      <c r="K71" t="s">
        <v>848</v>
      </c>
      <c r="L71">
        <v>1368</v>
      </c>
      <c r="N71">
        <v>1011</v>
      </c>
      <c r="O71" t="s">
        <v>780</v>
      </c>
      <c r="P71" t="s">
        <v>780</v>
      </c>
      <c r="Q71">
        <v>1</v>
      </c>
      <c r="W71">
        <v>0</v>
      </c>
      <c r="X71">
        <v>-1205898307</v>
      </c>
      <c r="Y71">
        <v>0.88549999999999995</v>
      </c>
      <c r="AA71">
        <v>0</v>
      </c>
      <c r="AB71">
        <v>235.69</v>
      </c>
      <c r="AC71">
        <v>315.58999999999997</v>
      </c>
      <c r="AD71">
        <v>0</v>
      </c>
      <c r="AE71">
        <v>0</v>
      </c>
      <c r="AF71">
        <v>30.85</v>
      </c>
      <c r="AG71">
        <v>13.03</v>
      </c>
      <c r="AH71">
        <v>0</v>
      </c>
      <c r="AI71">
        <v>1</v>
      </c>
      <c r="AJ71">
        <v>7.64</v>
      </c>
      <c r="AK71">
        <v>24.22</v>
      </c>
      <c r="AL71">
        <v>1</v>
      </c>
      <c r="AN71">
        <v>0</v>
      </c>
      <c r="AO71">
        <v>1</v>
      </c>
      <c r="AP71">
        <v>1</v>
      </c>
      <c r="AQ71">
        <v>0</v>
      </c>
      <c r="AR71">
        <v>0</v>
      </c>
      <c r="AS71" t="s">
        <v>6</v>
      </c>
      <c r="AT71">
        <v>0.77</v>
      </c>
      <c r="AU71" t="s">
        <v>36</v>
      </c>
      <c r="AV71">
        <v>0</v>
      </c>
      <c r="AW71">
        <v>2</v>
      </c>
      <c r="AX71">
        <v>31028844</v>
      </c>
      <c r="AY71">
        <v>1</v>
      </c>
      <c r="AZ71">
        <v>0</v>
      </c>
      <c r="BA71">
        <v>82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Y71*Source!I101</f>
        <v>8.7664500000000007</v>
      </c>
      <c r="CY71">
        <f>AB71</f>
        <v>235.69</v>
      </c>
      <c r="CZ71">
        <f>AF71</f>
        <v>30.85</v>
      </c>
      <c r="DA71">
        <f>AJ71</f>
        <v>7.64</v>
      </c>
      <c r="DB71">
        <f>ROUND((ROUND(AT71*CZ71,2)*ROUND(1.15,7)),6)</f>
        <v>27.3125</v>
      </c>
      <c r="DC71">
        <f>ROUND((ROUND(AT71*AG71,2)*ROUND(1.15,7)),6)</f>
        <v>11.5345</v>
      </c>
    </row>
    <row r="72" spans="1:107">
      <c r="A72">
        <f>ROW(Source!A101)</f>
        <v>101</v>
      </c>
      <c r="B72">
        <v>31028412</v>
      </c>
      <c r="C72">
        <v>31028832</v>
      </c>
      <c r="D72">
        <v>29147843</v>
      </c>
      <c r="E72">
        <v>1</v>
      </c>
      <c r="F72">
        <v>1</v>
      </c>
      <c r="G72">
        <v>1</v>
      </c>
      <c r="H72">
        <v>2</v>
      </c>
      <c r="I72" t="s">
        <v>874</v>
      </c>
      <c r="J72" t="s">
        <v>875</v>
      </c>
      <c r="K72" t="s">
        <v>876</v>
      </c>
      <c r="L72">
        <v>1368</v>
      </c>
      <c r="N72">
        <v>1011</v>
      </c>
      <c r="O72" t="s">
        <v>780</v>
      </c>
      <c r="P72" t="s">
        <v>780</v>
      </c>
      <c r="Q72">
        <v>1</v>
      </c>
      <c r="W72">
        <v>0</v>
      </c>
      <c r="X72">
        <v>-488413844</v>
      </c>
      <c r="Y72">
        <v>3.657</v>
      </c>
      <c r="AA72">
        <v>0</v>
      </c>
      <c r="AB72">
        <v>665.52</v>
      </c>
      <c r="AC72">
        <v>235.18</v>
      </c>
      <c r="AD72">
        <v>0</v>
      </c>
      <c r="AE72">
        <v>0</v>
      </c>
      <c r="AF72">
        <v>87.11</v>
      </c>
      <c r="AG72">
        <v>9.7100000000000009</v>
      </c>
      <c r="AH72">
        <v>0</v>
      </c>
      <c r="AI72">
        <v>1</v>
      </c>
      <c r="AJ72">
        <v>7.64</v>
      </c>
      <c r="AK72">
        <v>24.22</v>
      </c>
      <c r="AL72">
        <v>1</v>
      </c>
      <c r="AN72">
        <v>0</v>
      </c>
      <c r="AO72">
        <v>1</v>
      </c>
      <c r="AP72">
        <v>1</v>
      </c>
      <c r="AQ72">
        <v>0</v>
      </c>
      <c r="AR72">
        <v>0</v>
      </c>
      <c r="AS72" t="s">
        <v>6</v>
      </c>
      <c r="AT72">
        <v>3.18</v>
      </c>
      <c r="AU72" t="s">
        <v>36</v>
      </c>
      <c r="AV72">
        <v>0</v>
      </c>
      <c r="AW72">
        <v>2</v>
      </c>
      <c r="AX72">
        <v>31028845</v>
      </c>
      <c r="AY72">
        <v>1</v>
      </c>
      <c r="AZ72">
        <v>0</v>
      </c>
      <c r="BA72">
        <v>83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Y72*Source!I101</f>
        <v>36.204300000000003</v>
      </c>
      <c r="CY72">
        <f>AB72</f>
        <v>665.52</v>
      </c>
      <c r="CZ72">
        <f>AF72</f>
        <v>87.11</v>
      </c>
      <c r="DA72">
        <f>AJ72</f>
        <v>7.64</v>
      </c>
      <c r="DB72">
        <f>ROUND((ROUND(AT72*CZ72,2)*ROUND(1.15,7)),6)</f>
        <v>318.56150000000002</v>
      </c>
      <c r="DC72">
        <f>ROUND((ROUND(AT72*AG72,2)*ROUND(1.15,7)),6)</f>
        <v>35.512</v>
      </c>
    </row>
    <row r="73" spans="1:107">
      <c r="A73">
        <f>ROW(Source!A101)</f>
        <v>101</v>
      </c>
      <c r="B73">
        <v>31028412</v>
      </c>
      <c r="C73">
        <v>31028832</v>
      </c>
      <c r="D73">
        <v>29149208</v>
      </c>
      <c r="E73">
        <v>1</v>
      </c>
      <c r="F73">
        <v>1</v>
      </c>
      <c r="G73">
        <v>1</v>
      </c>
      <c r="H73">
        <v>2</v>
      </c>
      <c r="I73" t="s">
        <v>877</v>
      </c>
      <c r="J73" t="s">
        <v>878</v>
      </c>
      <c r="K73" t="s">
        <v>879</v>
      </c>
      <c r="L73">
        <v>1368</v>
      </c>
      <c r="N73">
        <v>1011</v>
      </c>
      <c r="O73" t="s">
        <v>780</v>
      </c>
      <c r="P73" t="s">
        <v>780</v>
      </c>
      <c r="Q73">
        <v>1</v>
      </c>
      <c r="W73">
        <v>0</v>
      </c>
      <c r="X73">
        <v>-554917348</v>
      </c>
      <c r="Y73">
        <v>3.657</v>
      </c>
      <c r="AA73">
        <v>0</v>
      </c>
      <c r="AB73">
        <v>11.69</v>
      </c>
      <c r="AC73">
        <v>0</v>
      </c>
      <c r="AD73">
        <v>0</v>
      </c>
      <c r="AE73">
        <v>0</v>
      </c>
      <c r="AF73">
        <v>1.53</v>
      </c>
      <c r="AG73">
        <v>0</v>
      </c>
      <c r="AH73">
        <v>0</v>
      </c>
      <c r="AI73">
        <v>1</v>
      </c>
      <c r="AJ73">
        <v>7.64</v>
      </c>
      <c r="AK73">
        <v>24.22</v>
      </c>
      <c r="AL73">
        <v>1</v>
      </c>
      <c r="AN73">
        <v>0</v>
      </c>
      <c r="AO73">
        <v>1</v>
      </c>
      <c r="AP73">
        <v>1</v>
      </c>
      <c r="AQ73">
        <v>0</v>
      </c>
      <c r="AR73">
        <v>0</v>
      </c>
      <c r="AS73" t="s">
        <v>6</v>
      </c>
      <c r="AT73">
        <v>3.18</v>
      </c>
      <c r="AU73" t="s">
        <v>36</v>
      </c>
      <c r="AV73">
        <v>0</v>
      </c>
      <c r="AW73">
        <v>2</v>
      </c>
      <c r="AX73">
        <v>31028846</v>
      </c>
      <c r="AY73">
        <v>1</v>
      </c>
      <c r="AZ73">
        <v>0</v>
      </c>
      <c r="BA73">
        <v>84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Y73*Source!I101</f>
        <v>36.204300000000003</v>
      </c>
      <c r="CY73">
        <f>AB73</f>
        <v>11.69</v>
      </c>
      <c r="CZ73">
        <f>AF73</f>
        <v>1.53</v>
      </c>
      <c r="DA73">
        <f>AJ73</f>
        <v>7.64</v>
      </c>
      <c r="DB73">
        <f>ROUND((ROUND(AT73*CZ73,2)*ROUND(1.15,7)),6)</f>
        <v>5.6005000000000003</v>
      </c>
      <c r="DC73">
        <f>ROUND((ROUND(AT73*AG73,2)*ROUND(1.15,7)),6)</f>
        <v>0</v>
      </c>
    </row>
    <row r="74" spans="1:107">
      <c r="A74">
        <f>ROW(Source!A101)</f>
        <v>101</v>
      </c>
      <c r="B74">
        <v>31028412</v>
      </c>
      <c r="C74">
        <v>31028832</v>
      </c>
      <c r="D74">
        <v>29152054</v>
      </c>
      <c r="E74">
        <v>1</v>
      </c>
      <c r="F74">
        <v>1</v>
      </c>
      <c r="G74">
        <v>1</v>
      </c>
      <c r="H74">
        <v>3</v>
      </c>
      <c r="I74" t="s">
        <v>805</v>
      </c>
      <c r="J74" t="s">
        <v>806</v>
      </c>
      <c r="K74" t="s">
        <v>807</v>
      </c>
      <c r="L74">
        <v>1348</v>
      </c>
      <c r="N74">
        <v>1009</v>
      </c>
      <c r="O74" t="s">
        <v>137</v>
      </c>
      <c r="P74" t="s">
        <v>137</v>
      </c>
      <c r="Q74">
        <v>1000</v>
      </c>
      <c r="W74">
        <v>0</v>
      </c>
      <c r="X74">
        <v>-444487765</v>
      </c>
      <c r="Y74">
        <v>1E-3</v>
      </c>
      <c r="AA74">
        <v>62829.11</v>
      </c>
      <c r="AB74">
        <v>0</v>
      </c>
      <c r="AC74">
        <v>0</v>
      </c>
      <c r="AD74">
        <v>0</v>
      </c>
      <c r="AE74">
        <v>10183</v>
      </c>
      <c r="AF74">
        <v>0</v>
      </c>
      <c r="AG74">
        <v>0</v>
      </c>
      <c r="AH74">
        <v>0</v>
      </c>
      <c r="AI74">
        <v>6.17</v>
      </c>
      <c r="AJ74">
        <v>1</v>
      </c>
      <c r="AK74">
        <v>1</v>
      </c>
      <c r="AL74">
        <v>1</v>
      </c>
      <c r="AN74">
        <v>0</v>
      </c>
      <c r="AO74">
        <v>1</v>
      </c>
      <c r="AP74">
        <v>0</v>
      </c>
      <c r="AQ74">
        <v>0</v>
      </c>
      <c r="AR74">
        <v>0</v>
      </c>
      <c r="AS74" t="s">
        <v>6</v>
      </c>
      <c r="AT74">
        <v>1E-3</v>
      </c>
      <c r="AU74" t="s">
        <v>6</v>
      </c>
      <c r="AV74">
        <v>0</v>
      </c>
      <c r="AW74">
        <v>2</v>
      </c>
      <c r="AX74">
        <v>31028847</v>
      </c>
      <c r="AY74">
        <v>1</v>
      </c>
      <c r="AZ74">
        <v>0</v>
      </c>
      <c r="BA74">
        <v>85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Y74*Source!I101</f>
        <v>9.9000000000000008E-3</v>
      </c>
      <c r="CY74">
        <f>AA74</f>
        <v>62829.11</v>
      </c>
      <c r="CZ74">
        <f>AE74</f>
        <v>10183</v>
      </c>
      <c r="DA74">
        <f>AI74</f>
        <v>6.17</v>
      </c>
      <c r="DB74">
        <f>ROUND(ROUND(AT74*CZ74,2),6)</f>
        <v>10.18</v>
      </c>
      <c r="DC74">
        <f>ROUND(ROUND(AT74*AG74,2),6)</f>
        <v>0</v>
      </c>
    </row>
    <row r="75" spans="1:107">
      <c r="A75">
        <f>ROW(Source!A101)</f>
        <v>101</v>
      </c>
      <c r="B75">
        <v>31028412</v>
      </c>
      <c r="C75">
        <v>31028832</v>
      </c>
      <c r="D75">
        <v>29158120</v>
      </c>
      <c r="E75">
        <v>1</v>
      </c>
      <c r="F75">
        <v>1</v>
      </c>
      <c r="G75">
        <v>1</v>
      </c>
      <c r="H75">
        <v>3</v>
      </c>
      <c r="I75" t="s">
        <v>885</v>
      </c>
      <c r="J75" t="s">
        <v>886</v>
      </c>
      <c r="K75" t="s">
        <v>887</v>
      </c>
      <c r="L75">
        <v>1339</v>
      </c>
      <c r="N75">
        <v>1007</v>
      </c>
      <c r="O75" t="s">
        <v>109</v>
      </c>
      <c r="P75" t="s">
        <v>109</v>
      </c>
      <c r="Q75">
        <v>1</v>
      </c>
      <c r="W75">
        <v>0</v>
      </c>
      <c r="X75">
        <v>1567580552</v>
      </c>
      <c r="Y75">
        <v>0.04</v>
      </c>
      <c r="AA75">
        <v>2711.04</v>
      </c>
      <c r="AB75">
        <v>0</v>
      </c>
      <c r="AC75">
        <v>0</v>
      </c>
      <c r="AD75">
        <v>0</v>
      </c>
      <c r="AE75">
        <v>439.39</v>
      </c>
      <c r="AF75">
        <v>0</v>
      </c>
      <c r="AG75">
        <v>0</v>
      </c>
      <c r="AH75">
        <v>0</v>
      </c>
      <c r="AI75">
        <v>6.17</v>
      </c>
      <c r="AJ75">
        <v>1</v>
      </c>
      <c r="AK75">
        <v>1</v>
      </c>
      <c r="AL75">
        <v>1</v>
      </c>
      <c r="AN75">
        <v>0</v>
      </c>
      <c r="AO75">
        <v>1</v>
      </c>
      <c r="AP75">
        <v>0</v>
      </c>
      <c r="AQ75">
        <v>0</v>
      </c>
      <c r="AR75">
        <v>0</v>
      </c>
      <c r="AS75" t="s">
        <v>6</v>
      </c>
      <c r="AT75">
        <v>0.04</v>
      </c>
      <c r="AU75" t="s">
        <v>6</v>
      </c>
      <c r="AV75">
        <v>0</v>
      </c>
      <c r="AW75">
        <v>2</v>
      </c>
      <c r="AX75">
        <v>31028848</v>
      </c>
      <c r="AY75">
        <v>1</v>
      </c>
      <c r="AZ75">
        <v>0</v>
      </c>
      <c r="BA75">
        <v>86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Y75*Source!I101</f>
        <v>0.39600000000000002</v>
      </c>
      <c r="CY75">
        <f>AA75</f>
        <v>2711.04</v>
      </c>
      <c r="CZ75">
        <f>AE75</f>
        <v>439.39</v>
      </c>
      <c r="DA75">
        <f>AI75</f>
        <v>6.17</v>
      </c>
      <c r="DB75">
        <f>ROUND(ROUND(AT75*CZ75,2),6)</f>
        <v>17.579999999999998</v>
      </c>
      <c r="DC75">
        <f>ROUND(ROUND(AT75*AG75,2),6)</f>
        <v>0</v>
      </c>
    </row>
    <row r="76" spans="1:107">
      <c r="A76">
        <f>ROW(Source!A101)</f>
        <v>101</v>
      </c>
      <c r="B76">
        <v>31028412</v>
      </c>
      <c r="C76">
        <v>31028832</v>
      </c>
      <c r="D76">
        <v>29158173</v>
      </c>
      <c r="E76">
        <v>1</v>
      </c>
      <c r="F76">
        <v>1</v>
      </c>
      <c r="G76">
        <v>1</v>
      </c>
      <c r="H76">
        <v>3</v>
      </c>
      <c r="I76" t="s">
        <v>888</v>
      </c>
      <c r="J76" t="s">
        <v>889</v>
      </c>
      <c r="K76" t="s">
        <v>890</v>
      </c>
      <c r="L76">
        <v>1339</v>
      </c>
      <c r="N76">
        <v>1007</v>
      </c>
      <c r="O76" t="s">
        <v>109</v>
      </c>
      <c r="P76" t="s">
        <v>109</v>
      </c>
      <c r="Q76">
        <v>1</v>
      </c>
      <c r="W76">
        <v>0</v>
      </c>
      <c r="X76">
        <v>-157626587</v>
      </c>
      <c r="Y76">
        <v>8.2000000000000003E-2</v>
      </c>
      <c r="AA76">
        <v>4981.84</v>
      </c>
      <c r="AB76">
        <v>0</v>
      </c>
      <c r="AC76">
        <v>0</v>
      </c>
      <c r="AD76">
        <v>0</v>
      </c>
      <c r="AE76">
        <v>807.43</v>
      </c>
      <c r="AF76">
        <v>0</v>
      </c>
      <c r="AG76">
        <v>0</v>
      </c>
      <c r="AH76">
        <v>0</v>
      </c>
      <c r="AI76">
        <v>6.17</v>
      </c>
      <c r="AJ76">
        <v>1</v>
      </c>
      <c r="AK76">
        <v>1</v>
      </c>
      <c r="AL76">
        <v>1</v>
      </c>
      <c r="AN76">
        <v>0</v>
      </c>
      <c r="AO76">
        <v>1</v>
      </c>
      <c r="AP76">
        <v>0</v>
      </c>
      <c r="AQ76">
        <v>0</v>
      </c>
      <c r="AR76">
        <v>0</v>
      </c>
      <c r="AS76" t="s">
        <v>6</v>
      </c>
      <c r="AT76">
        <v>8.2000000000000003E-2</v>
      </c>
      <c r="AU76" t="s">
        <v>6</v>
      </c>
      <c r="AV76">
        <v>0</v>
      </c>
      <c r="AW76">
        <v>2</v>
      </c>
      <c r="AX76">
        <v>31028849</v>
      </c>
      <c r="AY76">
        <v>1</v>
      </c>
      <c r="AZ76">
        <v>0</v>
      </c>
      <c r="BA76">
        <v>87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Y76*Source!I101</f>
        <v>0.81180000000000008</v>
      </c>
      <c r="CY76">
        <f>AA76</f>
        <v>4981.84</v>
      </c>
      <c r="CZ76">
        <f>AE76</f>
        <v>807.43</v>
      </c>
      <c r="DA76">
        <f>AI76</f>
        <v>6.17</v>
      </c>
      <c r="DB76">
        <f>ROUND(ROUND(AT76*CZ76,2),6)</f>
        <v>66.209999999999994</v>
      </c>
      <c r="DC76">
        <f>ROUND(ROUND(AT76*AG76,2),6)</f>
        <v>0</v>
      </c>
    </row>
    <row r="77" spans="1:107">
      <c r="A77">
        <f>ROW(Source!A101)</f>
        <v>101</v>
      </c>
      <c r="B77">
        <v>31028412</v>
      </c>
      <c r="C77">
        <v>31028832</v>
      </c>
      <c r="D77">
        <v>29195171</v>
      </c>
      <c r="E77">
        <v>1</v>
      </c>
      <c r="F77">
        <v>1</v>
      </c>
      <c r="G77">
        <v>1</v>
      </c>
      <c r="H77">
        <v>3</v>
      </c>
      <c r="I77" t="s">
        <v>830</v>
      </c>
      <c r="J77" t="s">
        <v>831</v>
      </c>
      <c r="K77" t="s">
        <v>832</v>
      </c>
      <c r="L77">
        <v>1339</v>
      </c>
      <c r="N77">
        <v>1007</v>
      </c>
      <c r="O77" t="s">
        <v>109</v>
      </c>
      <c r="P77" t="s">
        <v>109</v>
      </c>
      <c r="Q77">
        <v>1</v>
      </c>
      <c r="W77">
        <v>0</v>
      </c>
      <c r="X77">
        <v>2050165204</v>
      </c>
      <c r="Y77">
        <v>4.7E-2</v>
      </c>
      <c r="AA77">
        <v>15.12</v>
      </c>
      <c r="AB77">
        <v>0</v>
      </c>
      <c r="AC77">
        <v>0</v>
      </c>
      <c r="AD77">
        <v>0</v>
      </c>
      <c r="AE77">
        <v>2.4500000000000002</v>
      </c>
      <c r="AF77">
        <v>0</v>
      </c>
      <c r="AG77">
        <v>0</v>
      </c>
      <c r="AH77">
        <v>0</v>
      </c>
      <c r="AI77">
        <v>6.17</v>
      </c>
      <c r="AJ77">
        <v>1</v>
      </c>
      <c r="AK77">
        <v>1</v>
      </c>
      <c r="AL77">
        <v>1</v>
      </c>
      <c r="AN77">
        <v>0</v>
      </c>
      <c r="AO77">
        <v>1</v>
      </c>
      <c r="AP77">
        <v>0</v>
      </c>
      <c r="AQ77">
        <v>0</v>
      </c>
      <c r="AR77">
        <v>0</v>
      </c>
      <c r="AS77" t="s">
        <v>6</v>
      </c>
      <c r="AT77">
        <v>4.7E-2</v>
      </c>
      <c r="AU77" t="s">
        <v>6</v>
      </c>
      <c r="AV77">
        <v>0</v>
      </c>
      <c r="AW77">
        <v>2</v>
      </c>
      <c r="AX77">
        <v>31028852</v>
      </c>
      <c r="AY77">
        <v>1</v>
      </c>
      <c r="AZ77">
        <v>0</v>
      </c>
      <c r="BA77">
        <v>90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Y77*Source!I101</f>
        <v>0.46529999999999999</v>
      </c>
      <c r="CY77">
        <f>AA77</f>
        <v>15.12</v>
      </c>
      <c r="CZ77">
        <f>AE77</f>
        <v>2.4500000000000002</v>
      </c>
      <c r="DA77">
        <f>AI77</f>
        <v>6.17</v>
      </c>
      <c r="DB77">
        <f>ROUND(ROUND(AT77*CZ77,2),6)</f>
        <v>0.12</v>
      </c>
      <c r="DC77">
        <f>ROUND(ROUND(AT77*AG77,2),6)</f>
        <v>0</v>
      </c>
    </row>
    <row r="78" spans="1:107">
      <c r="A78">
        <f>ROW(Source!A106)</f>
        <v>106</v>
      </c>
      <c r="B78">
        <v>31028412</v>
      </c>
      <c r="C78">
        <v>31028857</v>
      </c>
      <c r="D78">
        <v>29084581</v>
      </c>
      <c r="E78">
        <v>1</v>
      </c>
      <c r="F78">
        <v>1</v>
      </c>
      <c r="G78">
        <v>1</v>
      </c>
      <c r="H78">
        <v>1</v>
      </c>
      <c r="I78" t="s">
        <v>880</v>
      </c>
      <c r="J78" t="s">
        <v>6</v>
      </c>
      <c r="K78" t="s">
        <v>881</v>
      </c>
      <c r="L78">
        <v>1369</v>
      </c>
      <c r="N78">
        <v>1013</v>
      </c>
      <c r="O78" t="s">
        <v>773</v>
      </c>
      <c r="P78" t="s">
        <v>773</v>
      </c>
      <c r="Q78">
        <v>1</v>
      </c>
      <c r="W78">
        <v>0</v>
      </c>
      <c r="X78">
        <v>-1013777572</v>
      </c>
      <c r="Y78">
        <v>415.72499999999997</v>
      </c>
      <c r="AA78">
        <v>0</v>
      </c>
      <c r="AB78">
        <v>0</v>
      </c>
      <c r="AC78">
        <v>0</v>
      </c>
      <c r="AD78">
        <v>194.24</v>
      </c>
      <c r="AE78">
        <v>0</v>
      </c>
      <c r="AF78">
        <v>0</v>
      </c>
      <c r="AG78">
        <v>0</v>
      </c>
      <c r="AH78">
        <v>8.02</v>
      </c>
      <c r="AI78">
        <v>1</v>
      </c>
      <c r="AJ78">
        <v>1</v>
      </c>
      <c r="AK78">
        <v>1</v>
      </c>
      <c r="AL78">
        <v>24.22</v>
      </c>
      <c r="AN78">
        <v>0</v>
      </c>
      <c r="AO78">
        <v>1</v>
      </c>
      <c r="AP78">
        <v>1</v>
      </c>
      <c r="AQ78">
        <v>0</v>
      </c>
      <c r="AR78">
        <v>0</v>
      </c>
      <c r="AS78" t="s">
        <v>6</v>
      </c>
      <c r="AT78">
        <v>361.5</v>
      </c>
      <c r="AU78" t="s">
        <v>36</v>
      </c>
      <c r="AV78">
        <v>1</v>
      </c>
      <c r="AW78">
        <v>2</v>
      </c>
      <c r="AX78">
        <v>31028863</v>
      </c>
      <c r="AY78">
        <v>1</v>
      </c>
      <c r="AZ78">
        <v>0</v>
      </c>
      <c r="BA78">
        <v>91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Y78*Source!I106</f>
        <v>16.628999999999998</v>
      </c>
      <c r="CY78">
        <f>AD78</f>
        <v>194.24</v>
      </c>
      <c r="CZ78">
        <f>AH78</f>
        <v>8.02</v>
      </c>
      <c r="DA78">
        <f>AL78</f>
        <v>24.22</v>
      </c>
      <c r="DB78">
        <f>ROUND((ROUND(AT78*CZ78,2)*ROUND(1.15,7)),6)</f>
        <v>3334.1145000000001</v>
      </c>
      <c r="DC78">
        <f>ROUND((ROUND(AT78*AG78,2)*ROUND(1.15,7)),6)</f>
        <v>0</v>
      </c>
    </row>
    <row r="79" spans="1:107">
      <c r="A79">
        <f>ROW(Source!A106)</f>
        <v>106</v>
      </c>
      <c r="B79">
        <v>31028412</v>
      </c>
      <c r="C79">
        <v>31028857</v>
      </c>
      <c r="D79">
        <v>29084573</v>
      </c>
      <c r="E79">
        <v>1</v>
      </c>
      <c r="F79">
        <v>1</v>
      </c>
      <c r="G79">
        <v>1</v>
      </c>
      <c r="H79">
        <v>1</v>
      </c>
      <c r="I79" t="s">
        <v>774</v>
      </c>
      <c r="J79" t="s">
        <v>6</v>
      </c>
      <c r="K79" t="s">
        <v>775</v>
      </c>
      <c r="L79">
        <v>608254</v>
      </c>
      <c r="N79">
        <v>1013</v>
      </c>
      <c r="O79" t="s">
        <v>776</v>
      </c>
      <c r="P79" t="s">
        <v>776</v>
      </c>
      <c r="Q79">
        <v>1</v>
      </c>
      <c r="W79">
        <v>0</v>
      </c>
      <c r="X79">
        <v>95408949</v>
      </c>
      <c r="Y79">
        <v>1.1499999999999999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1</v>
      </c>
      <c r="AJ79">
        <v>1</v>
      </c>
      <c r="AK79">
        <v>24.22</v>
      </c>
      <c r="AL79">
        <v>1</v>
      </c>
      <c r="AN79">
        <v>0</v>
      </c>
      <c r="AO79">
        <v>1</v>
      </c>
      <c r="AP79">
        <v>1</v>
      </c>
      <c r="AQ79">
        <v>0</v>
      </c>
      <c r="AR79">
        <v>0</v>
      </c>
      <c r="AS79" t="s">
        <v>6</v>
      </c>
      <c r="AT79">
        <v>1</v>
      </c>
      <c r="AU79" t="s">
        <v>36</v>
      </c>
      <c r="AV79">
        <v>2</v>
      </c>
      <c r="AW79">
        <v>2</v>
      </c>
      <c r="AX79">
        <v>31028864</v>
      </c>
      <c r="AY79">
        <v>1</v>
      </c>
      <c r="AZ79">
        <v>0</v>
      </c>
      <c r="BA79">
        <v>92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Y79*Source!I106</f>
        <v>4.5999999999999999E-2</v>
      </c>
      <c r="CY79">
        <f>AD79</f>
        <v>0</v>
      </c>
      <c r="CZ79">
        <f>AH79</f>
        <v>0</v>
      </c>
      <c r="DA79">
        <f>AL79</f>
        <v>1</v>
      </c>
      <c r="DB79">
        <f>ROUND((ROUND(AT79*CZ79,2)*ROUND(1.15,7)),6)</f>
        <v>0</v>
      </c>
      <c r="DC79">
        <f>ROUND((ROUND(AT79*AG79,2)*ROUND(1.15,7)),6)</f>
        <v>0</v>
      </c>
    </row>
    <row r="80" spans="1:107">
      <c r="A80">
        <f>ROW(Source!A106)</f>
        <v>106</v>
      </c>
      <c r="B80">
        <v>31028412</v>
      </c>
      <c r="C80">
        <v>31028857</v>
      </c>
      <c r="D80">
        <v>29147601</v>
      </c>
      <c r="E80">
        <v>1</v>
      </c>
      <c r="F80">
        <v>1</v>
      </c>
      <c r="G80">
        <v>1</v>
      </c>
      <c r="H80">
        <v>2</v>
      </c>
      <c r="I80" t="s">
        <v>781</v>
      </c>
      <c r="J80" t="s">
        <v>782</v>
      </c>
      <c r="K80" t="s">
        <v>783</v>
      </c>
      <c r="L80">
        <v>1368</v>
      </c>
      <c r="N80">
        <v>1011</v>
      </c>
      <c r="O80" t="s">
        <v>780</v>
      </c>
      <c r="P80" t="s">
        <v>780</v>
      </c>
      <c r="Q80">
        <v>1</v>
      </c>
      <c r="W80">
        <v>0</v>
      </c>
      <c r="X80">
        <v>1170567961</v>
      </c>
      <c r="Y80">
        <v>1.1499999999999999</v>
      </c>
      <c r="AA80">
        <v>0</v>
      </c>
      <c r="AB80">
        <v>828.56</v>
      </c>
      <c r="AC80">
        <v>315.58999999999997</v>
      </c>
      <c r="AD80">
        <v>0</v>
      </c>
      <c r="AE80">
        <v>0</v>
      </c>
      <c r="AF80">
        <v>108.45</v>
      </c>
      <c r="AG80">
        <v>13.03</v>
      </c>
      <c r="AH80">
        <v>0</v>
      </c>
      <c r="AI80">
        <v>1</v>
      </c>
      <c r="AJ80">
        <v>7.64</v>
      </c>
      <c r="AK80">
        <v>24.22</v>
      </c>
      <c r="AL80">
        <v>1</v>
      </c>
      <c r="AN80">
        <v>0</v>
      </c>
      <c r="AO80">
        <v>1</v>
      </c>
      <c r="AP80">
        <v>1</v>
      </c>
      <c r="AQ80">
        <v>0</v>
      </c>
      <c r="AR80">
        <v>0</v>
      </c>
      <c r="AS80" t="s">
        <v>6</v>
      </c>
      <c r="AT80">
        <v>1</v>
      </c>
      <c r="AU80" t="s">
        <v>36</v>
      </c>
      <c r="AV80">
        <v>0</v>
      </c>
      <c r="AW80">
        <v>2</v>
      </c>
      <c r="AX80">
        <v>31028865</v>
      </c>
      <c r="AY80">
        <v>1</v>
      </c>
      <c r="AZ80">
        <v>0</v>
      </c>
      <c r="BA80">
        <v>93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Y80*Source!I106</f>
        <v>4.5999999999999999E-2</v>
      </c>
      <c r="CY80">
        <f>AB80</f>
        <v>828.56</v>
      </c>
      <c r="CZ80">
        <f>AF80</f>
        <v>108.45</v>
      </c>
      <c r="DA80">
        <f>AJ80</f>
        <v>7.64</v>
      </c>
      <c r="DB80">
        <f>ROUND((ROUND(AT80*CZ80,2)*ROUND(1.15,7)),6)</f>
        <v>124.7175</v>
      </c>
      <c r="DC80">
        <f>ROUND((ROUND(AT80*AG80,2)*ROUND(1.15,7)),6)</f>
        <v>14.984500000000001</v>
      </c>
    </row>
    <row r="81" spans="1:107">
      <c r="A81">
        <f>ROW(Source!A106)</f>
        <v>106</v>
      </c>
      <c r="B81">
        <v>31028412</v>
      </c>
      <c r="C81">
        <v>31028857</v>
      </c>
      <c r="D81">
        <v>29195171</v>
      </c>
      <c r="E81">
        <v>1</v>
      </c>
      <c r="F81">
        <v>1</v>
      </c>
      <c r="G81">
        <v>1</v>
      </c>
      <c r="H81">
        <v>3</v>
      </c>
      <c r="I81" t="s">
        <v>830</v>
      </c>
      <c r="J81" t="s">
        <v>831</v>
      </c>
      <c r="K81" t="s">
        <v>832</v>
      </c>
      <c r="L81">
        <v>1339</v>
      </c>
      <c r="N81">
        <v>1007</v>
      </c>
      <c r="O81" t="s">
        <v>109</v>
      </c>
      <c r="P81" t="s">
        <v>109</v>
      </c>
      <c r="Q81">
        <v>1</v>
      </c>
      <c r="W81">
        <v>0</v>
      </c>
      <c r="X81">
        <v>2050165204</v>
      </c>
      <c r="Y81">
        <v>0.59</v>
      </c>
      <c r="AA81">
        <v>15.12</v>
      </c>
      <c r="AB81">
        <v>0</v>
      </c>
      <c r="AC81">
        <v>0</v>
      </c>
      <c r="AD81">
        <v>0</v>
      </c>
      <c r="AE81">
        <v>2.4500000000000002</v>
      </c>
      <c r="AF81">
        <v>0</v>
      </c>
      <c r="AG81">
        <v>0</v>
      </c>
      <c r="AH81">
        <v>0</v>
      </c>
      <c r="AI81">
        <v>6.17</v>
      </c>
      <c r="AJ81">
        <v>1</v>
      </c>
      <c r="AK81">
        <v>1</v>
      </c>
      <c r="AL81">
        <v>1</v>
      </c>
      <c r="AN81">
        <v>0</v>
      </c>
      <c r="AO81">
        <v>1</v>
      </c>
      <c r="AP81">
        <v>0</v>
      </c>
      <c r="AQ81">
        <v>0</v>
      </c>
      <c r="AR81">
        <v>0</v>
      </c>
      <c r="AS81" t="s">
        <v>6</v>
      </c>
      <c r="AT81">
        <v>0.59</v>
      </c>
      <c r="AU81" t="s">
        <v>6</v>
      </c>
      <c r="AV81">
        <v>0</v>
      </c>
      <c r="AW81">
        <v>2</v>
      </c>
      <c r="AX81">
        <v>31028868</v>
      </c>
      <c r="AY81">
        <v>1</v>
      </c>
      <c r="AZ81">
        <v>0</v>
      </c>
      <c r="BA81">
        <v>96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Y81*Source!I106</f>
        <v>2.3599999999999999E-2</v>
      </c>
      <c r="CY81">
        <f>AA81</f>
        <v>15.12</v>
      </c>
      <c r="CZ81">
        <f>AE81</f>
        <v>2.4500000000000002</v>
      </c>
      <c r="DA81">
        <f>AI81</f>
        <v>6.17</v>
      </c>
      <c r="DB81">
        <f>ROUND(ROUND(AT81*CZ81,2),6)</f>
        <v>1.45</v>
      </c>
      <c r="DC81">
        <f>ROUND(ROUND(AT81*AG81,2),6)</f>
        <v>0</v>
      </c>
    </row>
    <row r="82" spans="1:107">
      <c r="A82">
        <f>ROW(Source!A106)</f>
        <v>106</v>
      </c>
      <c r="B82">
        <v>31028412</v>
      </c>
      <c r="C82">
        <v>31028857</v>
      </c>
      <c r="D82">
        <v>29215982</v>
      </c>
      <c r="E82">
        <v>1</v>
      </c>
      <c r="F82">
        <v>1</v>
      </c>
      <c r="G82">
        <v>1</v>
      </c>
      <c r="H82">
        <v>3</v>
      </c>
      <c r="I82" t="s">
        <v>825</v>
      </c>
      <c r="J82" t="s">
        <v>826</v>
      </c>
      <c r="K82" t="s">
        <v>827</v>
      </c>
      <c r="L82">
        <v>1348</v>
      </c>
      <c r="N82">
        <v>1009</v>
      </c>
      <c r="O82" t="s">
        <v>137</v>
      </c>
      <c r="P82" t="s">
        <v>137</v>
      </c>
      <c r="Q82">
        <v>1000</v>
      </c>
      <c r="W82">
        <v>0</v>
      </c>
      <c r="X82">
        <v>367953619</v>
      </c>
      <c r="Y82">
        <v>24.8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6.17</v>
      </c>
      <c r="AJ82">
        <v>1</v>
      </c>
      <c r="AK82">
        <v>1</v>
      </c>
      <c r="AL82">
        <v>1</v>
      </c>
      <c r="AN82">
        <v>0</v>
      </c>
      <c r="AO82">
        <v>0</v>
      </c>
      <c r="AP82">
        <v>0</v>
      </c>
      <c r="AQ82">
        <v>0</v>
      </c>
      <c r="AR82">
        <v>0</v>
      </c>
      <c r="AS82" t="s">
        <v>6</v>
      </c>
      <c r="AT82">
        <v>24.8</v>
      </c>
      <c r="AU82" t="s">
        <v>6</v>
      </c>
      <c r="AV82">
        <v>0</v>
      </c>
      <c r="AW82">
        <v>2</v>
      </c>
      <c r="AX82">
        <v>31028869</v>
      </c>
      <c r="AY82">
        <v>1</v>
      </c>
      <c r="AZ82">
        <v>0</v>
      </c>
      <c r="BA82">
        <v>97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Y82*Source!I106</f>
        <v>0.9920000000000001</v>
      </c>
      <c r="CY82">
        <f>AA82</f>
        <v>0</v>
      </c>
      <c r="CZ82">
        <f>AE82</f>
        <v>0</v>
      </c>
      <c r="DA82">
        <f>AI82</f>
        <v>6.17</v>
      </c>
      <c r="DB82">
        <f>ROUND(ROUND(AT82*CZ82,2),6)</f>
        <v>0</v>
      </c>
      <c r="DC82">
        <f>ROUND(ROUND(AT82*AG82,2),6)</f>
        <v>0</v>
      </c>
    </row>
    <row r="83" spans="1:107">
      <c r="A83">
        <f>ROW(Source!A111)</f>
        <v>111</v>
      </c>
      <c r="B83">
        <v>31028412</v>
      </c>
      <c r="C83">
        <v>31028874</v>
      </c>
      <c r="D83">
        <v>29084582</v>
      </c>
      <c r="E83">
        <v>1</v>
      </c>
      <c r="F83">
        <v>1</v>
      </c>
      <c r="G83">
        <v>1</v>
      </c>
      <c r="H83">
        <v>1</v>
      </c>
      <c r="I83" t="s">
        <v>891</v>
      </c>
      <c r="J83" t="s">
        <v>6</v>
      </c>
      <c r="K83" t="s">
        <v>892</v>
      </c>
      <c r="L83">
        <v>1369</v>
      </c>
      <c r="N83">
        <v>1013</v>
      </c>
      <c r="O83" t="s">
        <v>773</v>
      </c>
      <c r="P83" t="s">
        <v>773</v>
      </c>
      <c r="Q83">
        <v>1</v>
      </c>
      <c r="W83">
        <v>0</v>
      </c>
      <c r="X83">
        <v>-925346530</v>
      </c>
      <c r="Y83">
        <v>634.56999999999994</v>
      </c>
      <c r="AA83">
        <v>0</v>
      </c>
      <c r="AB83">
        <v>0</v>
      </c>
      <c r="AC83">
        <v>0</v>
      </c>
      <c r="AD83">
        <v>190.85</v>
      </c>
      <c r="AE83">
        <v>0</v>
      </c>
      <c r="AF83">
        <v>0</v>
      </c>
      <c r="AG83">
        <v>0</v>
      </c>
      <c r="AH83">
        <v>7.88</v>
      </c>
      <c r="AI83">
        <v>1</v>
      </c>
      <c r="AJ83">
        <v>1</v>
      </c>
      <c r="AK83">
        <v>1</v>
      </c>
      <c r="AL83">
        <v>24.22</v>
      </c>
      <c r="AN83">
        <v>0</v>
      </c>
      <c r="AO83">
        <v>1</v>
      </c>
      <c r="AP83">
        <v>1</v>
      </c>
      <c r="AQ83">
        <v>0</v>
      </c>
      <c r="AR83">
        <v>0</v>
      </c>
      <c r="AS83" t="s">
        <v>6</v>
      </c>
      <c r="AT83">
        <v>551.79999999999995</v>
      </c>
      <c r="AU83" t="s">
        <v>36</v>
      </c>
      <c r="AV83">
        <v>1</v>
      </c>
      <c r="AW83">
        <v>2</v>
      </c>
      <c r="AX83">
        <v>31028880</v>
      </c>
      <c r="AY83">
        <v>1</v>
      </c>
      <c r="AZ83">
        <v>0</v>
      </c>
      <c r="BA83">
        <v>98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Y83*Source!I111</f>
        <v>25.3828</v>
      </c>
      <c r="CY83">
        <f>AD83</f>
        <v>190.85</v>
      </c>
      <c r="CZ83">
        <f>AH83</f>
        <v>7.88</v>
      </c>
      <c r="DA83">
        <f>AL83</f>
        <v>24.22</v>
      </c>
      <c r="DB83">
        <f>ROUND((ROUND(AT83*CZ83,2)*ROUND(1.15,7)),6)</f>
        <v>5000.4070000000002</v>
      </c>
      <c r="DC83">
        <f>ROUND((ROUND(AT83*AG83,2)*ROUND(1.15,7)),6)</f>
        <v>0</v>
      </c>
    </row>
    <row r="84" spans="1:107">
      <c r="A84">
        <f>ROW(Source!A111)</f>
        <v>111</v>
      </c>
      <c r="B84">
        <v>31028412</v>
      </c>
      <c r="C84">
        <v>31028874</v>
      </c>
      <c r="D84">
        <v>29084573</v>
      </c>
      <c r="E84">
        <v>1</v>
      </c>
      <c r="F84">
        <v>1</v>
      </c>
      <c r="G84">
        <v>1</v>
      </c>
      <c r="H84">
        <v>1</v>
      </c>
      <c r="I84" t="s">
        <v>774</v>
      </c>
      <c r="J84" t="s">
        <v>6</v>
      </c>
      <c r="K84" t="s">
        <v>775</v>
      </c>
      <c r="L84">
        <v>608254</v>
      </c>
      <c r="N84">
        <v>1013</v>
      </c>
      <c r="O84" t="s">
        <v>776</v>
      </c>
      <c r="P84" t="s">
        <v>776</v>
      </c>
      <c r="Q84">
        <v>1</v>
      </c>
      <c r="W84">
        <v>0</v>
      </c>
      <c r="X84">
        <v>95408949</v>
      </c>
      <c r="Y84">
        <v>2.2999999999999998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1</v>
      </c>
      <c r="AJ84">
        <v>1</v>
      </c>
      <c r="AK84">
        <v>24.22</v>
      </c>
      <c r="AL84">
        <v>1</v>
      </c>
      <c r="AN84">
        <v>0</v>
      </c>
      <c r="AO84">
        <v>1</v>
      </c>
      <c r="AP84">
        <v>1</v>
      </c>
      <c r="AQ84">
        <v>0</v>
      </c>
      <c r="AR84">
        <v>0</v>
      </c>
      <c r="AS84" t="s">
        <v>6</v>
      </c>
      <c r="AT84">
        <v>2</v>
      </c>
      <c r="AU84" t="s">
        <v>36</v>
      </c>
      <c r="AV84">
        <v>2</v>
      </c>
      <c r="AW84">
        <v>2</v>
      </c>
      <c r="AX84">
        <v>31028881</v>
      </c>
      <c r="AY84">
        <v>1</v>
      </c>
      <c r="AZ84">
        <v>0</v>
      </c>
      <c r="BA84">
        <v>99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Y84*Source!I111</f>
        <v>9.1999999999999998E-2</v>
      </c>
      <c r="CY84">
        <f>AD84</f>
        <v>0</v>
      </c>
      <c r="CZ84">
        <f>AH84</f>
        <v>0</v>
      </c>
      <c r="DA84">
        <f>AL84</f>
        <v>1</v>
      </c>
      <c r="DB84">
        <f>ROUND((ROUND(AT84*CZ84,2)*ROUND(1.15,7)),6)</f>
        <v>0</v>
      </c>
      <c r="DC84">
        <f>ROUND((ROUND(AT84*AG84,2)*ROUND(1.15,7)),6)</f>
        <v>0</v>
      </c>
    </row>
    <row r="85" spans="1:107">
      <c r="A85">
        <f>ROW(Source!A111)</f>
        <v>111</v>
      </c>
      <c r="B85">
        <v>31028412</v>
      </c>
      <c r="C85">
        <v>31028874</v>
      </c>
      <c r="D85">
        <v>29147601</v>
      </c>
      <c r="E85">
        <v>1</v>
      </c>
      <c r="F85">
        <v>1</v>
      </c>
      <c r="G85">
        <v>1</v>
      </c>
      <c r="H85">
        <v>2</v>
      </c>
      <c r="I85" t="s">
        <v>781</v>
      </c>
      <c r="J85" t="s">
        <v>782</v>
      </c>
      <c r="K85" t="s">
        <v>783</v>
      </c>
      <c r="L85">
        <v>1368</v>
      </c>
      <c r="N85">
        <v>1011</v>
      </c>
      <c r="O85" t="s">
        <v>780</v>
      </c>
      <c r="P85" t="s">
        <v>780</v>
      </c>
      <c r="Q85">
        <v>1</v>
      </c>
      <c r="W85">
        <v>0</v>
      </c>
      <c r="X85">
        <v>1170567961</v>
      </c>
      <c r="Y85">
        <v>2.2999999999999998</v>
      </c>
      <c r="AA85">
        <v>0</v>
      </c>
      <c r="AB85">
        <v>828.56</v>
      </c>
      <c r="AC85">
        <v>315.58999999999997</v>
      </c>
      <c r="AD85">
        <v>0</v>
      </c>
      <c r="AE85">
        <v>0</v>
      </c>
      <c r="AF85">
        <v>108.45</v>
      </c>
      <c r="AG85">
        <v>13.03</v>
      </c>
      <c r="AH85">
        <v>0</v>
      </c>
      <c r="AI85">
        <v>1</v>
      </c>
      <c r="AJ85">
        <v>7.64</v>
      </c>
      <c r="AK85">
        <v>24.22</v>
      </c>
      <c r="AL85">
        <v>1</v>
      </c>
      <c r="AN85">
        <v>0</v>
      </c>
      <c r="AO85">
        <v>1</v>
      </c>
      <c r="AP85">
        <v>1</v>
      </c>
      <c r="AQ85">
        <v>0</v>
      </c>
      <c r="AR85">
        <v>0</v>
      </c>
      <c r="AS85" t="s">
        <v>6</v>
      </c>
      <c r="AT85">
        <v>2</v>
      </c>
      <c r="AU85" t="s">
        <v>36</v>
      </c>
      <c r="AV85">
        <v>0</v>
      </c>
      <c r="AW85">
        <v>2</v>
      </c>
      <c r="AX85">
        <v>31028882</v>
      </c>
      <c r="AY85">
        <v>1</v>
      </c>
      <c r="AZ85">
        <v>0</v>
      </c>
      <c r="BA85">
        <v>100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Y85*Source!I111</f>
        <v>9.1999999999999998E-2</v>
      </c>
      <c r="CY85">
        <f>AB85</f>
        <v>828.56</v>
      </c>
      <c r="CZ85">
        <f>AF85</f>
        <v>108.45</v>
      </c>
      <c r="DA85">
        <f>AJ85</f>
        <v>7.64</v>
      </c>
      <c r="DB85">
        <f>ROUND((ROUND(AT85*CZ85,2)*ROUND(1.15,7)),6)</f>
        <v>249.435</v>
      </c>
      <c r="DC85">
        <f>ROUND((ROUND(AT85*AG85,2)*ROUND(1.15,7)),6)</f>
        <v>29.969000000000001</v>
      </c>
    </row>
    <row r="86" spans="1:107">
      <c r="A86">
        <f>ROW(Source!A111)</f>
        <v>111</v>
      </c>
      <c r="B86">
        <v>31028412</v>
      </c>
      <c r="C86">
        <v>31028874</v>
      </c>
      <c r="D86">
        <v>29195171</v>
      </c>
      <c r="E86">
        <v>1</v>
      </c>
      <c r="F86">
        <v>1</v>
      </c>
      <c r="G86">
        <v>1</v>
      </c>
      <c r="H86">
        <v>3</v>
      </c>
      <c r="I86" t="s">
        <v>830</v>
      </c>
      <c r="J86" t="s">
        <v>831</v>
      </c>
      <c r="K86" t="s">
        <v>832</v>
      </c>
      <c r="L86">
        <v>1339</v>
      </c>
      <c r="N86">
        <v>1007</v>
      </c>
      <c r="O86" t="s">
        <v>109</v>
      </c>
      <c r="P86" t="s">
        <v>109</v>
      </c>
      <c r="Q86">
        <v>1</v>
      </c>
      <c r="W86">
        <v>0</v>
      </c>
      <c r="X86">
        <v>2050165204</v>
      </c>
      <c r="Y86">
        <v>1.1499999999999999</v>
      </c>
      <c r="AA86">
        <v>15.12</v>
      </c>
      <c r="AB86">
        <v>0</v>
      </c>
      <c r="AC86">
        <v>0</v>
      </c>
      <c r="AD86">
        <v>0</v>
      </c>
      <c r="AE86">
        <v>2.4500000000000002</v>
      </c>
      <c r="AF86">
        <v>0</v>
      </c>
      <c r="AG86">
        <v>0</v>
      </c>
      <c r="AH86">
        <v>0</v>
      </c>
      <c r="AI86">
        <v>6.17</v>
      </c>
      <c r="AJ86">
        <v>1</v>
      </c>
      <c r="AK86">
        <v>1</v>
      </c>
      <c r="AL86">
        <v>1</v>
      </c>
      <c r="AN86">
        <v>0</v>
      </c>
      <c r="AO86">
        <v>1</v>
      </c>
      <c r="AP86">
        <v>0</v>
      </c>
      <c r="AQ86">
        <v>0</v>
      </c>
      <c r="AR86">
        <v>0</v>
      </c>
      <c r="AS86" t="s">
        <v>6</v>
      </c>
      <c r="AT86">
        <v>1.1499999999999999</v>
      </c>
      <c r="AU86" t="s">
        <v>6</v>
      </c>
      <c r="AV86">
        <v>0</v>
      </c>
      <c r="AW86">
        <v>2</v>
      </c>
      <c r="AX86">
        <v>31028885</v>
      </c>
      <c r="AY86">
        <v>1</v>
      </c>
      <c r="AZ86">
        <v>0</v>
      </c>
      <c r="BA86">
        <v>103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Y86*Source!I111</f>
        <v>4.5999999999999999E-2</v>
      </c>
      <c r="CY86">
        <f>AA86</f>
        <v>15.12</v>
      </c>
      <c r="CZ86">
        <f>AE86</f>
        <v>2.4500000000000002</v>
      </c>
      <c r="DA86">
        <f>AI86</f>
        <v>6.17</v>
      </c>
      <c r="DB86">
        <f>ROUND(ROUND(AT86*CZ86,2),6)</f>
        <v>2.82</v>
      </c>
      <c r="DC86">
        <f>ROUND(ROUND(AT86*AG86,2),6)</f>
        <v>0</v>
      </c>
    </row>
    <row r="87" spans="1:107">
      <c r="A87">
        <f>ROW(Source!A111)</f>
        <v>111</v>
      </c>
      <c r="B87">
        <v>31028412</v>
      </c>
      <c r="C87">
        <v>31028874</v>
      </c>
      <c r="D87">
        <v>29215982</v>
      </c>
      <c r="E87">
        <v>1</v>
      </c>
      <c r="F87">
        <v>1</v>
      </c>
      <c r="G87">
        <v>1</v>
      </c>
      <c r="H87">
        <v>3</v>
      </c>
      <c r="I87" t="s">
        <v>825</v>
      </c>
      <c r="J87" t="s">
        <v>826</v>
      </c>
      <c r="K87" t="s">
        <v>827</v>
      </c>
      <c r="L87">
        <v>1348</v>
      </c>
      <c r="N87">
        <v>1009</v>
      </c>
      <c r="O87" t="s">
        <v>137</v>
      </c>
      <c r="P87" t="s">
        <v>137</v>
      </c>
      <c r="Q87">
        <v>1000</v>
      </c>
      <c r="W87">
        <v>0</v>
      </c>
      <c r="X87">
        <v>367953619</v>
      </c>
      <c r="Y87">
        <v>51.3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6.17</v>
      </c>
      <c r="AJ87">
        <v>1</v>
      </c>
      <c r="AK87">
        <v>1</v>
      </c>
      <c r="AL87">
        <v>1</v>
      </c>
      <c r="AN87">
        <v>0</v>
      </c>
      <c r="AO87">
        <v>0</v>
      </c>
      <c r="AP87">
        <v>0</v>
      </c>
      <c r="AQ87">
        <v>0</v>
      </c>
      <c r="AR87">
        <v>0</v>
      </c>
      <c r="AS87" t="s">
        <v>6</v>
      </c>
      <c r="AT87">
        <v>51.3</v>
      </c>
      <c r="AU87" t="s">
        <v>6</v>
      </c>
      <c r="AV87">
        <v>0</v>
      </c>
      <c r="AW87">
        <v>2</v>
      </c>
      <c r="AX87">
        <v>31028886</v>
      </c>
      <c r="AY87">
        <v>1</v>
      </c>
      <c r="AZ87">
        <v>0</v>
      </c>
      <c r="BA87">
        <v>104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Y87*Source!I111</f>
        <v>2.052</v>
      </c>
      <c r="CY87">
        <f>AA87</f>
        <v>0</v>
      </c>
      <c r="CZ87">
        <f>AE87</f>
        <v>0</v>
      </c>
      <c r="DA87">
        <f>AI87</f>
        <v>6.17</v>
      </c>
      <c r="DB87">
        <f>ROUND(ROUND(AT87*CZ87,2),6)</f>
        <v>0</v>
      </c>
      <c r="DC87">
        <f>ROUND(ROUND(AT87*AG87,2),6)</f>
        <v>0</v>
      </c>
    </row>
    <row r="88" spans="1:107">
      <c r="A88">
        <f>ROW(Source!A116)</f>
        <v>116</v>
      </c>
      <c r="B88">
        <v>31028412</v>
      </c>
      <c r="C88">
        <v>31028891</v>
      </c>
      <c r="D88">
        <v>29084579</v>
      </c>
      <c r="E88">
        <v>1</v>
      </c>
      <c r="F88">
        <v>1</v>
      </c>
      <c r="G88">
        <v>1</v>
      </c>
      <c r="H88">
        <v>1</v>
      </c>
      <c r="I88" t="s">
        <v>849</v>
      </c>
      <c r="J88" t="s">
        <v>6</v>
      </c>
      <c r="K88" t="s">
        <v>850</v>
      </c>
      <c r="L88">
        <v>1369</v>
      </c>
      <c r="N88">
        <v>1013</v>
      </c>
      <c r="O88" t="s">
        <v>773</v>
      </c>
      <c r="P88" t="s">
        <v>773</v>
      </c>
      <c r="Q88">
        <v>1</v>
      </c>
      <c r="W88">
        <v>0</v>
      </c>
      <c r="X88">
        <v>260198247</v>
      </c>
      <c r="Y88">
        <v>93.738799999999983</v>
      </c>
      <c r="AA88">
        <v>0</v>
      </c>
      <c r="AB88">
        <v>0</v>
      </c>
      <c r="AC88">
        <v>0</v>
      </c>
      <c r="AD88">
        <v>225</v>
      </c>
      <c r="AE88">
        <v>0</v>
      </c>
      <c r="AF88">
        <v>0</v>
      </c>
      <c r="AG88">
        <v>0</v>
      </c>
      <c r="AH88">
        <v>9.2899999999999991</v>
      </c>
      <c r="AI88">
        <v>1</v>
      </c>
      <c r="AJ88">
        <v>1</v>
      </c>
      <c r="AK88">
        <v>1</v>
      </c>
      <c r="AL88">
        <v>24.22</v>
      </c>
      <c r="AN88">
        <v>0</v>
      </c>
      <c r="AO88">
        <v>1</v>
      </c>
      <c r="AP88">
        <v>1</v>
      </c>
      <c r="AQ88">
        <v>0</v>
      </c>
      <c r="AR88">
        <v>0</v>
      </c>
      <c r="AS88" t="s">
        <v>6</v>
      </c>
      <c r="AT88">
        <v>70.88</v>
      </c>
      <c r="AU88" t="s">
        <v>127</v>
      </c>
      <c r="AV88">
        <v>1</v>
      </c>
      <c r="AW88">
        <v>2</v>
      </c>
      <c r="AX88">
        <v>31028898</v>
      </c>
      <c r="AY88">
        <v>1</v>
      </c>
      <c r="AZ88">
        <v>0</v>
      </c>
      <c r="BA88">
        <v>105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Y88*Source!I116</f>
        <v>2.5309475999999997</v>
      </c>
      <c r="CY88">
        <f>AD88</f>
        <v>225</v>
      </c>
      <c r="CZ88">
        <f>AH88</f>
        <v>9.2899999999999991</v>
      </c>
      <c r="DA88">
        <f>AL88</f>
        <v>24.22</v>
      </c>
      <c r="DB88">
        <f>ROUND((ROUND(AT88*CZ88,2)*ROUND((1.15*1.15),7)),6)</f>
        <v>870.83979999999997</v>
      </c>
      <c r="DC88">
        <f>ROUND((ROUND(AT88*AG88,2)*ROUND((1.15*1.15),7)),6)</f>
        <v>0</v>
      </c>
    </row>
    <row r="89" spans="1:107">
      <c r="A89">
        <f>ROW(Source!A116)</f>
        <v>116</v>
      </c>
      <c r="B89">
        <v>31028412</v>
      </c>
      <c r="C89">
        <v>31028891</v>
      </c>
      <c r="D89">
        <v>29084573</v>
      </c>
      <c r="E89">
        <v>1</v>
      </c>
      <c r="F89">
        <v>1</v>
      </c>
      <c r="G89">
        <v>1</v>
      </c>
      <c r="H89">
        <v>1</v>
      </c>
      <c r="I89" t="s">
        <v>774</v>
      </c>
      <c r="J89" t="s">
        <v>6</v>
      </c>
      <c r="K89" t="s">
        <v>775</v>
      </c>
      <c r="L89">
        <v>608254</v>
      </c>
      <c r="N89">
        <v>1013</v>
      </c>
      <c r="O89" t="s">
        <v>776</v>
      </c>
      <c r="P89" t="s">
        <v>776</v>
      </c>
      <c r="Q89">
        <v>1</v>
      </c>
      <c r="W89">
        <v>0</v>
      </c>
      <c r="X89">
        <v>95408949</v>
      </c>
      <c r="Y89">
        <v>3.9962499999999994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1</v>
      </c>
      <c r="AJ89">
        <v>1</v>
      </c>
      <c r="AK89">
        <v>24.22</v>
      </c>
      <c r="AL89">
        <v>1</v>
      </c>
      <c r="AN89">
        <v>0</v>
      </c>
      <c r="AO89">
        <v>1</v>
      </c>
      <c r="AP89">
        <v>1</v>
      </c>
      <c r="AQ89">
        <v>0</v>
      </c>
      <c r="AR89">
        <v>0</v>
      </c>
      <c r="AS89" t="s">
        <v>6</v>
      </c>
      <c r="AT89">
        <v>2.78</v>
      </c>
      <c r="AU89" t="s">
        <v>126</v>
      </c>
      <c r="AV89">
        <v>2</v>
      </c>
      <c r="AW89">
        <v>2</v>
      </c>
      <c r="AX89">
        <v>31028899</v>
      </c>
      <c r="AY89">
        <v>1</v>
      </c>
      <c r="AZ89">
        <v>0</v>
      </c>
      <c r="BA89">
        <v>106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Y89*Source!I116</f>
        <v>0.10789874999999999</v>
      </c>
      <c r="CY89">
        <f>AD89</f>
        <v>0</v>
      </c>
      <c r="CZ89">
        <f>AH89</f>
        <v>0</v>
      </c>
      <c r="DA89">
        <f>AL89</f>
        <v>1</v>
      </c>
      <c r="DB89">
        <f>ROUND((ROUND(AT89*CZ89,2)*ROUND((1.25*1.15),7)),6)</f>
        <v>0</v>
      </c>
      <c r="DC89">
        <f>ROUND((ROUND(AT89*AG89,2)*ROUND((1.25*1.15),7)),6)</f>
        <v>0</v>
      </c>
    </row>
    <row r="90" spans="1:107">
      <c r="A90">
        <f>ROW(Source!A116)</f>
        <v>116</v>
      </c>
      <c r="B90">
        <v>31028412</v>
      </c>
      <c r="C90">
        <v>31028891</v>
      </c>
      <c r="D90">
        <v>29147698</v>
      </c>
      <c r="E90">
        <v>1</v>
      </c>
      <c r="F90">
        <v>1</v>
      </c>
      <c r="G90">
        <v>1</v>
      </c>
      <c r="H90">
        <v>2</v>
      </c>
      <c r="I90" t="s">
        <v>851</v>
      </c>
      <c r="J90" t="s">
        <v>852</v>
      </c>
      <c r="K90" t="s">
        <v>853</v>
      </c>
      <c r="L90">
        <v>1368</v>
      </c>
      <c r="N90">
        <v>1011</v>
      </c>
      <c r="O90" t="s">
        <v>780</v>
      </c>
      <c r="P90" t="s">
        <v>780</v>
      </c>
      <c r="Q90">
        <v>1</v>
      </c>
      <c r="W90">
        <v>0</v>
      </c>
      <c r="X90">
        <v>-767310062</v>
      </c>
      <c r="Y90">
        <v>1.29375</v>
      </c>
      <c r="AA90">
        <v>0</v>
      </c>
      <c r="AB90">
        <v>25.06</v>
      </c>
      <c r="AC90">
        <v>0</v>
      </c>
      <c r="AD90">
        <v>0</v>
      </c>
      <c r="AE90">
        <v>0</v>
      </c>
      <c r="AF90">
        <v>3.28</v>
      </c>
      <c r="AG90">
        <v>0</v>
      </c>
      <c r="AH90">
        <v>0</v>
      </c>
      <c r="AI90">
        <v>1</v>
      </c>
      <c r="AJ90">
        <v>7.64</v>
      </c>
      <c r="AK90">
        <v>24.22</v>
      </c>
      <c r="AL90">
        <v>1</v>
      </c>
      <c r="AN90">
        <v>0</v>
      </c>
      <c r="AO90">
        <v>1</v>
      </c>
      <c r="AP90">
        <v>1</v>
      </c>
      <c r="AQ90">
        <v>0</v>
      </c>
      <c r="AR90">
        <v>0</v>
      </c>
      <c r="AS90" t="s">
        <v>6</v>
      </c>
      <c r="AT90">
        <v>0.9</v>
      </c>
      <c r="AU90" t="s">
        <v>126</v>
      </c>
      <c r="AV90">
        <v>0</v>
      </c>
      <c r="AW90">
        <v>2</v>
      </c>
      <c r="AX90">
        <v>31028900</v>
      </c>
      <c r="AY90">
        <v>1</v>
      </c>
      <c r="AZ90">
        <v>0</v>
      </c>
      <c r="BA90">
        <v>107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Y90*Source!I116</f>
        <v>3.4931249999999997E-2</v>
      </c>
      <c r="CY90">
        <f>AB90</f>
        <v>25.06</v>
      </c>
      <c r="CZ90">
        <f>AF90</f>
        <v>3.28</v>
      </c>
      <c r="DA90">
        <f>AJ90</f>
        <v>7.64</v>
      </c>
      <c r="DB90">
        <f>ROUND((ROUND(AT90*CZ90,2)*ROUND((1.25*1.15),7)),6)</f>
        <v>4.2406249999999996</v>
      </c>
      <c r="DC90">
        <f>ROUND((ROUND(AT90*AG90,2)*ROUND((1.25*1.15),7)),6)</f>
        <v>0</v>
      </c>
    </row>
    <row r="91" spans="1:107">
      <c r="A91">
        <f>ROW(Source!A116)</f>
        <v>116</v>
      </c>
      <c r="B91">
        <v>31028412</v>
      </c>
      <c r="C91">
        <v>31028891</v>
      </c>
      <c r="D91">
        <v>29148147</v>
      </c>
      <c r="E91">
        <v>1</v>
      </c>
      <c r="F91">
        <v>1</v>
      </c>
      <c r="G91">
        <v>1</v>
      </c>
      <c r="H91">
        <v>2</v>
      </c>
      <c r="I91" t="s">
        <v>854</v>
      </c>
      <c r="J91" t="s">
        <v>855</v>
      </c>
      <c r="K91" t="s">
        <v>856</v>
      </c>
      <c r="L91">
        <v>1368</v>
      </c>
      <c r="N91">
        <v>1011</v>
      </c>
      <c r="O91" t="s">
        <v>780</v>
      </c>
      <c r="P91" t="s">
        <v>780</v>
      </c>
      <c r="Q91">
        <v>1</v>
      </c>
      <c r="W91">
        <v>0</v>
      </c>
      <c r="X91">
        <v>218911257</v>
      </c>
      <c r="Y91">
        <v>3.9962499999999994</v>
      </c>
      <c r="AA91">
        <v>0</v>
      </c>
      <c r="AB91">
        <v>158.61000000000001</v>
      </c>
      <c r="AC91">
        <v>208.29</v>
      </c>
      <c r="AD91">
        <v>0</v>
      </c>
      <c r="AE91">
        <v>0</v>
      </c>
      <c r="AF91">
        <v>20.76</v>
      </c>
      <c r="AG91">
        <v>8.6</v>
      </c>
      <c r="AH91">
        <v>0</v>
      </c>
      <c r="AI91">
        <v>1</v>
      </c>
      <c r="AJ91">
        <v>7.64</v>
      </c>
      <c r="AK91">
        <v>24.22</v>
      </c>
      <c r="AL91">
        <v>1</v>
      </c>
      <c r="AN91">
        <v>0</v>
      </c>
      <c r="AO91">
        <v>1</v>
      </c>
      <c r="AP91">
        <v>1</v>
      </c>
      <c r="AQ91">
        <v>0</v>
      </c>
      <c r="AR91">
        <v>0</v>
      </c>
      <c r="AS91" t="s">
        <v>6</v>
      </c>
      <c r="AT91">
        <v>2.78</v>
      </c>
      <c r="AU91" t="s">
        <v>126</v>
      </c>
      <c r="AV91">
        <v>0</v>
      </c>
      <c r="AW91">
        <v>2</v>
      </c>
      <c r="AX91">
        <v>31028901</v>
      </c>
      <c r="AY91">
        <v>1</v>
      </c>
      <c r="AZ91">
        <v>0</v>
      </c>
      <c r="BA91">
        <v>108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Y91*Source!I116</f>
        <v>0.10789874999999999</v>
      </c>
      <c r="CY91">
        <f>AB91</f>
        <v>158.61000000000001</v>
      </c>
      <c r="CZ91">
        <f>AF91</f>
        <v>20.76</v>
      </c>
      <c r="DA91">
        <f>AJ91</f>
        <v>7.64</v>
      </c>
      <c r="DB91">
        <f>ROUND((ROUND(AT91*CZ91,2)*ROUND((1.25*1.15),7)),6)</f>
        <v>82.958124999999995</v>
      </c>
      <c r="DC91">
        <f>ROUND((ROUND(AT91*AG91,2)*ROUND((1.25*1.15),7)),6)</f>
        <v>34.370624999999997</v>
      </c>
    </row>
    <row r="92" spans="1:107">
      <c r="A92">
        <f>ROW(Source!A116)</f>
        <v>116</v>
      </c>
      <c r="B92">
        <v>31028412</v>
      </c>
      <c r="C92">
        <v>31028891</v>
      </c>
      <c r="D92">
        <v>29186566</v>
      </c>
      <c r="E92">
        <v>1</v>
      </c>
      <c r="F92">
        <v>1</v>
      </c>
      <c r="G92">
        <v>1</v>
      </c>
      <c r="H92">
        <v>3</v>
      </c>
      <c r="I92" t="s">
        <v>107</v>
      </c>
      <c r="J92" t="s">
        <v>110</v>
      </c>
      <c r="K92" t="s">
        <v>108</v>
      </c>
      <c r="L92">
        <v>1339</v>
      </c>
      <c r="N92">
        <v>1007</v>
      </c>
      <c r="O92" t="s">
        <v>109</v>
      </c>
      <c r="P92" t="s">
        <v>109</v>
      </c>
      <c r="Q92">
        <v>1</v>
      </c>
      <c r="W92">
        <v>0</v>
      </c>
      <c r="X92">
        <v>-1738869177</v>
      </c>
      <c r="Y92">
        <v>1.89</v>
      </c>
      <c r="AA92">
        <v>3517.09</v>
      </c>
      <c r="AB92">
        <v>0</v>
      </c>
      <c r="AC92">
        <v>0</v>
      </c>
      <c r="AD92">
        <v>0</v>
      </c>
      <c r="AE92">
        <v>570.03</v>
      </c>
      <c r="AF92">
        <v>0</v>
      </c>
      <c r="AG92">
        <v>0</v>
      </c>
      <c r="AH92">
        <v>0</v>
      </c>
      <c r="AI92">
        <v>6.17</v>
      </c>
      <c r="AJ92">
        <v>1</v>
      </c>
      <c r="AK92">
        <v>1</v>
      </c>
      <c r="AL92">
        <v>1</v>
      </c>
      <c r="AN92">
        <v>0</v>
      </c>
      <c r="AO92">
        <v>1</v>
      </c>
      <c r="AP92">
        <v>0</v>
      </c>
      <c r="AQ92">
        <v>0</v>
      </c>
      <c r="AR92">
        <v>0</v>
      </c>
      <c r="AS92" t="s">
        <v>6</v>
      </c>
      <c r="AT92">
        <v>1.89</v>
      </c>
      <c r="AU92" t="s">
        <v>6</v>
      </c>
      <c r="AV92">
        <v>0</v>
      </c>
      <c r="AW92">
        <v>2</v>
      </c>
      <c r="AX92">
        <v>31028902</v>
      </c>
      <c r="AY92">
        <v>1</v>
      </c>
      <c r="AZ92">
        <v>0</v>
      </c>
      <c r="BA92">
        <v>109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Y92*Source!I116</f>
        <v>5.1029999999999999E-2</v>
      </c>
      <c r="CY92">
        <f>AA92</f>
        <v>3517.09</v>
      </c>
      <c r="CZ92">
        <f>AE92</f>
        <v>570.03</v>
      </c>
      <c r="DA92">
        <f>AI92</f>
        <v>6.17</v>
      </c>
      <c r="DB92">
        <f>ROUND(ROUND(AT92*CZ92,2),6)</f>
        <v>1077.3599999999999</v>
      </c>
      <c r="DC92">
        <f>ROUND(ROUND(AT92*AG92,2),6)</f>
        <v>0</v>
      </c>
    </row>
    <row r="93" spans="1:107">
      <c r="A93">
        <f>ROW(Source!A116)</f>
        <v>116</v>
      </c>
      <c r="B93">
        <v>31028412</v>
      </c>
      <c r="C93">
        <v>31028891</v>
      </c>
      <c r="D93">
        <v>29195171</v>
      </c>
      <c r="E93">
        <v>1</v>
      </c>
      <c r="F93">
        <v>1</v>
      </c>
      <c r="G93">
        <v>1</v>
      </c>
      <c r="H93">
        <v>3</v>
      </c>
      <c r="I93" t="s">
        <v>830</v>
      </c>
      <c r="J93" t="s">
        <v>831</v>
      </c>
      <c r="K93" t="s">
        <v>832</v>
      </c>
      <c r="L93">
        <v>1339</v>
      </c>
      <c r="N93">
        <v>1007</v>
      </c>
      <c r="O93" t="s">
        <v>109</v>
      </c>
      <c r="P93" t="s">
        <v>109</v>
      </c>
      <c r="Q93">
        <v>1</v>
      </c>
      <c r="W93">
        <v>0</v>
      </c>
      <c r="X93">
        <v>2050165204</v>
      </c>
      <c r="Y93">
        <v>0.35</v>
      </c>
      <c r="AA93">
        <v>15.12</v>
      </c>
      <c r="AB93">
        <v>0</v>
      </c>
      <c r="AC93">
        <v>0</v>
      </c>
      <c r="AD93">
        <v>0</v>
      </c>
      <c r="AE93">
        <v>2.4500000000000002</v>
      </c>
      <c r="AF93">
        <v>0</v>
      </c>
      <c r="AG93">
        <v>0</v>
      </c>
      <c r="AH93">
        <v>0</v>
      </c>
      <c r="AI93">
        <v>6.17</v>
      </c>
      <c r="AJ93">
        <v>1</v>
      </c>
      <c r="AK93">
        <v>1</v>
      </c>
      <c r="AL93">
        <v>1</v>
      </c>
      <c r="AN93">
        <v>0</v>
      </c>
      <c r="AO93">
        <v>1</v>
      </c>
      <c r="AP93">
        <v>0</v>
      </c>
      <c r="AQ93">
        <v>0</v>
      </c>
      <c r="AR93">
        <v>0</v>
      </c>
      <c r="AS93" t="s">
        <v>6</v>
      </c>
      <c r="AT93">
        <v>0.35</v>
      </c>
      <c r="AU93" t="s">
        <v>6</v>
      </c>
      <c r="AV93">
        <v>0</v>
      </c>
      <c r="AW93">
        <v>2</v>
      </c>
      <c r="AX93">
        <v>31028903</v>
      </c>
      <c r="AY93">
        <v>1</v>
      </c>
      <c r="AZ93">
        <v>0</v>
      </c>
      <c r="BA93">
        <v>110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Y93*Source!I116</f>
        <v>9.4500000000000001E-3</v>
      </c>
      <c r="CY93">
        <f>AA93</f>
        <v>15.12</v>
      </c>
      <c r="CZ93">
        <f>AE93</f>
        <v>2.4500000000000002</v>
      </c>
      <c r="DA93">
        <f>AI93</f>
        <v>6.17</v>
      </c>
      <c r="DB93">
        <f>ROUND(ROUND(AT93*CZ93,2),6)</f>
        <v>0.86</v>
      </c>
      <c r="DC93">
        <f>ROUND(ROUND(AT93*AG93,2),6)</f>
        <v>0</v>
      </c>
    </row>
    <row r="94" spans="1:107">
      <c r="A94">
        <f>ROW(Source!A118)</f>
        <v>118</v>
      </c>
      <c r="B94">
        <v>31028412</v>
      </c>
      <c r="C94">
        <v>31028905</v>
      </c>
      <c r="D94">
        <v>29084596</v>
      </c>
      <c r="E94">
        <v>1</v>
      </c>
      <c r="F94">
        <v>1</v>
      </c>
      <c r="G94">
        <v>1</v>
      </c>
      <c r="H94">
        <v>1</v>
      </c>
      <c r="I94" t="s">
        <v>893</v>
      </c>
      <c r="J94" t="s">
        <v>6</v>
      </c>
      <c r="K94" t="s">
        <v>894</v>
      </c>
      <c r="L94">
        <v>1369</v>
      </c>
      <c r="N94">
        <v>1013</v>
      </c>
      <c r="O94" t="s">
        <v>773</v>
      </c>
      <c r="P94" t="s">
        <v>773</v>
      </c>
      <c r="Q94">
        <v>1</v>
      </c>
      <c r="W94">
        <v>0</v>
      </c>
      <c r="X94">
        <v>1607597053</v>
      </c>
      <c r="Y94">
        <v>811.9</v>
      </c>
      <c r="AA94">
        <v>0</v>
      </c>
      <c r="AB94">
        <v>0</v>
      </c>
      <c r="AC94">
        <v>0</v>
      </c>
      <c r="AD94">
        <v>222.34</v>
      </c>
      <c r="AE94">
        <v>0</v>
      </c>
      <c r="AF94">
        <v>0</v>
      </c>
      <c r="AG94">
        <v>0</v>
      </c>
      <c r="AH94">
        <v>9.18</v>
      </c>
      <c r="AI94">
        <v>1</v>
      </c>
      <c r="AJ94">
        <v>1</v>
      </c>
      <c r="AK94">
        <v>1</v>
      </c>
      <c r="AL94">
        <v>24.22</v>
      </c>
      <c r="AN94">
        <v>0</v>
      </c>
      <c r="AO94">
        <v>1</v>
      </c>
      <c r="AP94">
        <v>1</v>
      </c>
      <c r="AQ94">
        <v>0</v>
      </c>
      <c r="AR94">
        <v>0</v>
      </c>
      <c r="AS94" t="s">
        <v>6</v>
      </c>
      <c r="AT94">
        <v>706</v>
      </c>
      <c r="AU94" t="s">
        <v>36</v>
      </c>
      <c r="AV94">
        <v>1</v>
      </c>
      <c r="AW94">
        <v>2</v>
      </c>
      <c r="AX94">
        <v>31028910</v>
      </c>
      <c r="AY94">
        <v>1</v>
      </c>
      <c r="AZ94">
        <v>0</v>
      </c>
      <c r="BA94">
        <v>111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Y94*Source!I118</f>
        <v>15.832049999999999</v>
      </c>
      <c r="CY94">
        <f>AD94</f>
        <v>222.34</v>
      </c>
      <c r="CZ94">
        <f>AH94</f>
        <v>9.18</v>
      </c>
      <c r="DA94">
        <f>AL94</f>
        <v>24.22</v>
      </c>
      <c r="DB94">
        <f>ROUND((ROUND(AT94*CZ94,2)*ROUND(1.15,7)),6)</f>
        <v>7453.2420000000002</v>
      </c>
      <c r="DC94">
        <f>ROUND((ROUND(AT94*AG94,2)*ROUND(1.15,7)),6)</f>
        <v>0</v>
      </c>
    </row>
    <row r="95" spans="1:107">
      <c r="A95">
        <f>ROW(Source!A118)</f>
        <v>118</v>
      </c>
      <c r="B95">
        <v>31028412</v>
      </c>
      <c r="C95">
        <v>31028905</v>
      </c>
      <c r="D95">
        <v>29084573</v>
      </c>
      <c r="E95">
        <v>1</v>
      </c>
      <c r="F95">
        <v>1</v>
      </c>
      <c r="G95">
        <v>1</v>
      </c>
      <c r="H95">
        <v>1</v>
      </c>
      <c r="I95" t="s">
        <v>774</v>
      </c>
      <c r="J95" t="s">
        <v>6</v>
      </c>
      <c r="K95" t="s">
        <v>775</v>
      </c>
      <c r="L95">
        <v>608254</v>
      </c>
      <c r="N95">
        <v>1013</v>
      </c>
      <c r="O95" t="s">
        <v>776</v>
      </c>
      <c r="P95" t="s">
        <v>776</v>
      </c>
      <c r="Q95">
        <v>1</v>
      </c>
      <c r="W95">
        <v>0</v>
      </c>
      <c r="X95">
        <v>95408949</v>
      </c>
      <c r="Y95">
        <v>44.849999999999994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1</v>
      </c>
      <c r="AJ95">
        <v>1</v>
      </c>
      <c r="AK95">
        <v>24.22</v>
      </c>
      <c r="AL95">
        <v>1</v>
      </c>
      <c r="AN95">
        <v>0</v>
      </c>
      <c r="AO95">
        <v>1</v>
      </c>
      <c r="AP95">
        <v>1</v>
      </c>
      <c r="AQ95">
        <v>0</v>
      </c>
      <c r="AR95">
        <v>0</v>
      </c>
      <c r="AS95" t="s">
        <v>6</v>
      </c>
      <c r="AT95">
        <v>39</v>
      </c>
      <c r="AU95" t="s">
        <v>36</v>
      </c>
      <c r="AV95">
        <v>2</v>
      </c>
      <c r="AW95">
        <v>2</v>
      </c>
      <c r="AX95">
        <v>31028911</v>
      </c>
      <c r="AY95">
        <v>1</v>
      </c>
      <c r="AZ95">
        <v>0</v>
      </c>
      <c r="BA95">
        <v>112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Y95*Source!I118</f>
        <v>0.87457499999999988</v>
      </c>
      <c r="CY95">
        <f>AD95</f>
        <v>0</v>
      </c>
      <c r="CZ95">
        <f>AH95</f>
        <v>0</v>
      </c>
      <c r="DA95">
        <f>AL95</f>
        <v>1</v>
      </c>
      <c r="DB95">
        <f>ROUND((ROUND(AT95*CZ95,2)*ROUND(1.15,7)),6)</f>
        <v>0</v>
      </c>
      <c r="DC95">
        <f>ROUND((ROUND(AT95*AG95,2)*ROUND(1.15,7)),6)</f>
        <v>0</v>
      </c>
    </row>
    <row r="96" spans="1:107">
      <c r="A96">
        <f>ROW(Source!A118)</f>
        <v>118</v>
      </c>
      <c r="B96">
        <v>31028412</v>
      </c>
      <c r="C96">
        <v>31028905</v>
      </c>
      <c r="D96">
        <v>29147520</v>
      </c>
      <c r="E96">
        <v>1</v>
      </c>
      <c r="F96">
        <v>1</v>
      </c>
      <c r="G96">
        <v>1</v>
      </c>
      <c r="H96">
        <v>2</v>
      </c>
      <c r="I96" t="s">
        <v>777</v>
      </c>
      <c r="J96" t="s">
        <v>778</v>
      </c>
      <c r="K96" t="s">
        <v>779</v>
      </c>
      <c r="L96">
        <v>1368</v>
      </c>
      <c r="N96">
        <v>1011</v>
      </c>
      <c r="O96" t="s">
        <v>780</v>
      </c>
      <c r="P96" t="s">
        <v>780</v>
      </c>
      <c r="Q96">
        <v>1</v>
      </c>
      <c r="W96">
        <v>0</v>
      </c>
      <c r="X96">
        <v>-2048414082</v>
      </c>
      <c r="Y96">
        <v>44.849999999999994</v>
      </c>
      <c r="AA96">
        <v>0</v>
      </c>
      <c r="AB96">
        <v>656.51</v>
      </c>
      <c r="AC96">
        <v>315.58999999999997</v>
      </c>
      <c r="AD96">
        <v>0</v>
      </c>
      <c r="AE96">
        <v>0</v>
      </c>
      <c r="AF96">
        <v>85.93</v>
      </c>
      <c r="AG96">
        <v>13.03</v>
      </c>
      <c r="AH96">
        <v>0</v>
      </c>
      <c r="AI96">
        <v>1</v>
      </c>
      <c r="AJ96">
        <v>7.64</v>
      </c>
      <c r="AK96">
        <v>24.22</v>
      </c>
      <c r="AL96">
        <v>1</v>
      </c>
      <c r="AN96">
        <v>0</v>
      </c>
      <c r="AO96">
        <v>1</v>
      </c>
      <c r="AP96">
        <v>1</v>
      </c>
      <c r="AQ96">
        <v>0</v>
      </c>
      <c r="AR96">
        <v>0</v>
      </c>
      <c r="AS96" t="s">
        <v>6</v>
      </c>
      <c r="AT96">
        <v>39</v>
      </c>
      <c r="AU96" t="s">
        <v>36</v>
      </c>
      <c r="AV96">
        <v>0</v>
      </c>
      <c r="AW96">
        <v>2</v>
      </c>
      <c r="AX96">
        <v>31028912</v>
      </c>
      <c r="AY96">
        <v>1</v>
      </c>
      <c r="AZ96">
        <v>0</v>
      </c>
      <c r="BA96">
        <v>113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Y96*Source!I118</f>
        <v>0.87457499999999988</v>
      </c>
      <c r="CY96">
        <f>AB96</f>
        <v>656.51</v>
      </c>
      <c r="CZ96">
        <f>AF96</f>
        <v>85.93</v>
      </c>
      <c r="DA96">
        <f>AJ96</f>
        <v>7.64</v>
      </c>
      <c r="DB96">
        <f>ROUND((ROUND(AT96*CZ96,2)*ROUND(1.15,7)),6)</f>
        <v>3853.9605000000001</v>
      </c>
      <c r="DC96">
        <f>ROUND((ROUND(AT96*AG96,2)*ROUND(1.15,7)),6)</f>
        <v>584.39549999999997</v>
      </c>
    </row>
    <row r="97" spans="1:107">
      <c r="A97">
        <f>ROW(Source!A118)</f>
        <v>118</v>
      </c>
      <c r="B97">
        <v>31028412</v>
      </c>
      <c r="C97">
        <v>31028905</v>
      </c>
      <c r="D97">
        <v>29195171</v>
      </c>
      <c r="E97">
        <v>1</v>
      </c>
      <c r="F97">
        <v>1</v>
      </c>
      <c r="G97">
        <v>1</v>
      </c>
      <c r="H97">
        <v>3</v>
      </c>
      <c r="I97" t="s">
        <v>830</v>
      </c>
      <c r="J97" t="s">
        <v>831</v>
      </c>
      <c r="K97" t="s">
        <v>832</v>
      </c>
      <c r="L97">
        <v>1339</v>
      </c>
      <c r="N97">
        <v>1007</v>
      </c>
      <c r="O97" t="s">
        <v>109</v>
      </c>
      <c r="P97" t="s">
        <v>109</v>
      </c>
      <c r="Q97">
        <v>1</v>
      </c>
      <c r="W97">
        <v>0</v>
      </c>
      <c r="X97">
        <v>2050165204</v>
      </c>
      <c r="Y97">
        <v>4.4000000000000004</v>
      </c>
      <c r="AA97">
        <v>15.12</v>
      </c>
      <c r="AB97">
        <v>0</v>
      </c>
      <c r="AC97">
        <v>0</v>
      </c>
      <c r="AD97">
        <v>0</v>
      </c>
      <c r="AE97">
        <v>2.4500000000000002</v>
      </c>
      <c r="AF97">
        <v>0</v>
      </c>
      <c r="AG97">
        <v>0</v>
      </c>
      <c r="AH97">
        <v>0</v>
      </c>
      <c r="AI97">
        <v>6.17</v>
      </c>
      <c r="AJ97">
        <v>1</v>
      </c>
      <c r="AK97">
        <v>1</v>
      </c>
      <c r="AL97">
        <v>1</v>
      </c>
      <c r="AN97">
        <v>0</v>
      </c>
      <c r="AO97">
        <v>1</v>
      </c>
      <c r="AP97">
        <v>0</v>
      </c>
      <c r="AQ97">
        <v>0</v>
      </c>
      <c r="AR97">
        <v>0</v>
      </c>
      <c r="AS97" t="s">
        <v>6</v>
      </c>
      <c r="AT97">
        <v>4.4000000000000004</v>
      </c>
      <c r="AU97" t="s">
        <v>6</v>
      </c>
      <c r="AV97">
        <v>0</v>
      </c>
      <c r="AW97">
        <v>2</v>
      </c>
      <c r="AX97">
        <v>31028915</v>
      </c>
      <c r="AY97">
        <v>1</v>
      </c>
      <c r="AZ97">
        <v>0</v>
      </c>
      <c r="BA97">
        <v>116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Y97*Source!I118</f>
        <v>8.5800000000000001E-2</v>
      </c>
      <c r="CY97">
        <f>AA97</f>
        <v>15.12</v>
      </c>
      <c r="CZ97">
        <f>AE97</f>
        <v>2.4500000000000002</v>
      </c>
      <c r="DA97">
        <f>AI97</f>
        <v>6.17</v>
      </c>
      <c r="DB97">
        <f>ROUND(ROUND(AT97*CZ97,2),6)</f>
        <v>10.78</v>
      </c>
      <c r="DC97">
        <f>ROUND(ROUND(AT97*AG97,2),6)</f>
        <v>0</v>
      </c>
    </row>
    <row r="98" spans="1:107">
      <c r="A98">
        <f>ROW(Source!A123)</f>
        <v>123</v>
      </c>
      <c r="B98">
        <v>31028412</v>
      </c>
      <c r="C98">
        <v>31028920</v>
      </c>
      <c r="D98">
        <v>29084581</v>
      </c>
      <c r="E98">
        <v>1</v>
      </c>
      <c r="F98">
        <v>1</v>
      </c>
      <c r="G98">
        <v>1</v>
      </c>
      <c r="H98">
        <v>1</v>
      </c>
      <c r="I98" t="s">
        <v>880</v>
      </c>
      <c r="J98" t="s">
        <v>6</v>
      </c>
      <c r="K98" t="s">
        <v>881</v>
      </c>
      <c r="L98">
        <v>1369</v>
      </c>
      <c r="N98">
        <v>1013</v>
      </c>
      <c r="O98" t="s">
        <v>773</v>
      </c>
      <c r="P98" t="s">
        <v>773</v>
      </c>
      <c r="Q98">
        <v>1</v>
      </c>
      <c r="W98">
        <v>0</v>
      </c>
      <c r="X98">
        <v>-1013777572</v>
      </c>
      <c r="Y98">
        <v>6.0570499999999985</v>
      </c>
      <c r="AA98">
        <v>0</v>
      </c>
      <c r="AB98">
        <v>0</v>
      </c>
      <c r="AC98">
        <v>0</v>
      </c>
      <c r="AD98">
        <v>194.24</v>
      </c>
      <c r="AE98">
        <v>0</v>
      </c>
      <c r="AF98">
        <v>0</v>
      </c>
      <c r="AG98">
        <v>0</v>
      </c>
      <c r="AH98">
        <v>8.02</v>
      </c>
      <c r="AI98">
        <v>1</v>
      </c>
      <c r="AJ98">
        <v>1</v>
      </c>
      <c r="AK98">
        <v>1</v>
      </c>
      <c r="AL98">
        <v>24.22</v>
      </c>
      <c r="AN98">
        <v>0</v>
      </c>
      <c r="AO98">
        <v>1</v>
      </c>
      <c r="AP98">
        <v>1</v>
      </c>
      <c r="AQ98">
        <v>0</v>
      </c>
      <c r="AR98">
        <v>0</v>
      </c>
      <c r="AS98" t="s">
        <v>6</v>
      </c>
      <c r="AT98">
        <v>4.58</v>
      </c>
      <c r="AU98" t="s">
        <v>127</v>
      </c>
      <c r="AV98">
        <v>1</v>
      </c>
      <c r="AW98">
        <v>2</v>
      </c>
      <c r="AX98">
        <v>31028927</v>
      </c>
      <c r="AY98">
        <v>1</v>
      </c>
      <c r="AZ98">
        <v>0</v>
      </c>
      <c r="BA98">
        <v>117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Y98*Source!I123</f>
        <v>2.1199674999999991</v>
      </c>
      <c r="CY98">
        <f>AD98</f>
        <v>194.24</v>
      </c>
      <c r="CZ98">
        <f>AH98</f>
        <v>8.02</v>
      </c>
      <c r="DA98">
        <f>AL98</f>
        <v>24.22</v>
      </c>
      <c r="DB98">
        <f>ROUND((ROUND(AT98*CZ98,2)*ROUND((1.15*1.15),7)),6)</f>
        <v>48.575425000000003</v>
      </c>
      <c r="DC98">
        <f>ROUND((ROUND(AT98*AG98,2)*ROUND((1.15*1.15),7)),6)</f>
        <v>0</v>
      </c>
    </row>
    <row r="99" spans="1:107">
      <c r="A99">
        <f>ROW(Source!A123)</f>
        <v>123</v>
      </c>
      <c r="B99">
        <v>31028412</v>
      </c>
      <c r="C99">
        <v>31028920</v>
      </c>
      <c r="D99">
        <v>29084573</v>
      </c>
      <c r="E99">
        <v>1</v>
      </c>
      <c r="F99">
        <v>1</v>
      </c>
      <c r="G99">
        <v>1</v>
      </c>
      <c r="H99">
        <v>1</v>
      </c>
      <c r="I99" t="s">
        <v>774</v>
      </c>
      <c r="J99" t="s">
        <v>6</v>
      </c>
      <c r="K99" t="s">
        <v>775</v>
      </c>
      <c r="L99">
        <v>608254</v>
      </c>
      <c r="N99">
        <v>1013</v>
      </c>
      <c r="O99" t="s">
        <v>776</v>
      </c>
      <c r="P99" t="s">
        <v>776</v>
      </c>
      <c r="Q99">
        <v>1</v>
      </c>
      <c r="W99">
        <v>0</v>
      </c>
      <c r="X99">
        <v>95408949</v>
      </c>
      <c r="Y99">
        <v>0.35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1</v>
      </c>
      <c r="AJ99">
        <v>1</v>
      </c>
      <c r="AK99">
        <v>24.22</v>
      </c>
      <c r="AL99">
        <v>1</v>
      </c>
      <c r="AN99">
        <v>0</v>
      </c>
      <c r="AO99">
        <v>1</v>
      </c>
      <c r="AP99">
        <v>0</v>
      </c>
      <c r="AQ99">
        <v>0</v>
      </c>
      <c r="AR99">
        <v>0</v>
      </c>
      <c r="AS99" t="s">
        <v>6</v>
      </c>
      <c r="AT99">
        <v>0.35</v>
      </c>
      <c r="AU99" t="s">
        <v>6</v>
      </c>
      <c r="AV99">
        <v>2</v>
      </c>
      <c r="AW99">
        <v>2</v>
      </c>
      <c r="AX99">
        <v>31028928</v>
      </c>
      <c r="AY99">
        <v>1</v>
      </c>
      <c r="AZ99">
        <v>0</v>
      </c>
      <c r="BA99">
        <v>118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Y99*Source!I123</f>
        <v>0.12249999999999998</v>
      </c>
      <c r="CY99">
        <f>AD99</f>
        <v>0</v>
      </c>
      <c r="CZ99">
        <f>AH99</f>
        <v>0</v>
      </c>
      <c r="DA99">
        <f>AL99</f>
        <v>1</v>
      </c>
      <c r="DB99">
        <f>ROUND(ROUND(AT99*CZ99,2),6)</f>
        <v>0</v>
      </c>
      <c r="DC99">
        <f>ROUND(ROUND(AT99*AG99,2),6)</f>
        <v>0</v>
      </c>
    </row>
    <row r="100" spans="1:107">
      <c r="A100">
        <f>ROW(Source!A123)</f>
        <v>123</v>
      </c>
      <c r="B100">
        <v>31028412</v>
      </c>
      <c r="C100">
        <v>31028920</v>
      </c>
      <c r="D100">
        <v>29147520</v>
      </c>
      <c r="E100">
        <v>1</v>
      </c>
      <c r="F100">
        <v>1</v>
      </c>
      <c r="G100">
        <v>1</v>
      </c>
      <c r="H100">
        <v>2</v>
      </c>
      <c r="I100" t="s">
        <v>777</v>
      </c>
      <c r="J100" t="s">
        <v>778</v>
      </c>
      <c r="K100" t="s">
        <v>779</v>
      </c>
      <c r="L100">
        <v>1368</v>
      </c>
      <c r="N100">
        <v>1011</v>
      </c>
      <c r="O100" t="s">
        <v>780</v>
      </c>
      <c r="P100" t="s">
        <v>780</v>
      </c>
      <c r="Q100">
        <v>1</v>
      </c>
      <c r="W100">
        <v>0</v>
      </c>
      <c r="X100">
        <v>-2048414082</v>
      </c>
      <c r="Y100">
        <v>0.35</v>
      </c>
      <c r="AA100">
        <v>0</v>
      </c>
      <c r="AB100">
        <v>656.51</v>
      </c>
      <c r="AC100">
        <v>315.58999999999997</v>
      </c>
      <c r="AD100">
        <v>0</v>
      </c>
      <c r="AE100">
        <v>0</v>
      </c>
      <c r="AF100">
        <v>85.93</v>
      </c>
      <c r="AG100">
        <v>13.03</v>
      </c>
      <c r="AH100">
        <v>0</v>
      </c>
      <c r="AI100">
        <v>1</v>
      </c>
      <c r="AJ100">
        <v>7.64</v>
      </c>
      <c r="AK100">
        <v>24.22</v>
      </c>
      <c r="AL100">
        <v>1</v>
      </c>
      <c r="AN100">
        <v>0</v>
      </c>
      <c r="AO100">
        <v>1</v>
      </c>
      <c r="AP100">
        <v>0</v>
      </c>
      <c r="AQ100">
        <v>0</v>
      </c>
      <c r="AR100">
        <v>0</v>
      </c>
      <c r="AS100" t="s">
        <v>6</v>
      </c>
      <c r="AT100">
        <v>0.35</v>
      </c>
      <c r="AU100" t="s">
        <v>6</v>
      </c>
      <c r="AV100">
        <v>0</v>
      </c>
      <c r="AW100">
        <v>2</v>
      </c>
      <c r="AX100">
        <v>31028929</v>
      </c>
      <c r="AY100">
        <v>1</v>
      </c>
      <c r="AZ100">
        <v>0</v>
      </c>
      <c r="BA100">
        <v>119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Y100*Source!I123</f>
        <v>0.12249999999999998</v>
      </c>
      <c r="CY100">
        <f>AB100</f>
        <v>656.51</v>
      </c>
      <c r="CZ100">
        <f>AF100</f>
        <v>85.93</v>
      </c>
      <c r="DA100">
        <f>AJ100</f>
        <v>7.64</v>
      </c>
      <c r="DB100">
        <f>ROUND(ROUND(AT100*CZ100,2),6)</f>
        <v>30.08</v>
      </c>
      <c r="DC100">
        <f>ROUND(ROUND(AT100*AG100,2),6)</f>
        <v>4.5599999999999996</v>
      </c>
    </row>
    <row r="101" spans="1:107">
      <c r="A101">
        <f>ROW(Source!A123)</f>
        <v>123</v>
      </c>
      <c r="B101">
        <v>31028412</v>
      </c>
      <c r="C101">
        <v>31028920</v>
      </c>
      <c r="D101">
        <v>29158138</v>
      </c>
      <c r="E101">
        <v>1</v>
      </c>
      <c r="F101">
        <v>1</v>
      </c>
      <c r="G101">
        <v>1</v>
      </c>
      <c r="H101">
        <v>3</v>
      </c>
      <c r="I101" t="s">
        <v>882</v>
      </c>
      <c r="J101" t="s">
        <v>883</v>
      </c>
      <c r="K101" t="s">
        <v>884</v>
      </c>
      <c r="L101">
        <v>1339</v>
      </c>
      <c r="N101">
        <v>1007</v>
      </c>
      <c r="O101" t="s">
        <v>109</v>
      </c>
      <c r="P101" t="s">
        <v>109</v>
      </c>
      <c r="Q101">
        <v>1</v>
      </c>
      <c r="W101">
        <v>0</v>
      </c>
      <c r="X101">
        <v>2054754152</v>
      </c>
      <c r="Y101">
        <v>1.1000000000000001E-3</v>
      </c>
      <c r="AA101">
        <v>4960.5600000000004</v>
      </c>
      <c r="AB101">
        <v>0</v>
      </c>
      <c r="AC101">
        <v>0</v>
      </c>
      <c r="AD101">
        <v>0</v>
      </c>
      <c r="AE101">
        <v>803.98</v>
      </c>
      <c r="AF101">
        <v>0</v>
      </c>
      <c r="AG101">
        <v>0</v>
      </c>
      <c r="AH101">
        <v>0</v>
      </c>
      <c r="AI101">
        <v>6.17</v>
      </c>
      <c r="AJ101">
        <v>1</v>
      </c>
      <c r="AK101">
        <v>1</v>
      </c>
      <c r="AL101">
        <v>1</v>
      </c>
      <c r="AN101">
        <v>0</v>
      </c>
      <c r="AO101">
        <v>1</v>
      </c>
      <c r="AP101">
        <v>0</v>
      </c>
      <c r="AQ101">
        <v>0</v>
      </c>
      <c r="AR101">
        <v>0</v>
      </c>
      <c r="AS101" t="s">
        <v>6</v>
      </c>
      <c r="AT101">
        <v>1.1000000000000001E-3</v>
      </c>
      <c r="AU101" t="s">
        <v>6</v>
      </c>
      <c r="AV101">
        <v>0</v>
      </c>
      <c r="AW101">
        <v>2</v>
      </c>
      <c r="AX101">
        <v>31028930</v>
      </c>
      <c r="AY101">
        <v>1</v>
      </c>
      <c r="AZ101">
        <v>0</v>
      </c>
      <c r="BA101">
        <v>120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Y101*Source!I123</f>
        <v>3.8499999999999998E-4</v>
      </c>
      <c r="CY101">
        <f>AA101</f>
        <v>4960.5600000000004</v>
      </c>
      <c r="CZ101">
        <f>AE101</f>
        <v>803.98</v>
      </c>
      <c r="DA101">
        <f>AI101</f>
        <v>6.17</v>
      </c>
      <c r="DB101">
        <f>ROUND(ROUND(AT101*CZ101,2),6)</f>
        <v>0.88</v>
      </c>
      <c r="DC101">
        <f>ROUND(ROUND(AT101*AG101,2),6)</f>
        <v>0</v>
      </c>
    </row>
    <row r="102" spans="1:107">
      <c r="A102">
        <f>ROW(Source!A123)</f>
        <v>123</v>
      </c>
      <c r="B102">
        <v>31028412</v>
      </c>
      <c r="C102">
        <v>31028920</v>
      </c>
      <c r="D102">
        <v>29186496</v>
      </c>
      <c r="E102">
        <v>1</v>
      </c>
      <c r="F102">
        <v>1</v>
      </c>
      <c r="G102">
        <v>1</v>
      </c>
      <c r="H102">
        <v>3</v>
      </c>
      <c r="I102" t="s">
        <v>215</v>
      </c>
      <c r="J102" t="s">
        <v>217</v>
      </c>
      <c r="K102" t="s">
        <v>216</v>
      </c>
      <c r="L102">
        <v>1339</v>
      </c>
      <c r="N102">
        <v>1007</v>
      </c>
      <c r="O102" t="s">
        <v>109</v>
      </c>
      <c r="P102" t="s">
        <v>109</v>
      </c>
      <c r="Q102">
        <v>1</v>
      </c>
      <c r="W102">
        <v>0</v>
      </c>
      <c r="X102">
        <v>1123371170</v>
      </c>
      <c r="Y102">
        <v>0.22</v>
      </c>
      <c r="AA102">
        <v>2467.63</v>
      </c>
      <c r="AB102">
        <v>0</v>
      </c>
      <c r="AC102">
        <v>0</v>
      </c>
      <c r="AD102">
        <v>0</v>
      </c>
      <c r="AE102">
        <v>399.94</v>
      </c>
      <c r="AF102">
        <v>0</v>
      </c>
      <c r="AG102">
        <v>0</v>
      </c>
      <c r="AH102">
        <v>0</v>
      </c>
      <c r="AI102">
        <v>6.17</v>
      </c>
      <c r="AJ102">
        <v>1</v>
      </c>
      <c r="AK102">
        <v>1</v>
      </c>
      <c r="AL102">
        <v>1</v>
      </c>
      <c r="AN102">
        <v>0</v>
      </c>
      <c r="AO102">
        <v>1</v>
      </c>
      <c r="AP102">
        <v>0</v>
      </c>
      <c r="AQ102">
        <v>0</v>
      </c>
      <c r="AR102">
        <v>0</v>
      </c>
      <c r="AS102" t="s">
        <v>6</v>
      </c>
      <c r="AT102">
        <v>0.22</v>
      </c>
      <c r="AU102" t="s">
        <v>6</v>
      </c>
      <c r="AV102">
        <v>0</v>
      </c>
      <c r="AW102">
        <v>2</v>
      </c>
      <c r="AX102">
        <v>31028931</v>
      </c>
      <c r="AY102">
        <v>1</v>
      </c>
      <c r="AZ102">
        <v>0</v>
      </c>
      <c r="BA102">
        <v>121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Y102*Source!I123</f>
        <v>7.6999999999999999E-2</v>
      </c>
      <c r="CY102">
        <f>AA102</f>
        <v>2467.63</v>
      </c>
      <c r="CZ102">
        <f>AE102</f>
        <v>399.94</v>
      </c>
      <c r="DA102">
        <f>AI102</f>
        <v>6.17</v>
      </c>
      <c r="DB102">
        <f>ROUND(ROUND(AT102*CZ102,2),6)</f>
        <v>87.99</v>
      </c>
      <c r="DC102">
        <f>ROUND(ROUND(AT102*AG102,2),6)</f>
        <v>0</v>
      </c>
    </row>
    <row r="103" spans="1:107">
      <c r="A103">
        <f>ROW(Source!A123)</f>
        <v>123</v>
      </c>
      <c r="B103">
        <v>31028412</v>
      </c>
      <c r="C103">
        <v>31028920</v>
      </c>
      <c r="D103">
        <v>29195171</v>
      </c>
      <c r="E103">
        <v>1</v>
      </c>
      <c r="F103">
        <v>1</v>
      </c>
      <c r="G103">
        <v>1</v>
      </c>
      <c r="H103">
        <v>3</v>
      </c>
      <c r="I103" t="s">
        <v>830</v>
      </c>
      <c r="J103" t="s">
        <v>831</v>
      </c>
      <c r="K103" t="s">
        <v>832</v>
      </c>
      <c r="L103">
        <v>1339</v>
      </c>
      <c r="N103">
        <v>1007</v>
      </c>
      <c r="O103" t="s">
        <v>109</v>
      </c>
      <c r="P103" t="s">
        <v>109</v>
      </c>
      <c r="Q103">
        <v>1</v>
      </c>
      <c r="W103">
        <v>0</v>
      </c>
      <c r="X103">
        <v>2050165204</v>
      </c>
      <c r="Y103">
        <v>0.2</v>
      </c>
      <c r="AA103">
        <v>15.12</v>
      </c>
      <c r="AB103">
        <v>0</v>
      </c>
      <c r="AC103">
        <v>0</v>
      </c>
      <c r="AD103">
        <v>0</v>
      </c>
      <c r="AE103">
        <v>2.4500000000000002</v>
      </c>
      <c r="AF103">
        <v>0</v>
      </c>
      <c r="AG103">
        <v>0</v>
      </c>
      <c r="AH103">
        <v>0</v>
      </c>
      <c r="AI103">
        <v>6.17</v>
      </c>
      <c r="AJ103">
        <v>1</v>
      </c>
      <c r="AK103">
        <v>1</v>
      </c>
      <c r="AL103">
        <v>1</v>
      </c>
      <c r="AN103">
        <v>0</v>
      </c>
      <c r="AO103">
        <v>1</v>
      </c>
      <c r="AP103">
        <v>0</v>
      </c>
      <c r="AQ103">
        <v>0</v>
      </c>
      <c r="AR103">
        <v>0</v>
      </c>
      <c r="AS103" t="s">
        <v>6</v>
      </c>
      <c r="AT103">
        <v>0.2</v>
      </c>
      <c r="AU103" t="s">
        <v>6</v>
      </c>
      <c r="AV103">
        <v>0</v>
      </c>
      <c r="AW103">
        <v>2</v>
      </c>
      <c r="AX103">
        <v>31028933</v>
      </c>
      <c r="AY103">
        <v>1</v>
      </c>
      <c r="AZ103">
        <v>0</v>
      </c>
      <c r="BA103">
        <v>123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Y103*Source!I123</f>
        <v>6.9999999999999993E-2</v>
      </c>
      <c r="CY103">
        <f>AA103</f>
        <v>15.12</v>
      </c>
      <c r="CZ103">
        <f>AE103</f>
        <v>2.4500000000000002</v>
      </c>
      <c r="DA103">
        <f>AI103</f>
        <v>6.17</v>
      </c>
      <c r="DB103">
        <f>ROUND(ROUND(AT103*CZ103,2),6)</f>
        <v>0.49</v>
      </c>
      <c r="DC103">
        <f>ROUND(ROUND(AT103*AG103,2),6)</f>
        <v>0</v>
      </c>
    </row>
    <row r="104" spans="1:107">
      <c r="A104">
        <f>ROW(Source!A126)</f>
        <v>126</v>
      </c>
      <c r="B104">
        <v>31028412</v>
      </c>
      <c r="C104">
        <v>31028936</v>
      </c>
      <c r="D104">
        <v>29084583</v>
      </c>
      <c r="E104">
        <v>1</v>
      </c>
      <c r="F104">
        <v>1</v>
      </c>
      <c r="G104">
        <v>1</v>
      </c>
      <c r="H104">
        <v>1</v>
      </c>
      <c r="I104" t="s">
        <v>857</v>
      </c>
      <c r="J104" t="s">
        <v>6</v>
      </c>
      <c r="K104" t="s">
        <v>858</v>
      </c>
      <c r="L104">
        <v>1369</v>
      </c>
      <c r="N104">
        <v>1013</v>
      </c>
      <c r="O104" t="s">
        <v>773</v>
      </c>
      <c r="P104" t="s">
        <v>773</v>
      </c>
      <c r="Q104">
        <v>1</v>
      </c>
      <c r="W104">
        <v>0</v>
      </c>
      <c r="X104">
        <v>1784516707</v>
      </c>
      <c r="Y104">
        <v>3.9674999999999998</v>
      </c>
      <c r="AA104">
        <v>0</v>
      </c>
      <c r="AB104">
        <v>0</v>
      </c>
      <c r="AC104">
        <v>0</v>
      </c>
      <c r="AD104">
        <v>199.33</v>
      </c>
      <c r="AE104">
        <v>0</v>
      </c>
      <c r="AF104">
        <v>0</v>
      </c>
      <c r="AG104">
        <v>0</v>
      </c>
      <c r="AH104">
        <v>8.23</v>
      </c>
      <c r="AI104">
        <v>1</v>
      </c>
      <c r="AJ104">
        <v>1</v>
      </c>
      <c r="AK104">
        <v>1</v>
      </c>
      <c r="AL104">
        <v>24.22</v>
      </c>
      <c r="AN104">
        <v>0</v>
      </c>
      <c r="AO104">
        <v>1</v>
      </c>
      <c r="AP104">
        <v>1</v>
      </c>
      <c r="AQ104">
        <v>0</v>
      </c>
      <c r="AR104">
        <v>0</v>
      </c>
      <c r="AS104" t="s">
        <v>6</v>
      </c>
      <c r="AT104">
        <v>3.45</v>
      </c>
      <c r="AU104" t="s">
        <v>36</v>
      </c>
      <c r="AV104">
        <v>1</v>
      </c>
      <c r="AW104">
        <v>2</v>
      </c>
      <c r="AX104">
        <v>31028941</v>
      </c>
      <c r="AY104">
        <v>1</v>
      </c>
      <c r="AZ104">
        <v>0</v>
      </c>
      <c r="BA104">
        <v>124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Y104*Source!I126</f>
        <v>40.468499999999992</v>
      </c>
      <c r="CY104">
        <f>AD104</f>
        <v>199.33</v>
      </c>
      <c r="CZ104">
        <f>AH104</f>
        <v>8.23</v>
      </c>
      <c r="DA104">
        <f>AL104</f>
        <v>24.22</v>
      </c>
      <c r="DB104">
        <f>ROUND((ROUND(AT104*CZ104,2)*ROUND(1.15,7)),6)</f>
        <v>32.648499999999999</v>
      </c>
      <c r="DC104">
        <f>ROUND((ROUND(AT104*AG104,2)*ROUND(1.15,7)),6)</f>
        <v>0</v>
      </c>
    </row>
    <row r="105" spans="1:107">
      <c r="A105">
        <f>ROW(Source!A126)</f>
        <v>126</v>
      </c>
      <c r="B105">
        <v>31028412</v>
      </c>
      <c r="C105">
        <v>31028936</v>
      </c>
      <c r="D105">
        <v>29084573</v>
      </c>
      <c r="E105">
        <v>1</v>
      </c>
      <c r="F105">
        <v>1</v>
      </c>
      <c r="G105">
        <v>1</v>
      </c>
      <c r="H105">
        <v>1</v>
      </c>
      <c r="I105" t="s">
        <v>774</v>
      </c>
      <c r="J105" t="s">
        <v>6</v>
      </c>
      <c r="K105" t="s">
        <v>775</v>
      </c>
      <c r="L105">
        <v>608254</v>
      </c>
      <c r="N105">
        <v>1013</v>
      </c>
      <c r="O105" t="s">
        <v>776</v>
      </c>
      <c r="P105" t="s">
        <v>776</v>
      </c>
      <c r="Q105">
        <v>1</v>
      </c>
      <c r="W105">
        <v>0</v>
      </c>
      <c r="X105">
        <v>95408949</v>
      </c>
      <c r="Y105">
        <v>1.15E-2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1</v>
      </c>
      <c r="AJ105">
        <v>1</v>
      </c>
      <c r="AK105">
        <v>24.22</v>
      </c>
      <c r="AL105">
        <v>1</v>
      </c>
      <c r="AN105">
        <v>0</v>
      </c>
      <c r="AO105">
        <v>1</v>
      </c>
      <c r="AP105">
        <v>1</v>
      </c>
      <c r="AQ105">
        <v>0</v>
      </c>
      <c r="AR105">
        <v>0</v>
      </c>
      <c r="AS105" t="s">
        <v>6</v>
      </c>
      <c r="AT105">
        <v>0.01</v>
      </c>
      <c r="AU105" t="s">
        <v>36</v>
      </c>
      <c r="AV105">
        <v>2</v>
      </c>
      <c r="AW105">
        <v>2</v>
      </c>
      <c r="AX105">
        <v>31028942</v>
      </c>
      <c r="AY105">
        <v>1</v>
      </c>
      <c r="AZ105">
        <v>0</v>
      </c>
      <c r="BA105">
        <v>125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Y105*Source!I126</f>
        <v>0.11729999999999999</v>
      </c>
      <c r="CY105">
        <f>AD105</f>
        <v>0</v>
      </c>
      <c r="CZ105">
        <f>AH105</f>
        <v>0</v>
      </c>
      <c r="DA105">
        <f>AL105</f>
        <v>1</v>
      </c>
      <c r="DB105">
        <f>ROUND((ROUND(AT105*CZ105,2)*ROUND(1.15,7)),6)</f>
        <v>0</v>
      </c>
      <c r="DC105">
        <f>ROUND((ROUND(AT105*AG105,2)*ROUND(1.15,7)),6)</f>
        <v>0</v>
      </c>
    </row>
    <row r="106" spans="1:107">
      <c r="A106">
        <f>ROW(Source!A126)</f>
        <v>126</v>
      </c>
      <c r="B106">
        <v>31028412</v>
      </c>
      <c r="C106">
        <v>31028936</v>
      </c>
      <c r="D106">
        <v>29147521</v>
      </c>
      <c r="E106">
        <v>1</v>
      </c>
      <c r="F106">
        <v>1</v>
      </c>
      <c r="G106">
        <v>1</v>
      </c>
      <c r="H106">
        <v>2</v>
      </c>
      <c r="I106" t="s">
        <v>895</v>
      </c>
      <c r="J106" t="s">
        <v>896</v>
      </c>
      <c r="K106" t="s">
        <v>897</v>
      </c>
      <c r="L106">
        <v>1368</v>
      </c>
      <c r="N106">
        <v>1011</v>
      </c>
      <c r="O106" t="s">
        <v>780</v>
      </c>
      <c r="P106" t="s">
        <v>780</v>
      </c>
      <c r="Q106">
        <v>1</v>
      </c>
      <c r="W106">
        <v>0</v>
      </c>
      <c r="X106">
        <v>-150732871</v>
      </c>
      <c r="Y106">
        <v>1.15E-2</v>
      </c>
      <c r="AA106">
        <v>0</v>
      </c>
      <c r="AB106">
        <v>690.12</v>
      </c>
      <c r="AC106">
        <v>315.58999999999997</v>
      </c>
      <c r="AD106">
        <v>0</v>
      </c>
      <c r="AE106">
        <v>0</v>
      </c>
      <c r="AF106">
        <v>90.33</v>
      </c>
      <c r="AG106">
        <v>13.03</v>
      </c>
      <c r="AH106">
        <v>0</v>
      </c>
      <c r="AI106">
        <v>1</v>
      </c>
      <c r="AJ106">
        <v>7.64</v>
      </c>
      <c r="AK106">
        <v>24.22</v>
      </c>
      <c r="AL106">
        <v>1</v>
      </c>
      <c r="AN106">
        <v>0</v>
      </c>
      <c r="AO106">
        <v>1</v>
      </c>
      <c r="AP106">
        <v>1</v>
      </c>
      <c r="AQ106">
        <v>0</v>
      </c>
      <c r="AR106">
        <v>0</v>
      </c>
      <c r="AS106" t="s">
        <v>6</v>
      </c>
      <c r="AT106">
        <v>0.01</v>
      </c>
      <c r="AU106" t="s">
        <v>36</v>
      </c>
      <c r="AV106">
        <v>0</v>
      </c>
      <c r="AW106">
        <v>2</v>
      </c>
      <c r="AX106">
        <v>31028943</v>
      </c>
      <c r="AY106">
        <v>1</v>
      </c>
      <c r="AZ106">
        <v>0</v>
      </c>
      <c r="BA106">
        <v>126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Y106*Source!I126</f>
        <v>0.11729999999999999</v>
      </c>
      <c r="CY106">
        <f>AB106</f>
        <v>690.12</v>
      </c>
      <c r="CZ106">
        <f>AF106</f>
        <v>90.33</v>
      </c>
      <c r="DA106">
        <f>AJ106</f>
        <v>7.64</v>
      </c>
      <c r="DB106">
        <f>ROUND((ROUND(AT106*CZ106,2)*ROUND(1.15,7)),6)</f>
        <v>1.0349999999999999</v>
      </c>
      <c r="DC106">
        <f>ROUND((ROUND(AT106*AG106,2)*ROUND(1.15,7)),6)</f>
        <v>0.14949999999999999</v>
      </c>
    </row>
    <row r="107" spans="1:107">
      <c r="A107">
        <f>ROW(Source!A126)</f>
        <v>126</v>
      </c>
      <c r="B107">
        <v>31028412</v>
      </c>
      <c r="C107">
        <v>31028936</v>
      </c>
      <c r="D107">
        <v>29186489</v>
      </c>
      <c r="E107">
        <v>1</v>
      </c>
      <c r="F107">
        <v>1</v>
      </c>
      <c r="G107">
        <v>1</v>
      </c>
      <c r="H107">
        <v>3</v>
      </c>
      <c r="I107" t="s">
        <v>582</v>
      </c>
      <c r="J107" t="s">
        <v>584</v>
      </c>
      <c r="K107" t="s">
        <v>583</v>
      </c>
      <c r="L107">
        <v>1339</v>
      </c>
      <c r="N107">
        <v>1007</v>
      </c>
      <c r="O107" t="s">
        <v>109</v>
      </c>
      <c r="P107" t="s">
        <v>109</v>
      </c>
      <c r="Q107">
        <v>1</v>
      </c>
      <c r="W107">
        <v>0</v>
      </c>
      <c r="X107">
        <v>777596408</v>
      </c>
      <c r="Y107">
        <v>2.5000000000000001E-2</v>
      </c>
      <c r="AA107">
        <v>3634.32</v>
      </c>
      <c r="AB107">
        <v>0</v>
      </c>
      <c r="AC107">
        <v>0</v>
      </c>
      <c r="AD107">
        <v>0</v>
      </c>
      <c r="AE107">
        <v>589.03</v>
      </c>
      <c r="AF107">
        <v>0</v>
      </c>
      <c r="AG107">
        <v>0</v>
      </c>
      <c r="AH107">
        <v>0</v>
      </c>
      <c r="AI107">
        <v>6.17</v>
      </c>
      <c r="AJ107">
        <v>1</v>
      </c>
      <c r="AK107">
        <v>1</v>
      </c>
      <c r="AL107">
        <v>1</v>
      </c>
      <c r="AN107">
        <v>0</v>
      </c>
      <c r="AO107">
        <v>1</v>
      </c>
      <c r="AP107">
        <v>0</v>
      </c>
      <c r="AQ107">
        <v>0</v>
      </c>
      <c r="AR107">
        <v>0</v>
      </c>
      <c r="AS107" t="s">
        <v>6</v>
      </c>
      <c r="AT107">
        <v>2.5000000000000001E-2</v>
      </c>
      <c r="AU107" t="s">
        <v>6</v>
      </c>
      <c r="AV107">
        <v>0</v>
      </c>
      <c r="AW107">
        <v>2</v>
      </c>
      <c r="AX107">
        <v>31028944</v>
      </c>
      <c r="AY107">
        <v>1</v>
      </c>
      <c r="AZ107">
        <v>0</v>
      </c>
      <c r="BA107">
        <v>127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Y107*Source!I126</f>
        <v>0.255</v>
      </c>
      <c r="CY107">
        <f>AA107</f>
        <v>3634.32</v>
      </c>
      <c r="CZ107">
        <f>AE107</f>
        <v>589.03</v>
      </c>
      <c r="DA107">
        <f>AI107</f>
        <v>6.17</v>
      </c>
      <c r="DB107">
        <f>ROUND(ROUND(AT107*CZ107,2),6)</f>
        <v>14.73</v>
      </c>
      <c r="DC107">
        <f>ROUND(ROUND(AT107*AG107,2),6)</f>
        <v>0</v>
      </c>
    </row>
    <row r="108" spans="1:107">
      <c r="A108">
        <f>ROW(Source!A129)</f>
        <v>129</v>
      </c>
      <c r="B108">
        <v>31028412</v>
      </c>
      <c r="C108">
        <v>31028948</v>
      </c>
      <c r="D108">
        <v>29084589</v>
      </c>
      <c r="E108">
        <v>1</v>
      </c>
      <c r="F108">
        <v>1</v>
      </c>
      <c r="G108">
        <v>1</v>
      </c>
      <c r="H108">
        <v>1</v>
      </c>
      <c r="I108" t="s">
        <v>771</v>
      </c>
      <c r="J108" t="s">
        <v>6</v>
      </c>
      <c r="K108" t="s">
        <v>772</v>
      </c>
      <c r="L108">
        <v>1369</v>
      </c>
      <c r="N108">
        <v>1013</v>
      </c>
      <c r="O108" t="s">
        <v>773</v>
      </c>
      <c r="P108" t="s">
        <v>773</v>
      </c>
      <c r="Q108">
        <v>1</v>
      </c>
      <c r="W108">
        <v>0</v>
      </c>
      <c r="X108">
        <v>-1659096359</v>
      </c>
      <c r="Y108">
        <v>357.40562499999993</v>
      </c>
      <c r="AA108">
        <v>0</v>
      </c>
      <c r="AB108">
        <v>0</v>
      </c>
      <c r="AC108">
        <v>0</v>
      </c>
      <c r="AD108">
        <v>207.08</v>
      </c>
      <c r="AE108">
        <v>0</v>
      </c>
      <c r="AF108">
        <v>0</v>
      </c>
      <c r="AG108">
        <v>0</v>
      </c>
      <c r="AH108">
        <v>8.5500000000000007</v>
      </c>
      <c r="AI108">
        <v>1</v>
      </c>
      <c r="AJ108">
        <v>1</v>
      </c>
      <c r="AK108">
        <v>1</v>
      </c>
      <c r="AL108">
        <v>24.22</v>
      </c>
      <c r="AN108">
        <v>0</v>
      </c>
      <c r="AO108">
        <v>1</v>
      </c>
      <c r="AP108">
        <v>1</v>
      </c>
      <c r="AQ108">
        <v>0</v>
      </c>
      <c r="AR108">
        <v>0</v>
      </c>
      <c r="AS108" t="s">
        <v>6</v>
      </c>
      <c r="AT108">
        <v>270.25</v>
      </c>
      <c r="AU108" t="s">
        <v>127</v>
      </c>
      <c r="AV108">
        <v>1</v>
      </c>
      <c r="AW108">
        <v>2</v>
      </c>
      <c r="AX108">
        <v>31028965</v>
      </c>
      <c r="AY108">
        <v>1</v>
      </c>
      <c r="AZ108">
        <v>0</v>
      </c>
      <c r="BA108">
        <v>129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Y108*Source!I129</f>
        <v>12.151791249999999</v>
      </c>
      <c r="CY108">
        <f>AD108</f>
        <v>207.08</v>
      </c>
      <c r="CZ108">
        <f>AH108</f>
        <v>8.5500000000000007</v>
      </c>
      <c r="DA108">
        <f>AL108</f>
        <v>24.22</v>
      </c>
      <c r="DB108">
        <f>ROUND((ROUND(AT108*CZ108,2)*ROUND((1.15*1.15),7)),6)</f>
        <v>3055.8213999999998</v>
      </c>
      <c r="DC108">
        <f>ROUND((ROUND(AT108*AG108,2)*ROUND((1.15*1.15),7)),6)</f>
        <v>0</v>
      </c>
    </row>
    <row r="109" spans="1:107">
      <c r="A109">
        <f>ROW(Source!A129)</f>
        <v>129</v>
      </c>
      <c r="B109">
        <v>31028412</v>
      </c>
      <c r="C109">
        <v>31028948</v>
      </c>
      <c r="D109">
        <v>29084573</v>
      </c>
      <c r="E109">
        <v>1</v>
      </c>
      <c r="F109">
        <v>1</v>
      </c>
      <c r="G109">
        <v>1</v>
      </c>
      <c r="H109">
        <v>1</v>
      </c>
      <c r="I109" t="s">
        <v>774</v>
      </c>
      <c r="J109" t="s">
        <v>6</v>
      </c>
      <c r="K109" t="s">
        <v>775</v>
      </c>
      <c r="L109">
        <v>608254</v>
      </c>
      <c r="N109">
        <v>1013</v>
      </c>
      <c r="O109" t="s">
        <v>776</v>
      </c>
      <c r="P109" t="s">
        <v>776</v>
      </c>
      <c r="Q109">
        <v>1</v>
      </c>
      <c r="W109">
        <v>0</v>
      </c>
      <c r="X109">
        <v>95408949</v>
      </c>
      <c r="Y109">
        <v>11.356249999999999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1</v>
      </c>
      <c r="AJ109">
        <v>1</v>
      </c>
      <c r="AK109">
        <v>24.22</v>
      </c>
      <c r="AL109">
        <v>1</v>
      </c>
      <c r="AN109">
        <v>0</v>
      </c>
      <c r="AO109">
        <v>1</v>
      </c>
      <c r="AP109">
        <v>1</v>
      </c>
      <c r="AQ109">
        <v>0</v>
      </c>
      <c r="AR109">
        <v>0</v>
      </c>
      <c r="AS109" t="s">
        <v>6</v>
      </c>
      <c r="AT109">
        <v>7.9</v>
      </c>
      <c r="AU109" t="s">
        <v>126</v>
      </c>
      <c r="AV109">
        <v>2</v>
      </c>
      <c r="AW109">
        <v>2</v>
      </c>
      <c r="AX109">
        <v>31028966</v>
      </c>
      <c r="AY109">
        <v>1</v>
      </c>
      <c r="AZ109">
        <v>0</v>
      </c>
      <c r="BA109">
        <v>130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Y109*Source!I129</f>
        <v>0.38611250000000003</v>
      </c>
      <c r="CY109">
        <f>AD109</f>
        <v>0</v>
      </c>
      <c r="CZ109">
        <f>AH109</f>
        <v>0</v>
      </c>
      <c r="DA109">
        <f>AL109</f>
        <v>1</v>
      </c>
      <c r="DB109">
        <f t="shared" ref="DB109:DB114" si="7">ROUND((ROUND(AT109*CZ109,2)*ROUND((1.25*1.15),7)),6)</f>
        <v>0</v>
      </c>
      <c r="DC109">
        <f t="shared" ref="DC109:DC114" si="8">ROUND((ROUND(AT109*AG109,2)*ROUND((1.25*1.15),7)),6)</f>
        <v>0</v>
      </c>
    </row>
    <row r="110" spans="1:107">
      <c r="A110">
        <f>ROW(Source!A129)</f>
        <v>129</v>
      </c>
      <c r="B110">
        <v>31028412</v>
      </c>
      <c r="C110">
        <v>31028948</v>
      </c>
      <c r="D110">
        <v>29147520</v>
      </c>
      <c r="E110">
        <v>1</v>
      </c>
      <c r="F110">
        <v>1</v>
      </c>
      <c r="G110">
        <v>1</v>
      </c>
      <c r="H110">
        <v>2</v>
      </c>
      <c r="I110" t="s">
        <v>777</v>
      </c>
      <c r="J110" t="s">
        <v>778</v>
      </c>
      <c r="K110" t="s">
        <v>779</v>
      </c>
      <c r="L110">
        <v>1368</v>
      </c>
      <c r="N110">
        <v>1011</v>
      </c>
      <c r="O110" t="s">
        <v>780</v>
      </c>
      <c r="P110" t="s">
        <v>780</v>
      </c>
      <c r="Q110">
        <v>1</v>
      </c>
      <c r="W110">
        <v>0</v>
      </c>
      <c r="X110">
        <v>-2048414082</v>
      </c>
      <c r="Y110">
        <v>9.1712499999999988</v>
      </c>
      <c r="AA110">
        <v>0</v>
      </c>
      <c r="AB110">
        <v>656.51</v>
      </c>
      <c r="AC110">
        <v>315.58999999999997</v>
      </c>
      <c r="AD110">
        <v>0</v>
      </c>
      <c r="AE110">
        <v>0</v>
      </c>
      <c r="AF110">
        <v>85.93</v>
      </c>
      <c r="AG110">
        <v>13.03</v>
      </c>
      <c r="AH110">
        <v>0</v>
      </c>
      <c r="AI110">
        <v>1</v>
      </c>
      <c r="AJ110">
        <v>7.64</v>
      </c>
      <c r="AK110">
        <v>24.22</v>
      </c>
      <c r="AL110">
        <v>1</v>
      </c>
      <c r="AN110">
        <v>0</v>
      </c>
      <c r="AO110">
        <v>1</v>
      </c>
      <c r="AP110">
        <v>1</v>
      </c>
      <c r="AQ110">
        <v>0</v>
      </c>
      <c r="AR110">
        <v>0</v>
      </c>
      <c r="AS110" t="s">
        <v>6</v>
      </c>
      <c r="AT110">
        <v>6.38</v>
      </c>
      <c r="AU110" t="s">
        <v>126</v>
      </c>
      <c r="AV110">
        <v>0</v>
      </c>
      <c r="AW110">
        <v>2</v>
      </c>
      <c r="AX110">
        <v>31028967</v>
      </c>
      <c r="AY110">
        <v>1</v>
      </c>
      <c r="AZ110">
        <v>0</v>
      </c>
      <c r="BA110">
        <v>131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Y110*Source!I129</f>
        <v>0.3118225</v>
      </c>
      <c r="CY110">
        <f>AB110</f>
        <v>656.51</v>
      </c>
      <c r="CZ110">
        <f>AF110</f>
        <v>85.93</v>
      </c>
      <c r="DA110">
        <f>AJ110</f>
        <v>7.64</v>
      </c>
      <c r="DB110">
        <f t="shared" si="7"/>
        <v>788.08062500000005</v>
      </c>
      <c r="DC110">
        <f t="shared" si="8"/>
        <v>119.499375</v>
      </c>
    </row>
    <row r="111" spans="1:107">
      <c r="A111">
        <f>ROW(Source!A129)</f>
        <v>129</v>
      </c>
      <c r="B111">
        <v>31028412</v>
      </c>
      <c r="C111">
        <v>31028948</v>
      </c>
      <c r="D111">
        <v>29147601</v>
      </c>
      <c r="E111">
        <v>1</v>
      </c>
      <c r="F111">
        <v>1</v>
      </c>
      <c r="G111">
        <v>1</v>
      </c>
      <c r="H111">
        <v>2</v>
      </c>
      <c r="I111" t="s">
        <v>781</v>
      </c>
      <c r="J111" t="s">
        <v>782</v>
      </c>
      <c r="K111" t="s">
        <v>783</v>
      </c>
      <c r="L111">
        <v>1368</v>
      </c>
      <c r="N111">
        <v>1011</v>
      </c>
      <c r="O111" t="s">
        <v>780</v>
      </c>
      <c r="P111" t="s">
        <v>780</v>
      </c>
      <c r="Q111">
        <v>1</v>
      </c>
      <c r="W111">
        <v>0</v>
      </c>
      <c r="X111">
        <v>1170567961</v>
      </c>
      <c r="Y111">
        <v>2.1849999999999996</v>
      </c>
      <c r="AA111">
        <v>0</v>
      </c>
      <c r="AB111">
        <v>828.56</v>
      </c>
      <c r="AC111">
        <v>315.58999999999997</v>
      </c>
      <c r="AD111">
        <v>0</v>
      </c>
      <c r="AE111">
        <v>0</v>
      </c>
      <c r="AF111">
        <v>108.45</v>
      </c>
      <c r="AG111">
        <v>13.03</v>
      </c>
      <c r="AH111">
        <v>0</v>
      </c>
      <c r="AI111">
        <v>1</v>
      </c>
      <c r="AJ111">
        <v>7.64</v>
      </c>
      <c r="AK111">
        <v>24.22</v>
      </c>
      <c r="AL111">
        <v>1</v>
      </c>
      <c r="AN111">
        <v>0</v>
      </c>
      <c r="AO111">
        <v>1</v>
      </c>
      <c r="AP111">
        <v>1</v>
      </c>
      <c r="AQ111">
        <v>0</v>
      </c>
      <c r="AR111">
        <v>0</v>
      </c>
      <c r="AS111" t="s">
        <v>6</v>
      </c>
      <c r="AT111">
        <v>1.52</v>
      </c>
      <c r="AU111" t="s">
        <v>126</v>
      </c>
      <c r="AV111">
        <v>0</v>
      </c>
      <c r="AW111">
        <v>2</v>
      </c>
      <c r="AX111">
        <v>31028968</v>
      </c>
      <c r="AY111">
        <v>1</v>
      </c>
      <c r="AZ111">
        <v>0</v>
      </c>
      <c r="BA111">
        <v>132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Y111*Source!I129</f>
        <v>7.4289999999999995E-2</v>
      </c>
      <c r="CY111">
        <f>AB111</f>
        <v>828.56</v>
      </c>
      <c r="CZ111">
        <f>AF111</f>
        <v>108.45</v>
      </c>
      <c r="DA111">
        <f>AJ111</f>
        <v>7.64</v>
      </c>
      <c r="DB111">
        <f t="shared" si="7"/>
        <v>236.95750000000001</v>
      </c>
      <c r="DC111">
        <f t="shared" si="8"/>
        <v>28.476875</v>
      </c>
    </row>
    <row r="112" spans="1:107">
      <c r="A112">
        <f>ROW(Source!A129)</f>
        <v>129</v>
      </c>
      <c r="B112">
        <v>31028412</v>
      </c>
      <c r="C112">
        <v>31028948</v>
      </c>
      <c r="D112">
        <v>29148219</v>
      </c>
      <c r="E112">
        <v>1</v>
      </c>
      <c r="F112">
        <v>1</v>
      </c>
      <c r="G112">
        <v>1</v>
      </c>
      <c r="H112">
        <v>2</v>
      </c>
      <c r="I112" t="s">
        <v>784</v>
      </c>
      <c r="J112" t="s">
        <v>785</v>
      </c>
      <c r="K112" t="s">
        <v>786</v>
      </c>
      <c r="L112">
        <v>1368</v>
      </c>
      <c r="N112">
        <v>1011</v>
      </c>
      <c r="O112" t="s">
        <v>780</v>
      </c>
      <c r="P112" t="s">
        <v>780</v>
      </c>
      <c r="Q112">
        <v>1</v>
      </c>
      <c r="W112">
        <v>0</v>
      </c>
      <c r="X112">
        <v>-1347779909</v>
      </c>
      <c r="Y112">
        <v>7.7049999999999992</v>
      </c>
      <c r="AA112">
        <v>0</v>
      </c>
      <c r="AB112">
        <v>229.2</v>
      </c>
      <c r="AC112">
        <v>0</v>
      </c>
      <c r="AD112">
        <v>0</v>
      </c>
      <c r="AE112">
        <v>0</v>
      </c>
      <c r="AF112">
        <v>30</v>
      </c>
      <c r="AG112">
        <v>0</v>
      </c>
      <c r="AH112">
        <v>0</v>
      </c>
      <c r="AI112">
        <v>1</v>
      </c>
      <c r="AJ112">
        <v>7.64</v>
      </c>
      <c r="AK112">
        <v>24.22</v>
      </c>
      <c r="AL112">
        <v>1</v>
      </c>
      <c r="AN112">
        <v>0</v>
      </c>
      <c r="AO112">
        <v>1</v>
      </c>
      <c r="AP112">
        <v>1</v>
      </c>
      <c r="AQ112">
        <v>0</v>
      </c>
      <c r="AR112">
        <v>0</v>
      </c>
      <c r="AS112" t="s">
        <v>6</v>
      </c>
      <c r="AT112">
        <v>5.36</v>
      </c>
      <c r="AU112" t="s">
        <v>126</v>
      </c>
      <c r="AV112">
        <v>0</v>
      </c>
      <c r="AW112">
        <v>2</v>
      </c>
      <c r="AX112">
        <v>31028969</v>
      </c>
      <c r="AY112">
        <v>1</v>
      </c>
      <c r="AZ112">
        <v>0</v>
      </c>
      <c r="BA112">
        <v>133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Y112*Source!I129</f>
        <v>0.26196999999999998</v>
      </c>
      <c r="CY112">
        <f>AB112</f>
        <v>229.2</v>
      </c>
      <c r="CZ112">
        <f>AF112</f>
        <v>30</v>
      </c>
      <c r="DA112">
        <f>AJ112</f>
        <v>7.64</v>
      </c>
      <c r="DB112">
        <f t="shared" si="7"/>
        <v>231.15</v>
      </c>
      <c r="DC112">
        <f t="shared" si="8"/>
        <v>0</v>
      </c>
    </row>
    <row r="113" spans="1:107">
      <c r="A113">
        <f>ROW(Source!A129)</f>
        <v>129</v>
      </c>
      <c r="B113">
        <v>31028412</v>
      </c>
      <c r="C113">
        <v>31028948</v>
      </c>
      <c r="D113">
        <v>29148425</v>
      </c>
      <c r="E113">
        <v>1</v>
      </c>
      <c r="F113">
        <v>1</v>
      </c>
      <c r="G113">
        <v>1</v>
      </c>
      <c r="H113">
        <v>2</v>
      </c>
      <c r="I113" t="s">
        <v>787</v>
      </c>
      <c r="J113" t="s">
        <v>788</v>
      </c>
      <c r="K113" t="s">
        <v>789</v>
      </c>
      <c r="L113">
        <v>1368</v>
      </c>
      <c r="N113">
        <v>1011</v>
      </c>
      <c r="O113" t="s">
        <v>780</v>
      </c>
      <c r="P113" t="s">
        <v>780</v>
      </c>
      <c r="Q113">
        <v>1</v>
      </c>
      <c r="W113">
        <v>0</v>
      </c>
      <c r="X113">
        <v>-422547563</v>
      </c>
      <c r="Y113">
        <v>14.619375</v>
      </c>
      <c r="AA113">
        <v>0</v>
      </c>
      <c r="AB113">
        <v>22.92</v>
      </c>
      <c r="AC113">
        <v>0</v>
      </c>
      <c r="AD113">
        <v>0</v>
      </c>
      <c r="AE113">
        <v>0</v>
      </c>
      <c r="AF113">
        <v>3</v>
      </c>
      <c r="AG113">
        <v>0</v>
      </c>
      <c r="AH113">
        <v>0</v>
      </c>
      <c r="AI113">
        <v>1</v>
      </c>
      <c r="AJ113">
        <v>7.64</v>
      </c>
      <c r="AK113">
        <v>24.22</v>
      </c>
      <c r="AL113">
        <v>1</v>
      </c>
      <c r="AN113">
        <v>0</v>
      </c>
      <c r="AO113">
        <v>1</v>
      </c>
      <c r="AP113">
        <v>1</v>
      </c>
      <c r="AQ113">
        <v>0</v>
      </c>
      <c r="AR113">
        <v>0</v>
      </c>
      <c r="AS113" t="s">
        <v>6</v>
      </c>
      <c r="AT113">
        <v>10.17</v>
      </c>
      <c r="AU113" t="s">
        <v>126</v>
      </c>
      <c r="AV113">
        <v>0</v>
      </c>
      <c r="AW113">
        <v>2</v>
      </c>
      <c r="AX113">
        <v>31028970</v>
      </c>
      <c r="AY113">
        <v>1</v>
      </c>
      <c r="AZ113">
        <v>0</v>
      </c>
      <c r="BA113">
        <v>134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Y113*Source!I129</f>
        <v>0.49705875000000005</v>
      </c>
      <c r="CY113">
        <f>AB113</f>
        <v>22.92</v>
      </c>
      <c r="CZ113">
        <f>AF113</f>
        <v>3</v>
      </c>
      <c r="DA113">
        <f>AJ113</f>
        <v>7.64</v>
      </c>
      <c r="DB113">
        <f t="shared" si="7"/>
        <v>43.858125000000001</v>
      </c>
      <c r="DC113">
        <f t="shared" si="8"/>
        <v>0</v>
      </c>
    </row>
    <row r="114" spans="1:107">
      <c r="A114">
        <f>ROW(Source!A129)</f>
        <v>129</v>
      </c>
      <c r="B114">
        <v>31028412</v>
      </c>
      <c r="C114">
        <v>31028948</v>
      </c>
      <c r="D114">
        <v>29149520</v>
      </c>
      <c r="E114">
        <v>1</v>
      </c>
      <c r="F114">
        <v>1</v>
      </c>
      <c r="G114">
        <v>1</v>
      </c>
      <c r="H114">
        <v>2</v>
      </c>
      <c r="I114" t="s">
        <v>790</v>
      </c>
      <c r="J114" t="s">
        <v>791</v>
      </c>
      <c r="K114" t="s">
        <v>792</v>
      </c>
      <c r="L114">
        <v>1368</v>
      </c>
      <c r="N114">
        <v>1011</v>
      </c>
      <c r="O114" t="s">
        <v>780</v>
      </c>
      <c r="P114" t="s">
        <v>780</v>
      </c>
      <c r="Q114">
        <v>1</v>
      </c>
      <c r="W114">
        <v>0</v>
      </c>
      <c r="X114">
        <v>-1931461795</v>
      </c>
      <c r="Y114">
        <v>3.2774999999999994</v>
      </c>
      <c r="AA114">
        <v>0</v>
      </c>
      <c r="AB114">
        <v>699.98</v>
      </c>
      <c r="AC114">
        <v>0</v>
      </c>
      <c r="AD114">
        <v>0</v>
      </c>
      <c r="AE114">
        <v>0</v>
      </c>
      <c r="AF114">
        <v>91.62</v>
      </c>
      <c r="AG114">
        <v>0</v>
      </c>
      <c r="AH114">
        <v>0</v>
      </c>
      <c r="AI114">
        <v>1</v>
      </c>
      <c r="AJ114">
        <v>7.64</v>
      </c>
      <c r="AK114">
        <v>24.22</v>
      </c>
      <c r="AL114">
        <v>1</v>
      </c>
      <c r="AN114">
        <v>0</v>
      </c>
      <c r="AO114">
        <v>1</v>
      </c>
      <c r="AP114">
        <v>1</v>
      </c>
      <c r="AQ114">
        <v>0</v>
      </c>
      <c r="AR114">
        <v>0</v>
      </c>
      <c r="AS114" t="s">
        <v>6</v>
      </c>
      <c r="AT114">
        <v>2.2799999999999998</v>
      </c>
      <c r="AU114" t="s">
        <v>126</v>
      </c>
      <c r="AV114">
        <v>0</v>
      </c>
      <c r="AW114">
        <v>2</v>
      </c>
      <c r="AX114">
        <v>31028971</v>
      </c>
      <c r="AY114">
        <v>1</v>
      </c>
      <c r="AZ114">
        <v>0</v>
      </c>
      <c r="BA114">
        <v>135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Y114*Source!I129</f>
        <v>0.11143499999999999</v>
      </c>
      <c r="CY114">
        <f>AB114</f>
        <v>699.98</v>
      </c>
      <c r="CZ114">
        <f>AF114</f>
        <v>91.62</v>
      </c>
      <c r="DA114">
        <f>AJ114</f>
        <v>7.64</v>
      </c>
      <c r="DB114">
        <f t="shared" si="7"/>
        <v>300.27937500000002</v>
      </c>
      <c r="DC114">
        <f t="shared" si="8"/>
        <v>0</v>
      </c>
    </row>
    <row r="115" spans="1:107">
      <c r="A115">
        <f>ROW(Source!A129)</f>
        <v>129</v>
      </c>
      <c r="B115">
        <v>31028412</v>
      </c>
      <c r="C115">
        <v>31028948</v>
      </c>
      <c r="D115">
        <v>29150561</v>
      </c>
      <c r="E115">
        <v>1</v>
      </c>
      <c r="F115">
        <v>1</v>
      </c>
      <c r="G115">
        <v>1</v>
      </c>
      <c r="H115">
        <v>3</v>
      </c>
      <c r="I115" t="s">
        <v>793</v>
      </c>
      <c r="J115" t="s">
        <v>794</v>
      </c>
      <c r="K115" t="s">
        <v>795</v>
      </c>
      <c r="L115">
        <v>1348</v>
      </c>
      <c r="N115">
        <v>1009</v>
      </c>
      <c r="O115" t="s">
        <v>137</v>
      </c>
      <c r="P115" t="s">
        <v>137</v>
      </c>
      <c r="Q115">
        <v>1000</v>
      </c>
      <c r="W115">
        <v>0</v>
      </c>
      <c r="X115">
        <v>-592936270</v>
      </c>
      <c r="Y115">
        <v>4.1999999999999997E-3</v>
      </c>
      <c r="AA115">
        <v>52235.839999999997</v>
      </c>
      <c r="AB115">
        <v>0</v>
      </c>
      <c r="AC115">
        <v>0</v>
      </c>
      <c r="AD115">
        <v>0</v>
      </c>
      <c r="AE115">
        <v>8466.1</v>
      </c>
      <c r="AF115">
        <v>0</v>
      </c>
      <c r="AG115">
        <v>0</v>
      </c>
      <c r="AH115">
        <v>0</v>
      </c>
      <c r="AI115">
        <v>6.17</v>
      </c>
      <c r="AJ115">
        <v>1</v>
      </c>
      <c r="AK115">
        <v>1</v>
      </c>
      <c r="AL115">
        <v>1</v>
      </c>
      <c r="AN115">
        <v>0</v>
      </c>
      <c r="AO115">
        <v>1</v>
      </c>
      <c r="AP115">
        <v>0</v>
      </c>
      <c r="AQ115">
        <v>0</v>
      </c>
      <c r="AR115">
        <v>0</v>
      </c>
      <c r="AS115" t="s">
        <v>6</v>
      </c>
      <c r="AT115">
        <v>4.1999999999999997E-3</v>
      </c>
      <c r="AU115" t="s">
        <v>6</v>
      </c>
      <c r="AV115">
        <v>0</v>
      </c>
      <c r="AW115">
        <v>2</v>
      </c>
      <c r="AX115">
        <v>31028972</v>
      </c>
      <c r="AY115">
        <v>1</v>
      </c>
      <c r="AZ115">
        <v>0</v>
      </c>
      <c r="BA115">
        <v>136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Y115*Source!I129</f>
        <v>1.428E-4</v>
      </c>
      <c r="CY115">
        <f t="shared" ref="CY115:CY123" si="9">AA115</f>
        <v>52235.839999999997</v>
      </c>
      <c r="CZ115">
        <f t="shared" ref="CZ115:CZ123" si="10">AE115</f>
        <v>8466.1</v>
      </c>
      <c r="DA115">
        <f t="shared" ref="DA115:DA123" si="11">AI115</f>
        <v>6.17</v>
      </c>
      <c r="DB115">
        <f t="shared" ref="DB115:DB123" si="12">ROUND(ROUND(AT115*CZ115,2),6)</f>
        <v>35.56</v>
      </c>
      <c r="DC115">
        <f t="shared" ref="DC115:DC123" si="13">ROUND(ROUND(AT115*AG115,2),6)</f>
        <v>0</v>
      </c>
    </row>
    <row r="116" spans="1:107">
      <c r="A116">
        <f>ROW(Source!A129)</f>
        <v>129</v>
      </c>
      <c r="B116">
        <v>31028412</v>
      </c>
      <c r="C116">
        <v>31028948</v>
      </c>
      <c r="D116">
        <v>29151759</v>
      </c>
      <c r="E116">
        <v>1</v>
      </c>
      <c r="F116">
        <v>1</v>
      </c>
      <c r="G116">
        <v>1</v>
      </c>
      <c r="H116">
        <v>3</v>
      </c>
      <c r="I116" t="s">
        <v>796</v>
      </c>
      <c r="J116" t="s">
        <v>797</v>
      </c>
      <c r="K116" t="s">
        <v>798</v>
      </c>
      <c r="L116">
        <v>1348</v>
      </c>
      <c r="N116">
        <v>1009</v>
      </c>
      <c r="O116" t="s">
        <v>137</v>
      </c>
      <c r="P116" t="s">
        <v>137</v>
      </c>
      <c r="Q116">
        <v>1000</v>
      </c>
      <c r="W116">
        <v>0</v>
      </c>
      <c r="X116">
        <v>-34374424</v>
      </c>
      <c r="Y116">
        <v>1.14E-2</v>
      </c>
      <c r="AA116">
        <v>57853.01</v>
      </c>
      <c r="AB116">
        <v>0</v>
      </c>
      <c r="AC116">
        <v>0</v>
      </c>
      <c r="AD116">
        <v>0</v>
      </c>
      <c r="AE116">
        <v>9376.5</v>
      </c>
      <c r="AF116">
        <v>0</v>
      </c>
      <c r="AG116">
        <v>0</v>
      </c>
      <c r="AH116">
        <v>0</v>
      </c>
      <c r="AI116">
        <v>6.17</v>
      </c>
      <c r="AJ116">
        <v>1</v>
      </c>
      <c r="AK116">
        <v>1</v>
      </c>
      <c r="AL116">
        <v>1</v>
      </c>
      <c r="AN116">
        <v>0</v>
      </c>
      <c r="AO116">
        <v>1</v>
      </c>
      <c r="AP116">
        <v>0</v>
      </c>
      <c r="AQ116">
        <v>0</v>
      </c>
      <c r="AR116">
        <v>0</v>
      </c>
      <c r="AS116" t="s">
        <v>6</v>
      </c>
      <c r="AT116">
        <v>1.14E-2</v>
      </c>
      <c r="AU116" t="s">
        <v>6</v>
      </c>
      <c r="AV116">
        <v>0</v>
      </c>
      <c r="AW116">
        <v>2</v>
      </c>
      <c r="AX116">
        <v>31028973</v>
      </c>
      <c r="AY116">
        <v>1</v>
      </c>
      <c r="AZ116">
        <v>0</v>
      </c>
      <c r="BA116">
        <v>137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Y116*Source!I129</f>
        <v>3.8760000000000004E-4</v>
      </c>
      <c r="CY116">
        <f t="shared" si="9"/>
        <v>57853.01</v>
      </c>
      <c r="CZ116">
        <f t="shared" si="10"/>
        <v>9376.5</v>
      </c>
      <c r="DA116">
        <f t="shared" si="11"/>
        <v>6.17</v>
      </c>
      <c r="DB116">
        <f t="shared" si="12"/>
        <v>106.89</v>
      </c>
      <c r="DC116">
        <f t="shared" si="13"/>
        <v>0</v>
      </c>
    </row>
    <row r="117" spans="1:107">
      <c r="A117">
        <f>ROW(Source!A129)</f>
        <v>129</v>
      </c>
      <c r="B117">
        <v>31028412</v>
      </c>
      <c r="C117">
        <v>31028948</v>
      </c>
      <c r="D117">
        <v>29151859</v>
      </c>
      <c r="E117">
        <v>1</v>
      </c>
      <c r="F117">
        <v>1</v>
      </c>
      <c r="G117">
        <v>1</v>
      </c>
      <c r="H117">
        <v>3</v>
      </c>
      <c r="I117" t="s">
        <v>799</v>
      </c>
      <c r="J117" t="s">
        <v>800</v>
      </c>
      <c r="K117" t="s">
        <v>801</v>
      </c>
      <c r="L117">
        <v>1348</v>
      </c>
      <c r="N117">
        <v>1009</v>
      </c>
      <c r="O117" t="s">
        <v>137</v>
      </c>
      <c r="P117" t="s">
        <v>137</v>
      </c>
      <c r="Q117">
        <v>1000</v>
      </c>
      <c r="W117">
        <v>0</v>
      </c>
      <c r="X117">
        <v>-1890625626</v>
      </c>
      <c r="Y117">
        <v>5.1900000000000002E-2</v>
      </c>
      <c r="AA117">
        <v>7501.49</v>
      </c>
      <c r="AB117">
        <v>0</v>
      </c>
      <c r="AC117">
        <v>0</v>
      </c>
      <c r="AD117">
        <v>0</v>
      </c>
      <c r="AE117">
        <v>1215.8</v>
      </c>
      <c r="AF117">
        <v>0</v>
      </c>
      <c r="AG117">
        <v>0</v>
      </c>
      <c r="AH117">
        <v>0</v>
      </c>
      <c r="AI117">
        <v>6.17</v>
      </c>
      <c r="AJ117">
        <v>1</v>
      </c>
      <c r="AK117">
        <v>1</v>
      </c>
      <c r="AL117">
        <v>1</v>
      </c>
      <c r="AN117">
        <v>0</v>
      </c>
      <c r="AO117">
        <v>1</v>
      </c>
      <c r="AP117">
        <v>0</v>
      </c>
      <c r="AQ117">
        <v>0</v>
      </c>
      <c r="AR117">
        <v>0</v>
      </c>
      <c r="AS117" t="s">
        <v>6</v>
      </c>
      <c r="AT117">
        <v>5.1900000000000002E-2</v>
      </c>
      <c r="AU117" t="s">
        <v>6</v>
      </c>
      <c r="AV117">
        <v>0</v>
      </c>
      <c r="AW117">
        <v>2</v>
      </c>
      <c r="AX117">
        <v>31028974</v>
      </c>
      <c r="AY117">
        <v>1</v>
      </c>
      <c r="AZ117">
        <v>0</v>
      </c>
      <c r="BA117">
        <v>138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Y117*Source!I129</f>
        <v>1.7646000000000003E-3</v>
      </c>
      <c r="CY117">
        <f t="shared" si="9"/>
        <v>7501.49</v>
      </c>
      <c r="CZ117">
        <f t="shared" si="10"/>
        <v>1215.8</v>
      </c>
      <c r="DA117">
        <f t="shared" si="11"/>
        <v>6.17</v>
      </c>
      <c r="DB117">
        <f t="shared" si="12"/>
        <v>63.1</v>
      </c>
      <c r="DC117">
        <f t="shared" si="13"/>
        <v>0</v>
      </c>
    </row>
    <row r="118" spans="1:107">
      <c r="A118">
        <f>ROW(Source!A129)</f>
        <v>129</v>
      </c>
      <c r="B118">
        <v>31028412</v>
      </c>
      <c r="C118">
        <v>31028948</v>
      </c>
      <c r="D118">
        <v>29151997</v>
      </c>
      <c r="E118">
        <v>1</v>
      </c>
      <c r="F118">
        <v>1</v>
      </c>
      <c r="G118">
        <v>1</v>
      </c>
      <c r="H118">
        <v>3</v>
      </c>
      <c r="I118" t="s">
        <v>802</v>
      </c>
      <c r="J118" t="s">
        <v>803</v>
      </c>
      <c r="K118" t="s">
        <v>804</v>
      </c>
      <c r="L118">
        <v>1327</v>
      </c>
      <c r="N118">
        <v>1005</v>
      </c>
      <c r="O118" t="s">
        <v>284</v>
      </c>
      <c r="P118" t="s">
        <v>284</v>
      </c>
      <c r="Q118">
        <v>1</v>
      </c>
      <c r="W118">
        <v>0</v>
      </c>
      <c r="X118">
        <v>1834989622</v>
      </c>
      <c r="Y118">
        <v>176</v>
      </c>
      <c r="AA118">
        <v>38.07</v>
      </c>
      <c r="AB118">
        <v>0</v>
      </c>
      <c r="AC118">
        <v>0</v>
      </c>
      <c r="AD118">
        <v>0</v>
      </c>
      <c r="AE118">
        <v>6.17</v>
      </c>
      <c r="AF118">
        <v>0</v>
      </c>
      <c r="AG118">
        <v>0</v>
      </c>
      <c r="AH118">
        <v>0</v>
      </c>
      <c r="AI118">
        <v>6.17</v>
      </c>
      <c r="AJ118">
        <v>1</v>
      </c>
      <c r="AK118">
        <v>1</v>
      </c>
      <c r="AL118">
        <v>1</v>
      </c>
      <c r="AN118">
        <v>0</v>
      </c>
      <c r="AO118">
        <v>1</v>
      </c>
      <c r="AP118">
        <v>0</v>
      </c>
      <c r="AQ118">
        <v>0</v>
      </c>
      <c r="AR118">
        <v>0</v>
      </c>
      <c r="AS118" t="s">
        <v>6</v>
      </c>
      <c r="AT118">
        <v>176</v>
      </c>
      <c r="AU118" t="s">
        <v>6</v>
      </c>
      <c r="AV118">
        <v>0</v>
      </c>
      <c r="AW118">
        <v>2</v>
      </c>
      <c r="AX118">
        <v>31028975</v>
      </c>
      <c r="AY118">
        <v>1</v>
      </c>
      <c r="AZ118">
        <v>0</v>
      </c>
      <c r="BA118">
        <v>139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Y118*Source!I129</f>
        <v>5.984</v>
      </c>
      <c r="CY118">
        <f t="shared" si="9"/>
        <v>38.07</v>
      </c>
      <c r="CZ118">
        <f t="shared" si="10"/>
        <v>6.17</v>
      </c>
      <c r="DA118">
        <f t="shared" si="11"/>
        <v>6.17</v>
      </c>
      <c r="DB118">
        <f t="shared" si="12"/>
        <v>1085.92</v>
      </c>
      <c r="DC118">
        <f t="shared" si="13"/>
        <v>0</v>
      </c>
    </row>
    <row r="119" spans="1:107">
      <c r="A119">
        <f>ROW(Source!A129)</f>
        <v>129</v>
      </c>
      <c r="B119">
        <v>31028412</v>
      </c>
      <c r="C119">
        <v>31028948</v>
      </c>
      <c r="D119">
        <v>29152054</v>
      </c>
      <c r="E119">
        <v>1</v>
      </c>
      <c r="F119">
        <v>1</v>
      </c>
      <c r="G119">
        <v>1</v>
      </c>
      <c r="H119">
        <v>3</v>
      </c>
      <c r="I119" t="s">
        <v>805</v>
      </c>
      <c r="J119" t="s">
        <v>806</v>
      </c>
      <c r="K119" t="s">
        <v>807</v>
      </c>
      <c r="L119">
        <v>1348</v>
      </c>
      <c r="N119">
        <v>1009</v>
      </c>
      <c r="O119" t="s">
        <v>137</v>
      </c>
      <c r="P119" t="s">
        <v>137</v>
      </c>
      <c r="Q119">
        <v>1000</v>
      </c>
      <c r="W119">
        <v>0</v>
      </c>
      <c r="X119">
        <v>-444487765</v>
      </c>
      <c r="Y119">
        <v>2.96E-3</v>
      </c>
      <c r="AA119">
        <v>62829.11</v>
      </c>
      <c r="AB119">
        <v>0</v>
      </c>
      <c r="AC119">
        <v>0</v>
      </c>
      <c r="AD119">
        <v>0</v>
      </c>
      <c r="AE119">
        <v>10183</v>
      </c>
      <c r="AF119">
        <v>0</v>
      </c>
      <c r="AG119">
        <v>0</v>
      </c>
      <c r="AH119">
        <v>0</v>
      </c>
      <c r="AI119">
        <v>6.17</v>
      </c>
      <c r="AJ119">
        <v>1</v>
      </c>
      <c r="AK119">
        <v>1</v>
      </c>
      <c r="AL119">
        <v>1</v>
      </c>
      <c r="AN119">
        <v>0</v>
      </c>
      <c r="AO119">
        <v>1</v>
      </c>
      <c r="AP119">
        <v>0</v>
      </c>
      <c r="AQ119">
        <v>0</v>
      </c>
      <c r="AR119">
        <v>0</v>
      </c>
      <c r="AS119" t="s">
        <v>6</v>
      </c>
      <c r="AT119">
        <v>2.96E-3</v>
      </c>
      <c r="AU119" t="s">
        <v>6</v>
      </c>
      <c r="AV119">
        <v>0</v>
      </c>
      <c r="AW119">
        <v>2</v>
      </c>
      <c r="AX119">
        <v>31028976</v>
      </c>
      <c r="AY119">
        <v>1</v>
      </c>
      <c r="AZ119">
        <v>0</v>
      </c>
      <c r="BA119">
        <v>140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Y119*Source!I129</f>
        <v>1.0064000000000001E-4</v>
      </c>
      <c r="CY119">
        <f t="shared" si="9"/>
        <v>62829.11</v>
      </c>
      <c r="CZ119">
        <f t="shared" si="10"/>
        <v>10183</v>
      </c>
      <c r="DA119">
        <f t="shared" si="11"/>
        <v>6.17</v>
      </c>
      <c r="DB119">
        <f t="shared" si="12"/>
        <v>30.14</v>
      </c>
      <c r="DC119">
        <f t="shared" si="13"/>
        <v>0</v>
      </c>
    </row>
    <row r="120" spans="1:107">
      <c r="A120">
        <f>ROW(Source!A129)</f>
        <v>129</v>
      </c>
      <c r="B120">
        <v>31028412</v>
      </c>
      <c r="C120">
        <v>31028948</v>
      </c>
      <c r="D120">
        <v>29157674</v>
      </c>
      <c r="E120">
        <v>1</v>
      </c>
      <c r="F120">
        <v>1</v>
      </c>
      <c r="G120">
        <v>1</v>
      </c>
      <c r="H120">
        <v>3</v>
      </c>
      <c r="I120" t="s">
        <v>808</v>
      </c>
      <c r="J120" t="s">
        <v>809</v>
      </c>
      <c r="K120" t="s">
        <v>810</v>
      </c>
      <c r="L120">
        <v>1296</v>
      </c>
      <c r="N120">
        <v>1002</v>
      </c>
      <c r="O120" t="s">
        <v>142</v>
      </c>
      <c r="P120" t="s">
        <v>142</v>
      </c>
      <c r="Q120">
        <v>1</v>
      </c>
      <c r="W120">
        <v>0</v>
      </c>
      <c r="X120">
        <v>1606941307</v>
      </c>
      <c r="Y120">
        <v>78</v>
      </c>
      <c r="AA120">
        <v>311.52</v>
      </c>
      <c r="AB120">
        <v>0</v>
      </c>
      <c r="AC120">
        <v>0</v>
      </c>
      <c r="AD120">
        <v>0</v>
      </c>
      <c r="AE120">
        <v>50.49</v>
      </c>
      <c r="AF120">
        <v>0</v>
      </c>
      <c r="AG120">
        <v>0</v>
      </c>
      <c r="AH120">
        <v>0</v>
      </c>
      <c r="AI120">
        <v>6.17</v>
      </c>
      <c r="AJ120">
        <v>1</v>
      </c>
      <c r="AK120">
        <v>1</v>
      </c>
      <c r="AL120">
        <v>1</v>
      </c>
      <c r="AN120">
        <v>0</v>
      </c>
      <c r="AO120">
        <v>1</v>
      </c>
      <c r="AP120">
        <v>0</v>
      </c>
      <c r="AQ120">
        <v>0</v>
      </c>
      <c r="AR120">
        <v>0</v>
      </c>
      <c r="AS120" t="s">
        <v>6</v>
      </c>
      <c r="AT120">
        <v>78</v>
      </c>
      <c r="AU120" t="s">
        <v>6</v>
      </c>
      <c r="AV120">
        <v>0</v>
      </c>
      <c r="AW120">
        <v>2</v>
      </c>
      <c r="AX120">
        <v>31028977</v>
      </c>
      <c r="AY120">
        <v>1</v>
      </c>
      <c r="AZ120">
        <v>0</v>
      </c>
      <c r="BA120">
        <v>141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Y120*Source!I129</f>
        <v>2.6520000000000001</v>
      </c>
      <c r="CY120">
        <f t="shared" si="9"/>
        <v>311.52</v>
      </c>
      <c r="CZ120">
        <f t="shared" si="10"/>
        <v>50.49</v>
      </c>
      <c r="DA120">
        <f t="shared" si="11"/>
        <v>6.17</v>
      </c>
      <c r="DB120">
        <f t="shared" si="12"/>
        <v>3938.22</v>
      </c>
      <c r="DC120">
        <f t="shared" si="13"/>
        <v>0</v>
      </c>
    </row>
    <row r="121" spans="1:107">
      <c r="A121">
        <f>ROW(Source!A129)</f>
        <v>129</v>
      </c>
      <c r="B121">
        <v>31028412</v>
      </c>
      <c r="C121">
        <v>31028948</v>
      </c>
      <c r="D121">
        <v>29157993</v>
      </c>
      <c r="E121">
        <v>1</v>
      </c>
      <c r="F121">
        <v>1</v>
      </c>
      <c r="G121">
        <v>1</v>
      </c>
      <c r="H121">
        <v>3</v>
      </c>
      <c r="I121" t="s">
        <v>811</v>
      </c>
      <c r="J121" t="s">
        <v>812</v>
      </c>
      <c r="K121" t="s">
        <v>813</v>
      </c>
      <c r="L121">
        <v>1035</v>
      </c>
      <c r="N121">
        <v>1013</v>
      </c>
      <c r="O121" t="s">
        <v>292</v>
      </c>
      <c r="P121" t="s">
        <v>292</v>
      </c>
      <c r="Q121">
        <v>1</v>
      </c>
      <c r="W121">
        <v>0</v>
      </c>
      <c r="X121">
        <v>-1257397784</v>
      </c>
      <c r="Y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6.17</v>
      </c>
      <c r="AJ121">
        <v>1</v>
      </c>
      <c r="AK121">
        <v>1</v>
      </c>
      <c r="AL121">
        <v>1</v>
      </c>
      <c r="AN121">
        <v>1</v>
      </c>
      <c r="AO121">
        <v>0</v>
      </c>
      <c r="AP121">
        <v>0</v>
      </c>
      <c r="AQ121">
        <v>0</v>
      </c>
      <c r="AR121">
        <v>0</v>
      </c>
      <c r="AS121" t="s">
        <v>6</v>
      </c>
      <c r="AT121">
        <v>0</v>
      </c>
      <c r="AU121" t="s">
        <v>6</v>
      </c>
      <c r="AV121">
        <v>0</v>
      </c>
      <c r="AW121">
        <v>2</v>
      </c>
      <c r="AX121">
        <v>31028978</v>
      </c>
      <c r="AY121">
        <v>1</v>
      </c>
      <c r="AZ121">
        <v>0</v>
      </c>
      <c r="BA121">
        <v>142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Y121*Source!I129</f>
        <v>0</v>
      </c>
      <c r="CY121">
        <f t="shared" si="9"/>
        <v>0</v>
      </c>
      <c r="CZ121">
        <f t="shared" si="10"/>
        <v>0</v>
      </c>
      <c r="DA121">
        <f t="shared" si="11"/>
        <v>6.17</v>
      </c>
      <c r="DB121">
        <f t="shared" si="12"/>
        <v>0</v>
      </c>
      <c r="DC121">
        <f t="shared" si="13"/>
        <v>0</v>
      </c>
    </row>
    <row r="122" spans="1:107">
      <c r="A122">
        <f>ROW(Source!A129)</f>
        <v>129</v>
      </c>
      <c r="B122">
        <v>31028412</v>
      </c>
      <c r="C122">
        <v>31028948</v>
      </c>
      <c r="D122">
        <v>29186570</v>
      </c>
      <c r="E122">
        <v>1</v>
      </c>
      <c r="F122">
        <v>1</v>
      </c>
      <c r="G122">
        <v>1</v>
      </c>
      <c r="H122">
        <v>3</v>
      </c>
      <c r="I122" t="s">
        <v>814</v>
      </c>
      <c r="J122" t="s">
        <v>815</v>
      </c>
      <c r="K122" t="s">
        <v>816</v>
      </c>
      <c r="L122">
        <v>1339</v>
      </c>
      <c r="N122">
        <v>1007</v>
      </c>
      <c r="O122" t="s">
        <v>109</v>
      </c>
      <c r="P122" t="s">
        <v>109</v>
      </c>
      <c r="Q122">
        <v>1</v>
      </c>
      <c r="W122">
        <v>0</v>
      </c>
      <c r="X122">
        <v>451862466</v>
      </c>
      <c r="Y122">
        <v>0.13800000000000001</v>
      </c>
      <c r="AA122">
        <v>2939.02</v>
      </c>
      <c r="AB122">
        <v>0</v>
      </c>
      <c r="AC122">
        <v>0</v>
      </c>
      <c r="AD122">
        <v>0</v>
      </c>
      <c r="AE122">
        <v>476.34</v>
      </c>
      <c r="AF122">
        <v>0</v>
      </c>
      <c r="AG122">
        <v>0</v>
      </c>
      <c r="AH122">
        <v>0</v>
      </c>
      <c r="AI122">
        <v>6.17</v>
      </c>
      <c r="AJ122">
        <v>1</v>
      </c>
      <c r="AK122">
        <v>1</v>
      </c>
      <c r="AL122">
        <v>1</v>
      </c>
      <c r="AN122">
        <v>0</v>
      </c>
      <c r="AO122">
        <v>1</v>
      </c>
      <c r="AP122">
        <v>0</v>
      </c>
      <c r="AQ122">
        <v>0</v>
      </c>
      <c r="AR122">
        <v>0</v>
      </c>
      <c r="AS122" t="s">
        <v>6</v>
      </c>
      <c r="AT122">
        <v>0.13800000000000001</v>
      </c>
      <c r="AU122" t="s">
        <v>6</v>
      </c>
      <c r="AV122">
        <v>0</v>
      </c>
      <c r="AW122">
        <v>2</v>
      </c>
      <c r="AX122">
        <v>31028980</v>
      </c>
      <c r="AY122">
        <v>1</v>
      </c>
      <c r="AZ122">
        <v>0</v>
      </c>
      <c r="BA122">
        <v>144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Y122*Source!I129</f>
        <v>4.6920000000000009E-3</v>
      </c>
      <c r="CY122">
        <f t="shared" si="9"/>
        <v>2939.02</v>
      </c>
      <c r="CZ122">
        <f t="shared" si="10"/>
        <v>476.34</v>
      </c>
      <c r="DA122">
        <f t="shared" si="11"/>
        <v>6.17</v>
      </c>
      <c r="DB122">
        <f t="shared" si="12"/>
        <v>65.73</v>
      </c>
      <c r="DC122">
        <f t="shared" si="13"/>
        <v>0</v>
      </c>
    </row>
    <row r="123" spans="1:107">
      <c r="A123">
        <f>ROW(Source!A129)</f>
        <v>129</v>
      </c>
      <c r="B123">
        <v>31028412</v>
      </c>
      <c r="C123">
        <v>31028948</v>
      </c>
      <c r="D123">
        <v>29194450</v>
      </c>
      <c r="E123">
        <v>1</v>
      </c>
      <c r="F123">
        <v>1</v>
      </c>
      <c r="G123">
        <v>1</v>
      </c>
      <c r="H123">
        <v>3</v>
      </c>
      <c r="I123" t="s">
        <v>817</v>
      </c>
      <c r="J123" t="s">
        <v>818</v>
      </c>
      <c r="K123" t="s">
        <v>819</v>
      </c>
      <c r="L123">
        <v>1348</v>
      </c>
      <c r="N123">
        <v>1009</v>
      </c>
      <c r="O123" t="s">
        <v>137</v>
      </c>
      <c r="P123" t="s">
        <v>137</v>
      </c>
      <c r="Q123">
        <v>1000</v>
      </c>
      <c r="W123">
        <v>0</v>
      </c>
      <c r="X123">
        <v>1536930468</v>
      </c>
      <c r="Y123">
        <v>4.36E-2</v>
      </c>
      <c r="AA123">
        <v>4497.8100000000004</v>
      </c>
      <c r="AB123">
        <v>0</v>
      </c>
      <c r="AC123">
        <v>0</v>
      </c>
      <c r="AD123">
        <v>0</v>
      </c>
      <c r="AE123">
        <v>728.98</v>
      </c>
      <c r="AF123">
        <v>0</v>
      </c>
      <c r="AG123">
        <v>0</v>
      </c>
      <c r="AH123">
        <v>0</v>
      </c>
      <c r="AI123">
        <v>6.17</v>
      </c>
      <c r="AJ123">
        <v>1</v>
      </c>
      <c r="AK123">
        <v>1</v>
      </c>
      <c r="AL123">
        <v>1</v>
      </c>
      <c r="AN123">
        <v>0</v>
      </c>
      <c r="AO123">
        <v>1</v>
      </c>
      <c r="AP123">
        <v>0</v>
      </c>
      <c r="AQ123">
        <v>0</v>
      </c>
      <c r="AR123">
        <v>0</v>
      </c>
      <c r="AS123" t="s">
        <v>6</v>
      </c>
      <c r="AT123">
        <v>4.36E-2</v>
      </c>
      <c r="AU123" t="s">
        <v>6</v>
      </c>
      <c r="AV123">
        <v>0</v>
      </c>
      <c r="AW123">
        <v>2</v>
      </c>
      <c r="AX123">
        <v>31028981</v>
      </c>
      <c r="AY123">
        <v>1</v>
      </c>
      <c r="AZ123">
        <v>0</v>
      </c>
      <c r="BA123">
        <v>145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Y123*Source!I129</f>
        <v>1.4824E-3</v>
      </c>
      <c r="CY123">
        <f t="shared" si="9"/>
        <v>4497.8100000000004</v>
      </c>
      <c r="CZ123">
        <f t="shared" si="10"/>
        <v>728.98</v>
      </c>
      <c r="DA123">
        <f t="shared" si="11"/>
        <v>6.17</v>
      </c>
      <c r="DB123">
        <f t="shared" si="12"/>
        <v>31.78</v>
      </c>
      <c r="DC123">
        <f t="shared" si="13"/>
        <v>0</v>
      </c>
    </row>
    <row r="124" spans="1:107">
      <c r="A124">
        <f>ROW(Source!A133)</f>
        <v>133</v>
      </c>
      <c r="B124">
        <v>31028412</v>
      </c>
      <c r="C124">
        <v>31028985</v>
      </c>
      <c r="D124">
        <v>29084589</v>
      </c>
      <c r="E124">
        <v>1</v>
      </c>
      <c r="F124">
        <v>1</v>
      </c>
      <c r="G124">
        <v>1</v>
      </c>
      <c r="H124">
        <v>1</v>
      </c>
      <c r="I124" t="s">
        <v>771</v>
      </c>
      <c r="J124" t="s">
        <v>6</v>
      </c>
      <c r="K124" t="s">
        <v>772</v>
      </c>
      <c r="L124">
        <v>1369</v>
      </c>
      <c r="N124">
        <v>1013</v>
      </c>
      <c r="O124" t="s">
        <v>773</v>
      </c>
      <c r="P124" t="s">
        <v>773</v>
      </c>
      <c r="Q124">
        <v>1</v>
      </c>
      <c r="W124">
        <v>0</v>
      </c>
      <c r="X124">
        <v>-1659096359</v>
      </c>
      <c r="Y124">
        <v>241.22399999999996</v>
      </c>
      <c r="AA124">
        <v>0</v>
      </c>
      <c r="AB124">
        <v>0</v>
      </c>
      <c r="AC124">
        <v>0</v>
      </c>
      <c r="AD124">
        <v>207.08</v>
      </c>
      <c r="AE124">
        <v>0</v>
      </c>
      <c r="AF124">
        <v>0</v>
      </c>
      <c r="AG124">
        <v>0</v>
      </c>
      <c r="AH124">
        <v>8.5500000000000007</v>
      </c>
      <c r="AI124">
        <v>1</v>
      </c>
      <c r="AJ124">
        <v>1</v>
      </c>
      <c r="AK124">
        <v>1</v>
      </c>
      <c r="AL124">
        <v>24.22</v>
      </c>
      <c r="AN124">
        <v>0</v>
      </c>
      <c r="AO124">
        <v>1</v>
      </c>
      <c r="AP124">
        <v>1</v>
      </c>
      <c r="AQ124">
        <v>0</v>
      </c>
      <c r="AR124">
        <v>0</v>
      </c>
      <c r="AS124" t="s">
        <v>6</v>
      </c>
      <c r="AT124">
        <v>182.4</v>
      </c>
      <c r="AU124" t="s">
        <v>127</v>
      </c>
      <c r="AV124">
        <v>1</v>
      </c>
      <c r="AW124">
        <v>2</v>
      </c>
      <c r="AX124">
        <v>31029002</v>
      </c>
      <c r="AY124">
        <v>1</v>
      </c>
      <c r="AZ124">
        <v>0</v>
      </c>
      <c r="BA124">
        <v>146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Y124*Source!I133</f>
        <v>144.44493119999998</v>
      </c>
      <c r="CY124">
        <f>AD124</f>
        <v>207.08</v>
      </c>
      <c r="CZ124">
        <f>AH124</f>
        <v>8.5500000000000007</v>
      </c>
      <c r="DA124">
        <f>AL124</f>
        <v>24.22</v>
      </c>
      <c r="DB124">
        <f>ROUND((ROUND(AT124*CZ124,2)*ROUND((1.15*1.15),7)),6)</f>
        <v>2062.4652000000001</v>
      </c>
      <c r="DC124">
        <f>ROUND((ROUND(AT124*AG124,2)*ROUND((1.15*1.15),7)),6)</f>
        <v>0</v>
      </c>
    </row>
    <row r="125" spans="1:107">
      <c r="A125">
        <f>ROW(Source!A133)</f>
        <v>133</v>
      </c>
      <c r="B125">
        <v>31028412</v>
      </c>
      <c r="C125">
        <v>31028985</v>
      </c>
      <c r="D125">
        <v>29084573</v>
      </c>
      <c r="E125">
        <v>1</v>
      </c>
      <c r="F125">
        <v>1</v>
      </c>
      <c r="G125">
        <v>1</v>
      </c>
      <c r="H125">
        <v>1</v>
      </c>
      <c r="I125" t="s">
        <v>774</v>
      </c>
      <c r="J125" t="s">
        <v>6</v>
      </c>
      <c r="K125" t="s">
        <v>775</v>
      </c>
      <c r="L125">
        <v>608254</v>
      </c>
      <c r="N125">
        <v>1013</v>
      </c>
      <c r="O125" t="s">
        <v>776</v>
      </c>
      <c r="P125" t="s">
        <v>776</v>
      </c>
      <c r="Q125">
        <v>1</v>
      </c>
      <c r="W125">
        <v>0</v>
      </c>
      <c r="X125">
        <v>95408949</v>
      </c>
      <c r="Y125">
        <v>8.6681249999999999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1</v>
      </c>
      <c r="AJ125">
        <v>1</v>
      </c>
      <c r="AK125">
        <v>24.22</v>
      </c>
      <c r="AL125">
        <v>1</v>
      </c>
      <c r="AN125">
        <v>0</v>
      </c>
      <c r="AO125">
        <v>1</v>
      </c>
      <c r="AP125">
        <v>1</v>
      </c>
      <c r="AQ125">
        <v>0</v>
      </c>
      <c r="AR125">
        <v>0</v>
      </c>
      <c r="AS125" t="s">
        <v>6</v>
      </c>
      <c r="AT125">
        <v>6.03</v>
      </c>
      <c r="AU125" t="s">
        <v>126</v>
      </c>
      <c r="AV125">
        <v>2</v>
      </c>
      <c r="AW125">
        <v>2</v>
      </c>
      <c r="AX125">
        <v>31029003</v>
      </c>
      <c r="AY125">
        <v>1</v>
      </c>
      <c r="AZ125">
        <v>0</v>
      </c>
      <c r="BA125">
        <v>147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Y125*Source!I133</f>
        <v>5.1904732500000001</v>
      </c>
      <c r="CY125">
        <f>AD125</f>
        <v>0</v>
      </c>
      <c r="CZ125">
        <f>AH125</f>
        <v>0</v>
      </c>
      <c r="DA125">
        <f>AL125</f>
        <v>1</v>
      </c>
      <c r="DB125">
        <f t="shared" ref="DB125:DB130" si="14">ROUND((ROUND(AT125*CZ125,2)*ROUND((1.25*1.15),7)),6)</f>
        <v>0</v>
      </c>
      <c r="DC125">
        <f t="shared" ref="DC125:DC130" si="15">ROUND((ROUND(AT125*AG125,2)*ROUND((1.25*1.15),7)),6)</f>
        <v>0</v>
      </c>
    </row>
    <row r="126" spans="1:107">
      <c r="A126">
        <f>ROW(Source!A133)</f>
        <v>133</v>
      </c>
      <c r="B126">
        <v>31028412</v>
      </c>
      <c r="C126">
        <v>31028985</v>
      </c>
      <c r="D126">
        <v>29147520</v>
      </c>
      <c r="E126">
        <v>1</v>
      </c>
      <c r="F126">
        <v>1</v>
      </c>
      <c r="G126">
        <v>1</v>
      </c>
      <c r="H126">
        <v>2</v>
      </c>
      <c r="I126" t="s">
        <v>777</v>
      </c>
      <c r="J126" t="s">
        <v>778</v>
      </c>
      <c r="K126" t="s">
        <v>779</v>
      </c>
      <c r="L126">
        <v>1368</v>
      </c>
      <c r="N126">
        <v>1011</v>
      </c>
      <c r="O126" t="s">
        <v>780</v>
      </c>
      <c r="P126" t="s">
        <v>780</v>
      </c>
      <c r="Q126">
        <v>1</v>
      </c>
      <c r="W126">
        <v>0</v>
      </c>
      <c r="X126">
        <v>-2048414082</v>
      </c>
      <c r="Y126">
        <v>6.5118749999999999</v>
      </c>
      <c r="AA126">
        <v>0</v>
      </c>
      <c r="AB126">
        <v>656.51</v>
      </c>
      <c r="AC126">
        <v>315.58999999999997</v>
      </c>
      <c r="AD126">
        <v>0</v>
      </c>
      <c r="AE126">
        <v>0</v>
      </c>
      <c r="AF126">
        <v>85.93</v>
      </c>
      <c r="AG126">
        <v>13.03</v>
      </c>
      <c r="AH126">
        <v>0</v>
      </c>
      <c r="AI126">
        <v>1</v>
      </c>
      <c r="AJ126">
        <v>7.64</v>
      </c>
      <c r="AK126">
        <v>24.22</v>
      </c>
      <c r="AL126">
        <v>1</v>
      </c>
      <c r="AN126">
        <v>0</v>
      </c>
      <c r="AO126">
        <v>1</v>
      </c>
      <c r="AP126">
        <v>1</v>
      </c>
      <c r="AQ126">
        <v>0</v>
      </c>
      <c r="AR126">
        <v>0</v>
      </c>
      <c r="AS126" t="s">
        <v>6</v>
      </c>
      <c r="AT126">
        <v>4.53</v>
      </c>
      <c r="AU126" t="s">
        <v>126</v>
      </c>
      <c r="AV126">
        <v>0</v>
      </c>
      <c r="AW126">
        <v>2</v>
      </c>
      <c r="AX126">
        <v>31029004</v>
      </c>
      <c r="AY126">
        <v>1</v>
      </c>
      <c r="AZ126">
        <v>0</v>
      </c>
      <c r="BA126">
        <v>148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Y126*Source!I133</f>
        <v>3.8993107499999997</v>
      </c>
      <c r="CY126">
        <f>AB126</f>
        <v>656.51</v>
      </c>
      <c r="CZ126">
        <f>AF126</f>
        <v>85.93</v>
      </c>
      <c r="DA126">
        <f>AJ126</f>
        <v>7.64</v>
      </c>
      <c r="DB126">
        <f t="shared" si="14"/>
        <v>559.56124999999997</v>
      </c>
      <c r="DC126">
        <f t="shared" si="15"/>
        <v>84.855625000000003</v>
      </c>
    </row>
    <row r="127" spans="1:107">
      <c r="A127">
        <f>ROW(Source!A133)</f>
        <v>133</v>
      </c>
      <c r="B127">
        <v>31028412</v>
      </c>
      <c r="C127">
        <v>31028985</v>
      </c>
      <c r="D127">
        <v>29147601</v>
      </c>
      <c r="E127">
        <v>1</v>
      </c>
      <c r="F127">
        <v>1</v>
      </c>
      <c r="G127">
        <v>1</v>
      </c>
      <c r="H127">
        <v>2</v>
      </c>
      <c r="I127" t="s">
        <v>781</v>
      </c>
      <c r="J127" t="s">
        <v>782</v>
      </c>
      <c r="K127" t="s">
        <v>783</v>
      </c>
      <c r="L127">
        <v>1368</v>
      </c>
      <c r="N127">
        <v>1011</v>
      </c>
      <c r="O127" t="s">
        <v>780</v>
      </c>
      <c r="P127" t="s">
        <v>780</v>
      </c>
      <c r="Q127">
        <v>1</v>
      </c>
      <c r="W127">
        <v>0</v>
      </c>
      <c r="X127">
        <v>1170567961</v>
      </c>
      <c r="Y127">
        <v>2.15625</v>
      </c>
      <c r="AA127">
        <v>0</v>
      </c>
      <c r="AB127">
        <v>828.56</v>
      </c>
      <c r="AC127">
        <v>315.58999999999997</v>
      </c>
      <c r="AD127">
        <v>0</v>
      </c>
      <c r="AE127">
        <v>0</v>
      </c>
      <c r="AF127">
        <v>108.45</v>
      </c>
      <c r="AG127">
        <v>13.03</v>
      </c>
      <c r="AH127">
        <v>0</v>
      </c>
      <c r="AI127">
        <v>1</v>
      </c>
      <c r="AJ127">
        <v>7.64</v>
      </c>
      <c r="AK127">
        <v>24.22</v>
      </c>
      <c r="AL127">
        <v>1</v>
      </c>
      <c r="AN127">
        <v>0</v>
      </c>
      <c r="AO127">
        <v>1</v>
      </c>
      <c r="AP127">
        <v>1</v>
      </c>
      <c r="AQ127">
        <v>0</v>
      </c>
      <c r="AR127">
        <v>0</v>
      </c>
      <c r="AS127" t="s">
        <v>6</v>
      </c>
      <c r="AT127">
        <v>1.5</v>
      </c>
      <c r="AU127" t="s">
        <v>126</v>
      </c>
      <c r="AV127">
        <v>0</v>
      </c>
      <c r="AW127">
        <v>2</v>
      </c>
      <c r="AX127">
        <v>31029005</v>
      </c>
      <c r="AY127">
        <v>1</v>
      </c>
      <c r="AZ127">
        <v>0</v>
      </c>
      <c r="BA127">
        <v>149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Y127*Source!I133</f>
        <v>1.2911625</v>
      </c>
      <c r="CY127">
        <f>AB127</f>
        <v>828.56</v>
      </c>
      <c r="CZ127">
        <f>AF127</f>
        <v>108.45</v>
      </c>
      <c r="DA127">
        <f>AJ127</f>
        <v>7.64</v>
      </c>
      <c r="DB127">
        <f t="shared" si="14"/>
        <v>233.85249999999999</v>
      </c>
      <c r="DC127">
        <f t="shared" si="15"/>
        <v>28.103124999999999</v>
      </c>
    </row>
    <row r="128" spans="1:107">
      <c r="A128">
        <f>ROW(Source!A133)</f>
        <v>133</v>
      </c>
      <c r="B128">
        <v>31028412</v>
      </c>
      <c r="C128">
        <v>31028985</v>
      </c>
      <c r="D128">
        <v>29148219</v>
      </c>
      <c r="E128">
        <v>1</v>
      </c>
      <c r="F128">
        <v>1</v>
      </c>
      <c r="G128">
        <v>1</v>
      </c>
      <c r="H128">
        <v>2</v>
      </c>
      <c r="I128" t="s">
        <v>784</v>
      </c>
      <c r="J128" t="s">
        <v>785</v>
      </c>
      <c r="K128" t="s">
        <v>786</v>
      </c>
      <c r="L128">
        <v>1368</v>
      </c>
      <c r="N128">
        <v>1011</v>
      </c>
      <c r="O128" t="s">
        <v>780</v>
      </c>
      <c r="P128" t="s">
        <v>780</v>
      </c>
      <c r="Q128">
        <v>1</v>
      </c>
      <c r="W128">
        <v>0</v>
      </c>
      <c r="X128">
        <v>-1347779909</v>
      </c>
      <c r="Y128">
        <v>5.3043749999999994</v>
      </c>
      <c r="AA128">
        <v>0</v>
      </c>
      <c r="AB128">
        <v>229.2</v>
      </c>
      <c r="AC128">
        <v>0</v>
      </c>
      <c r="AD128">
        <v>0</v>
      </c>
      <c r="AE128">
        <v>0</v>
      </c>
      <c r="AF128">
        <v>30</v>
      </c>
      <c r="AG128">
        <v>0</v>
      </c>
      <c r="AH128">
        <v>0</v>
      </c>
      <c r="AI128">
        <v>1</v>
      </c>
      <c r="AJ128">
        <v>7.64</v>
      </c>
      <c r="AK128">
        <v>24.22</v>
      </c>
      <c r="AL128">
        <v>1</v>
      </c>
      <c r="AN128">
        <v>0</v>
      </c>
      <c r="AO128">
        <v>1</v>
      </c>
      <c r="AP128">
        <v>1</v>
      </c>
      <c r="AQ128">
        <v>0</v>
      </c>
      <c r="AR128">
        <v>0</v>
      </c>
      <c r="AS128" t="s">
        <v>6</v>
      </c>
      <c r="AT128">
        <v>3.69</v>
      </c>
      <c r="AU128" t="s">
        <v>126</v>
      </c>
      <c r="AV128">
        <v>0</v>
      </c>
      <c r="AW128">
        <v>2</v>
      </c>
      <c r="AX128">
        <v>31029006</v>
      </c>
      <c r="AY128">
        <v>1</v>
      </c>
      <c r="AZ128">
        <v>0</v>
      </c>
      <c r="BA128">
        <v>150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Y128*Source!I133</f>
        <v>3.1762597499999998</v>
      </c>
      <c r="CY128">
        <f>AB128</f>
        <v>229.2</v>
      </c>
      <c r="CZ128">
        <f>AF128</f>
        <v>30</v>
      </c>
      <c r="DA128">
        <f>AJ128</f>
        <v>7.64</v>
      </c>
      <c r="DB128">
        <f t="shared" si="14"/>
        <v>159.13124999999999</v>
      </c>
      <c r="DC128">
        <f t="shared" si="15"/>
        <v>0</v>
      </c>
    </row>
    <row r="129" spans="1:107">
      <c r="A129">
        <f>ROW(Source!A133)</f>
        <v>133</v>
      </c>
      <c r="B129">
        <v>31028412</v>
      </c>
      <c r="C129">
        <v>31028985</v>
      </c>
      <c r="D129">
        <v>29148425</v>
      </c>
      <c r="E129">
        <v>1</v>
      </c>
      <c r="F129">
        <v>1</v>
      </c>
      <c r="G129">
        <v>1</v>
      </c>
      <c r="H129">
        <v>2</v>
      </c>
      <c r="I129" t="s">
        <v>787</v>
      </c>
      <c r="J129" t="s">
        <v>788</v>
      </c>
      <c r="K129" t="s">
        <v>789</v>
      </c>
      <c r="L129">
        <v>1368</v>
      </c>
      <c r="N129">
        <v>1011</v>
      </c>
      <c r="O129" t="s">
        <v>780</v>
      </c>
      <c r="P129" t="s">
        <v>780</v>
      </c>
      <c r="Q129">
        <v>1</v>
      </c>
      <c r="W129">
        <v>0</v>
      </c>
      <c r="X129">
        <v>-422547563</v>
      </c>
      <c r="Y129">
        <v>9.4874999999999989</v>
      </c>
      <c r="AA129">
        <v>0</v>
      </c>
      <c r="AB129">
        <v>22.92</v>
      </c>
      <c r="AC129">
        <v>0</v>
      </c>
      <c r="AD129">
        <v>0</v>
      </c>
      <c r="AE129">
        <v>0</v>
      </c>
      <c r="AF129">
        <v>3</v>
      </c>
      <c r="AG129">
        <v>0</v>
      </c>
      <c r="AH129">
        <v>0</v>
      </c>
      <c r="AI129">
        <v>1</v>
      </c>
      <c r="AJ129">
        <v>7.64</v>
      </c>
      <c r="AK129">
        <v>24.22</v>
      </c>
      <c r="AL129">
        <v>1</v>
      </c>
      <c r="AN129">
        <v>0</v>
      </c>
      <c r="AO129">
        <v>1</v>
      </c>
      <c r="AP129">
        <v>1</v>
      </c>
      <c r="AQ129">
        <v>0</v>
      </c>
      <c r="AR129">
        <v>0</v>
      </c>
      <c r="AS129" t="s">
        <v>6</v>
      </c>
      <c r="AT129">
        <v>6.6</v>
      </c>
      <c r="AU129" t="s">
        <v>126</v>
      </c>
      <c r="AV129">
        <v>0</v>
      </c>
      <c r="AW129">
        <v>2</v>
      </c>
      <c r="AX129">
        <v>31029007</v>
      </c>
      <c r="AY129">
        <v>1</v>
      </c>
      <c r="AZ129">
        <v>0</v>
      </c>
      <c r="BA129">
        <v>151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>Y129*Source!I133</f>
        <v>5.6811149999999992</v>
      </c>
      <c r="CY129">
        <f>AB129</f>
        <v>22.92</v>
      </c>
      <c r="CZ129">
        <f>AF129</f>
        <v>3</v>
      </c>
      <c r="DA129">
        <f>AJ129</f>
        <v>7.64</v>
      </c>
      <c r="DB129">
        <f t="shared" si="14"/>
        <v>28.462499999999999</v>
      </c>
      <c r="DC129">
        <f t="shared" si="15"/>
        <v>0</v>
      </c>
    </row>
    <row r="130" spans="1:107">
      <c r="A130">
        <f>ROW(Source!A133)</f>
        <v>133</v>
      </c>
      <c r="B130">
        <v>31028412</v>
      </c>
      <c r="C130">
        <v>31028985</v>
      </c>
      <c r="D130">
        <v>29149520</v>
      </c>
      <c r="E130">
        <v>1</v>
      </c>
      <c r="F130">
        <v>1</v>
      </c>
      <c r="G130">
        <v>1</v>
      </c>
      <c r="H130">
        <v>2</v>
      </c>
      <c r="I130" t="s">
        <v>790</v>
      </c>
      <c r="J130" t="s">
        <v>791</v>
      </c>
      <c r="K130" t="s">
        <v>792</v>
      </c>
      <c r="L130">
        <v>1368</v>
      </c>
      <c r="N130">
        <v>1011</v>
      </c>
      <c r="O130" t="s">
        <v>780</v>
      </c>
      <c r="P130" t="s">
        <v>780</v>
      </c>
      <c r="Q130">
        <v>1</v>
      </c>
      <c r="W130">
        <v>0</v>
      </c>
      <c r="X130">
        <v>-1931461795</v>
      </c>
      <c r="Y130">
        <v>3.2056249999999999</v>
      </c>
      <c r="AA130">
        <v>0</v>
      </c>
      <c r="AB130">
        <v>699.98</v>
      </c>
      <c r="AC130">
        <v>0</v>
      </c>
      <c r="AD130">
        <v>0</v>
      </c>
      <c r="AE130">
        <v>0</v>
      </c>
      <c r="AF130">
        <v>91.62</v>
      </c>
      <c r="AG130">
        <v>0</v>
      </c>
      <c r="AH130">
        <v>0</v>
      </c>
      <c r="AI130">
        <v>1</v>
      </c>
      <c r="AJ130">
        <v>7.64</v>
      </c>
      <c r="AK130">
        <v>24.22</v>
      </c>
      <c r="AL130">
        <v>1</v>
      </c>
      <c r="AN130">
        <v>0</v>
      </c>
      <c r="AO130">
        <v>1</v>
      </c>
      <c r="AP130">
        <v>1</v>
      </c>
      <c r="AQ130">
        <v>0</v>
      </c>
      <c r="AR130">
        <v>0</v>
      </c>
      <c r="AS130" t="s">
        <v>6</v>
      </c>
      <c r="AT130">
        <v>2.23</v>
      </c>
      <c r="AU130" t="s">
        <v>126</v>
      </c>
      <c r="AV130">
        <v>0</v>
      </c>
      <c r="AW130">
        <v>2</v>
      </c>
      <c r="AX130">
        <v>31029008</v>
      </c>
      <c r="AY130">
        <v>1</v>
      </c>
      <c r="AZ130">
        <v>0</v>
      </c>
      <c r="BA130">
        <v>152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>Y130*Source!I133</f>
        <v>1.9195282499999999</v>
      </c>
      <c r="CY130">
        <f>AB130</f>
        <v>699.98</v>
      </c>
      <c r="CZ130">
        <f>AF130</f>
        <v>91.62</v>
      </c>
      <c r="DA130">
        <f>AJ130</f>
        <v>7.64</v>
      </c>
      <c r="DB130">
        <f t="shared" si="14"/>
        <v>293.69562500000001</v>
      </c>
      <c r="DC130">
        <f t="shared" si="15"/>
        <v>0</v>
      </c>
    </row>
    <row r="131" spans="1:107">
      <c r="A131">
        <f>ROW(Source!A133)</f>
        <v>133</v>
      </c>
      <c r="B131">
        <v>31028412</v>
      </c>
      <c r="C131">
        <v>31028985</v>
      </c>
      <c r="D131">
        <v>29150561</v>
      </c>
      <c r="E131">
        <v>1</v>
      </c>
      <c r="F131">
        <v>1</v>
      </c>
      <c r="G131">
        <v>1</v>
      </c>
      <c r="H131">
        <v>3</v>
      </c>
      <c r="I131" t="s">
        <v>793</v>
      </c>
      <c r="J131" t="s">
        <v>794</v>
      </c>
      <c r="K131" t="s">
        <v>795</v>
      </c>
      <c r="L131">
        <v>1348</v>
      </c>
      <c r="N131">
        <v>1009</v>
      </c>
      <c r="O131" t="s">
        <v>137</v>
      </c>
      <c r="P131" t="s">
        <v>137</v>
      </c>
      <c r="Q131">
        <v>1000</v>
      </c>
      <c r="W131">
        <v>0</v>
      </c>
      <c r="X131">
        <v>-592936270</v>
      </c>
      <c r="Y131">
        <v>2.8E-3</v>
      </c>
      <c r="AA131">
        <v>52235.839999999997</v>
      </c>
      <c r="AB131">
        <v>0</v>
      </c>
      <c r="AC131">
        <v>0</v>
      </c>
      <c r="AD131">
        <v>0</v>
      </c>
      <c r="AE131">
        <v>8466.1</v>
      </c>
      <c r="AF131">
        <v>0</v>
      </c>
      <c r="AG131">
        <v>0</v>
      </c>
      <c r="AH131">
        <v>0</v>
      </c>
      <c r="AI131">
        <v>6.17</v>
      </c>
      <c r="AJ131">
        <v>1</v>
      </c>
      <c r="AK131">
        <v>1</v>
      </c>
      <c r="AL131">
        <v>1</v>
      </c>
      <c r="AN131">
        <v>0</v>
      </c>
      <c r="AO131">
        <v>1</v>
      </c>
      <c r="AP131">
        <v>0</v>
      </c>
      <c r="AQ131">
        <v>0</v>
      </c>
      <c r="AR131">
        <v>0</v>
      </c>
      <c r="AS131" t="s">
        <v>6</v>
      </c>
      <c r="AT131">
        <v>2.8E-3</v>
      </c>
      <c r="AU131" t="s">
        <v>6</v>
      </c>
      <c r="AV131">
        <v>0</v>
      </c>
      <c r="AW131">
        <v>2</v>
      </c>
      <c r="AX131">
        <v>31029009</v>
      </c>
      <c r="AY131">
        <v>1</v>
      </c>
      <c r="AZ131">
        <v>0</v>
      </c>
      <c r="BA131">
        <v>153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>Y131*Source!I133</f>
        <v>1.6766400000000001E-3</v>
      </c>
      <c r="CY131">
        <f t="shared" ref="CY131:CY139" si="16">AA131</f>
        <v>52235.839999999997</v>
      </c>
      <c r="CZ131">
        <f t="shared" ref="CZ131:CZ139" si="17">AE131</f>
        <v>8466.1</v>
      </c>
      <c r="DA131">
        <f t="shared" ref="DA131:DA139" si="18">AI131</f>
        <v>6.17</v>
      </c>
      <c r="DB131">
        <f t="shared" ref="DB131:DB139" si="19">ROUND(ROUND(AT131*CZ131,2),6)</f>
        <v>23.71</v>
      </c>
      <c r="DC131">
        <f t="shared" ref="DC131:DC139" si="20">ROUND(ROUND(AT131*AG131,2),6)</f>
        <v>0</v>
      </c>
    </row>
    <row r="132" spans="1:107">
      <c r="A132">
        <f>ROW(Source!A133)</f>
        <v>133</v>
      </c>
      <c r="B132">
        <v>31028412</v>
      </c>
      <c r="C132">
        <v>31028985</v>
      </c>
      <c r="D132">
        <v>29151759</v>
      </c>
      <c r="E132">
        <v>1</v>
      </c>
      <c r="F132">
        <v>1</v>
      </c>
      <c r="G132">
        <v>1</v>
      </c>
      <c r="H132">
        <v>3</v>
      </c>
      <c r="I132" t="s">
        <v>796</v>
      </c>
      <c r="J132" t="s">
        <v>797</v>
      </c>
      <c r="K132" t="s">
        <v>798</v>
      </c>
      <c r="L132">
        <v>1348</v>
      </c>
      <c r="N132">
        <v>1009</v>
      </c>
      <c r="O132" t="s">
        <v>137</v>
      </c>
      <c r="P132" t="s">
        <v>137</v>
      </c>
      <c r="Q132">
        <v>1000</v>
      </c>
      <c r="W132">
        <v>0</v>
      </c>
      <c r="X132">
        <v>-34374424</v>
      </c>
      <c r="Y132">
        <v>7.4000000000000003E-3</v>
      </c>
      <c r="AA132">
        <v>57853.01</v>
      </c>
      <c r="AB132">
        <v>0</v>
      </c>
      <c r="AC132">
        <v>0</v>
      </c>
      <c r="AD132">
        <v>0</v>
      </c>
      <c r="AE132">
        <v>9376.5</v>
      </c>
      <c r="AF132">
        <v>0</v>
      </c>
      <c r="AG132">
        <v>0</v>
      </c>
      <c r="AH132">
        <v>0</v>
      </c>
      <c r="AI132">
        <v>6.17</v>
      </c>
      <c r="AJ132">
        <v>1</v>
      </c>
      <c r="AK132">
        <v>1</v>
      </c>
      <c r="AL132">
        <v>1</v>
      </c>
      <c r="AN132">
        <v>0</v>
      </c>
      <c r="AO132">
        <v>1</v>
      </c>
      <c r="AP132">
        <v>0</v>
      </c>
      <c r="AQ132">
        <v>0</v>
      </c>
      <c r="AR132">
        <v>0</v>
      </c>
      <c r="AS132" t="s">
        <v>6</v>
      </c>
      <c r="AT132">
        <v>7.4000000000000003E-3</v>
      </c>
      <c r="AU132" t="s">
        <v>6</v>
      </c>
      <c r="AV132">
        <v>0</v>
      </c>
      <c r="AW132">
        <v>2</v>
      </c>
      <c r="AX132">
        <v>31029010</v>
      </c>
      <c r="AY132">
        <v>1</v>
      </c>
      <c r="AZ132">
        <v>0</v>
      </c>
      <c r="BA132">
        <v>154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>Y132*Source!I133</f>
        <v>4.4311200000000002E-3</v>
      </c>
      <c r="CY132">
        <f t="shared" si="16"/>
        <v>57853.01</v>
      </c>
      <c r="CZ132">
        <f t="shared" si="17"/>
        <v>9376.5</v>
      </c>
      <c r="DA132">
        <f t="shared" si="18"/>
        <v>6.17</v>
      </c>
      <c r="DB132">
        <f t="shared" si="19"/>
        <v>69.39</v>
      </c>
      <c r="DC132">
        <f t="shared" si="20"/>
        <v>0</v>
      </c>
    </row>
    <row r="133" spans="1:107">
      <c r="A133">
        <f>ROW(Source!A133)</f>
        <v>133</v>
      </c>
      <c r="B133">
        <v>31028412</v>
      </c>
      <c r="C133">
        <v>31028985</v>
      </c>
      <c r="D133">
        <v>29151859</v>
      </c>
      <c r="E133">
        <v>1</v>
      </c>
      <c r="F133">
        <v>1</v>
      </c>
      <c r="G133">
        <v>1</v>
      </c>
      <c r="H133">
        <v>3</v>
      </c>
      <c r="I133" t="s">
        <v>799</v>
      </c>
      <c r="J133" t="s">
        <v>800</v>
      </c>
      <c r="K133" t="s">
        <v>801</v>
      </c>
      <c r="L133">
        <v>1348</v>
      </c>
      <c r="N133">
        <v>1009</v>
      </c>
      <c r="O133" t="s">
        <v>137</v>
      </c>
      <c r="P133" t="s">
        <v>137</v>
      </c>
      <c r="Q133">
        <v>1000</v>
      </c>
      <c r="W133">
        <v>0</v>
      </c>
      <c r="X133">
        <v>-1890625626</v>
      </c>
      <c r="Y133">
        <v>3.5999999999999997E-2</v>
      </c>
      <c r="AA133">
        <v>7501.49</v>
      </c>
      <c r="AB133">
        <v>0</v>
      </c>
      <c r="AC133">
        <v>0</v>
      </c>
      <c r="AD133">
        <v>0</v>
      </c>
      <c r="AE133">
        <v>1215.8</v>
      </c>
      <c r="AF133">
        <v>0</v>
      </c>
      <c r="AG133">
        <v>0</v>
      </c>
      <c r="AH133">
        <v>0</v>
      </c>
      <c r="AI133">
        <v>6.17</v>
      </c>
      <c r="AJ133">
        <v>1</v>
      </c>
      <c r="AK133">
        <v>1</v>
      </c>
      <c r="AL133">
        <v>1</v>
      </c>
      <c r="AN133">
        <v>0</v>
      </c>
      <c r="AO133">
        <v>1</v>
      </c>
      <c r="AP133">
        <v>0</v>
      </c>
      <c r="AQ133">
        <v>0</v>
      </c>
      <c r="AR133">
        <v>0</v>
      </c>
      <c r="AS133" t="s">
        <v>6</v>
      </c>
      <c r="AT133">
        <v>3.5999999999999997E-2</v>
      </c>
      <c r="AU133" t="s">
        <v>6</v>
      </c>
      <c r="AV133">
        <v>0</v>
      </c>
      <c r="AW133">
        <v>2</v>
      </c>
      <c r="AX133">
        <v>31029011</v>
      </c>
      <c r="AY133">
        <v>1</v>
      </c>
      <c r="AZ133">
        <v>0</v>
      </c>
      <c r="BA133">
        <v>155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>Y133*Source!I133</f>
        <v>2.1556799999999997E-2</v>
      </c>
      <c r="CY133">
        <f t="shared" si="16"/>
        <v>7501.49</v>
      </c>
      <c r="CZ133">
        <f t="shared" si="17"/>
        <v>1215.8</v>
      </c>
      <c r="DA133">
        <f t="shared" si="18"/>
        <v>6.17</v>
      </c>
      <c r="DB133">
        <f t="shared" si="19"/>
        <v>43.77</v>
      </c>
      <c r="DC133">
        <f t="shared" si="20"/>
        <v>0</v>
      </c>
    </row>
    <row r="134" spans="1:107">
      <c r="A134">
        <f>ROW(Source!A133)</f>
        <v>133</v>
      </c>
      <c r="B134">
        <v>31028412</v>
      </c>
      <c r="C134">
        <v>31028985</v>
      </c>
      <c r="D134">
        <v>29151997</v>
      </c>
      <c r="E134">
        <v>1</v>
      </c>
      <c r="F134">
        <v>1</v>
      </c>
      <c r="G134">
        <v>1</v>
      </c>
      <c r="H134">
        <v>3</v>
      </c>
      <c r="I134" t="s">
        <v>802</v>
      </c>
      <c r="J134" t="s">
        <v>803</v>
      </c>
      <c r="K134" t="s">
        <v>804</v>
      </c>
      <c r="L134">
        <v>1327</v>
      </c>
      <c r="N134">
        <v>1005</v>
      </c>
      <c r="O134" t="s">
        <v>284</v>
      </c>
      <c r="P134" t="s">
        <v>284</v>
      </c>
      <c r="Q134">
        <v>1</v>
      </c>
      <c r="W134">
        <v>0</v>
      </c>
      <c r="X134">
        <v>1834989622</v>
      </c>
      <c r="Y134">
        <v>122</v>
      </c>
      <c r="AA134">
        <v>38.07</v>
      </c>
      <c r="AB134">
        <v>0</v>
      </c>
      <c r="AC134">
        <v>0</v>
      </c>
      <c r="AD134">
        <v>0</v>
      </c>
      <c r="AE134">
        <v>6.17</v>
      </c>
      <c r="AF134">
        <v>0</v>
      </c>
      <c r="AG134">
        <v>0</v>
      </c>
      <c r="AH134">
        <v>0</v>
      </c>
      <c r="AI134">
        <v>6.17</v>
      </c>
      <c r="AJ134">
        <v>1</v>
      </c>
      <c r="AK134">
        <v>1</v>
      </c>
      <c r="AL134">
        <v>1</v>
      </c>
      <c r="AN134">
        <v>0</v>
      </c>
      <c r="AO134">
        <v>1</v>
      </c>
      <c r="AP134">
        <v>0</v>
      </c>
      <c r="AQ134">
        <v>0</v>
      </c>
      <c r="AR134">
        <v>0</v>
      </c>
      <c r="AS134" t="s">
        <v>6</v>
      </c>
      <c r="AT134">
        <v>122</v>
      </c>
      <c r="AU134" t="s">
        <v>6</v>
      </c>
      <c r="AV134">
        <v>0</v>
      </c>
      <c r="AW134">
        <v>2</v>
      </c>
      <c r="AX134">
        <v>31029012</v>
      </c>
      <c r="AY134">
        <v>1</v>
      </c>
      <c r="AZ134">
        <v>0</v>
      </c>
      <c r="BA134">
        <v>156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>Y134*Source!I133</f>
        <v>73.053600000000003</v>
      </c>
      <c r="CY134">
        <f t="shared" si="16"/>
        <v>38.07</v>
      </c>
      <c r="CZ134">
        <f t="shared" si="17"/>
        <v>6.17</v>
      </c>
      <c r="DA134">
        <f t="shared" si="18"/>
        <v>6.17</v>
      </c>
      <c r="DB134">
        <f t="shared" si="19"/>
        <v>752.74</v>
      </c>
      <c r="DC134">
        <f t="shared" si="20"/>
        <v>0</v>
      </c>
    </row>
    <row r="135" spans="1:107">
      <c r="A135">
        <f>ROW(Source!A133)</f>
        <v>133</v>
      </c>
      <c r="B135">
        <v>31028412</v>
      </c>
      <c r="C135">
        <v>31028985</v>
      </c>
      <c r="D135">
        <v>29152054</v>
      </c>
      <c r="E135">
        <v>1</v>
      </c>
      <c r="F135">
        <v>1</v>
      </c>
      <c r="G135">
        <v>1</v>
      </c>
      <c r="H135">
        <v>3</v>
      </c>
      <c r="I135" t="s">
        <v>805</v>
      </c>
      <c r="J135" t="s">
        <v>806</v>
      </c>
      <c r="K135" t="s">
        <v>807</v>
      </c>
      <c r="L135">
        <v>1348</v>
      </c>
      <c r="N135">
        <v>1009</v>
      </c>
      <c r="O135" t="s">
        <v>137</v>
      </c>
      <c r="P135" t="s">
        <v>137</v>
      </c>
      <c r="Q135">
        <v>1000</v>
      </c>
      <c r="W135">
        <v>0</v>
      </c>
      <c r="X135">
        <v>-444487765</v>
      </c>
      <c r="Y135">
        <v>1.9300000000000001E-3</v>
      </c>
      <c r="AA135">
        <v>62829.11</v>
      </c>
      <c r="AB135">
        <v>0</v>
      </c>
      <c r="AC135">
        <v>0</v>
      </c>
      <c r="AD135">
        <v>0</v>
      </c>
      <c r="AE135">
        <v>10183</v>
      </c>
      <c r="AF135">
        <v>0</v>
      </c>
      <c r="AG135">
        <v>0</v>
      </c>
      <c r="AH135">
        <v>0</v>
      </c>
      <c r="AI135">
        <v>6.17</v>
      </c>
      <c r="AJ135">
        <v>1</v>
      </c>
      <c r="AK135">
        <v>1</v>
      </c>
      <c r="AL135">
        <v>1</v>
      </c>
      <c r="AN135">
        <v>0</v>
      </c>
      <c r="AO135">
        <v>1</v>
      </c>
      <c r="AP135">
        <v>0</v>
      </c>
      <c r="AQ135">
        <v>0</v>
      </c>
      <c r="AR135">
        <v>0</v>
      </c>
      <c r="AS135" t="s">
        <v>6</v>
      </c>
      <c r="AT135">
        <v>1.9300000000000001E-3</v>
      </c>
      <c r="AU135" t="s">
        <v>6</v>
      </c>
      <c r="AV135">
        <v>0</v>
      </c>
      <c r="AW135">
        <v>2</v>
      </c>
      <c r="AX135">
        <v>31029013</v>
      </c>
      <c r="AY135">
        <v>1</v>
      </c>
      <c r="AZ135">
        <v>0</v>
      </c>
      <c r="BA135">
        <v>157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X135">
        <f>Y135*Source!I133</f>
        <v>1.1556840000000001E-3</v>
      </c>
      <c r="CY135">
        <f t="shared" si="16"/>
        <v>62829.11</v>
      </c>
      <c r="CZ135">
        <f t="shared" si="17"/>
        <v>10183</v>
      </c>
      <c r="DA135">
        <f t="shared" si="18"/>
        <v>6.17</v>
      </c>
      <c r="DB135">
        <f t="shared" si="19"/>
        <v>19.649999999999999</v>
      </c>
      <c r="DC135">
        <f t="shared" si="20"/>
        <v>0</v>
      </c>
    </row>
    <row r="136" spans="1:107">
      <c r="A136">
        <f>ROW(Source!A133)</f>
        <v>133</v>
      </c>
      <c r="B136">
        <v>31028412</v>
      </c>
      <c r="C136">
        <v>31028985</v>
      </c>
      <c r="D136">
        <v>29157674</v>
      </c>
      <c r="E136">
        <v>1</v>
      </c>
      <c r="F136">
        <v>1</v>
      </c>
      <c r="G136">
        <v>1</v>
      </c>
      <c r="H136">
        <v>3</v>
      </c>
      <c r="I136" t="s">
        <v>808</v>
      </c>
      <c r="J136" t="s">
        <v>809</v>
      </c>
      <c r="K136" t="s">
        <v>810</v>
      </c>
      <c r="L136">
        <v>1296</v>
      </c>
      <c r="N136">
        <v>1002</v>
      </c>
      <c r="O136" t="s">
        <v>142</v>
      </c>
      <c r="P136" t="s">
        <v>142</v>
      </c>
      <c r="Q136">
        <v>1</v>
      </c>
      <c r="W136">
        <v>0</v>
      </c>
      <c r="X136">
        <v>1606941307</v>
      </c>
      <c r="Y136">
        <v>54</v>
      </c>
      <c r="AA136">
        <v>311.52</v>
      </c>
      <c r="AB136">
        <v>0</v>
      </c>
      <c r="AC136">
        <v>0</v>
      </c>
      <c r="AD136">
        <v>0</v>
      </c>
      <c r="AE136">
        <v>50.49</v>
      </c>
      <c r="AF136">
        <v>0</v>
      </c>
      <c r="AG136">
        <v>0</v>
      </c>
      <c r="AH136">
        <v>0</v>
      </c>
      <c r="AI136">
        <v>6.17</v>
      </c>
      <c r="AJ136">
        <v>1</v>
      </c>
      <c r="AK136">
        <v>1</v>
      </c>
      <c r="AL136">
        <v>1</v>
      </c>
      <c r="AN136">
        <v>0</v>
      </c>
      <c r="AO136">
        <v>1</v>
      </c>
      <c r="AP136">
        <v>0</v>
      </c>
      <c r="AQ136">
        <v>0</v>
      </c>
      <c r="AR136">
        <v>0</v>
      </c>
      <c r="AS136" t="s">
        <v>6</v>
      </c>
      <c r="AT136">
        <v>54</v>
      </c>
      <c r="AU136" t="s">
        <v>6</v>
      </c>
      <c r="AV136">
        <v>0</v>
      </c>
      <c r="AW136">
        <v>2</v>
      </c>
      <c r="AX136">
        <v>31029014</v>
      </c>
      <c r="AY136">
        <v>1</v>
      </c>
      <c r="AZ136">
        <v>0</v>
      </c>
      <c r="BA136">
        <v>158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X136">
        <f>Y136*Source!I133</f>
        <v>32.3352</v>
      </c>
      <c r="CY136">
        <f t="shared" si="16"/>
        <v>311.52</v>
      </c>
      <c r="CZ136">
        <f t="shared" si="17"/>
        <v>50.49</v>
      </c>
      <c r="DA136">
        <f t="shared" si="18"/>
        <v>6.17</v>
      </c>
      <c r="DB136">
        <f t="shared" si="19"/>
        <v>2726.46</v>
      </c>
      <c r="DC136">
        <f t="shared" si="20"/>
        <v>0</v>
      </c>
    </row>
    <row r="137" spans="1:107">
      <c r="A137">
        <f>ROW(Source!A133)</f>
        <v>133</v>
      </c>
      <c r="B137">
        <v>31028412</v>
      </c>
      <c r="C137">
        <v>31028985</v>
      </c>
      <c r="D137">
        <v>29157993</v>
      </c>
      <c r="E137">
        <v>1</v>
      </c>
      <c r="F137">
        <v>1</v>
      </c>
      <c r="G137">
        <v>1</v>
      </c>
      <c r="H137">
        <v>3</v>
      </c>
      <c r="I137" t="s">
        <v>811</v>
      </c>
      <c r="J137" t="s">
        <v>812</v>
      </c>
      <c r="K137" t="s">
        <v>813</v>
      </c>
      <c r="L137">
        <v>1035</v>
      </c>
      <c r="N137">
        <v>1013</v>
      </c>
      <c r="O137" t="s">
        <v>292</v>
      </c>
      <c r="P137" t="s">
        <v>292</v>
      </c>
      <c r="Q137">
        <v>1</v>
      </c>
      <c r="W137">
        <v>0</v>
      </c>
      <c r="X137">
        <v>-1257397784</v>
      </c>
      <c r="Y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6.17</v>
      </c>
      <c r="AJ137">
        <v>1</v>
      </c>
      <c r="AK137">
        <v>1</v>
      </c>
      <c r="AL137">
        <v>1</v>
      </c>
      <c r="AN137">
        <v>1</v>
      </c>
      <c r="AO137">
        <v>0</v>
      </c>
      <c r="AP137">
        <v>0</v>
      </c>
      <c r="AQ137">
        <v>0</v>
      </c>
      <c r="AR137">
        <v>0</v>
      </c>
      <c r="AS137" t="s">
        <v>6</v>
      </c>
      <c r="AT137">
        <v>0</v>
      </c>
      <c r="AU137" t="s">
        <v>6</v>
      </c>
      <c r="AV137">
        <v>0</v>
      </c>
      <c r="AW137">
        <v>2</v>
      </c>
      <c r="AX137">
        <v>31029015</v>
      </c>
      <c r="AY137">
        <v>1</v>
      </c>
      <c r="AZ137">
        <v>0</v>
      </c>
      <c r="BA137">
        <v>159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X137">
        <f>Y137*Source!I133</f>
        <v>0</v>
      </c>
      <c r="CY137">
        <f t="shared" si="16"/>
        <v>0</v>
      </c>
      <c r="CZ137">
        <f t="shared" si="17"/>
        <v>0</v>
      </c>
      <c r="DA137">
        <f t="shared" si="18"/>
        <v>6.17</v>
      </c>
      <c r="DB137">
        <f t="shared" si="19"/>
        <v>0</v>
      </c>
      <c r="DC137">
        <f t="shared" si="20"/>
        <v>0</v>
      </c>
    </row>
    <row r="138" spans="1:107">
      <c r="A138">
        <f>ROW(Source!A133)</f>
        <v>133</v>
      </c>
      <c r="B138">
        <v>31028412</v>
      </c>
      <c r="C138">
        <v>31028985</v>
      </c>
      <c r="D138">
        <v>29186570</v>
      </c>
      <c r="E138">
        <v>1</v>
      </c>
      <c r="F138">
        <v>1</v>
      </c>
      <c r="G138">
        <v>1</v>
      </c>
      <c r="H138">
        <v>3</v>
      </c>
      <c r="I138" t="s">
        <v>814</v>
      </c>
      <c r="J138" t="s">
        <v>815</v>
      </c>
      <c r="K138" t="s">
        <v>816</v>
      </c>
      <c r="L138">
        <v>1339</v>
      </c>
      <c r="N138">
        <v>1007</v>
      </c>
      <c r="O138" t="s">
        <v>109</v>
      </c>
      <c r="P138" t="s">
        <v>109</v>
      </c>
      <c r="Q138">
        <v>1</v>
      </c>
      <c r="W138">
        <v>0</v>
      </c>
      <c r="X138">
        <v>451862466</v>
      </c>
      <c r="Y138">
        <v>9.6000000000000002E-2</v>
      </c>
      <c r="AA138">
        <v>2939.02</v>
      </c>
      <c r="AB138">
        <v>0</v>
      </c>
      <c r="AC138">
        <v>0</v>
      </c>
      <c r="AD138">
        <v>0</v>
      </c>
      <c r="AE138">
        <v>476.34</v>
      </c>
      <c r="AF138">
        <v>0</v>
      </c>
      <c r="AG138">
        <v>0</v>
      </c>
      <c r="AH138">
        <v>0</v>
      </c>
      <c r="AI138">
        <v>6.17</v>
      </c>
      <c r="AJ138">
        <v>1</v>
      </c>
      <c r="AK138">
        <v>1</v>
      </c>
      <c r="AL138">
        <v>1</v>
      </c>
      <c r="AN138">
        <v>0</v>
      </c>
      <c r="AO138">
        <v>1</v>
      </c>
      <c r="AP138">
        <v>0</v>
      </c>
      <c r="AQ138">
        <v>0</v>
      </c>
      <c r="AR138">
        <v>0</v>
      </c>
      <c r="AS138" t="s">
        <v>6</v>
      </c>
      <c r="AT138">
        <v>9.6000000000000002E-2</v>
      </c>
      <c r="AU138" t="s">
        <v>6</v>
      </c>
      <c r="AV138">
        <v>0</v>
      </c>
      <c r="AW138">
        <v>2</v>
      </c>
      <c r="AX138">
        <v>31029017</v>
      </c>
      <c r="AY138">
        <v>1</v>
      </c>
      <c r="AZ138">
        <v>0</v>
      </c>
      <c r="BA138">
        <v>161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X138">
        <f>Y138*Source!I133</f>
        <v>5.7484800000000003E-2</v>
      </c>
      <c r="CY138">
        <f t="shared" si="16"/>
        <v>2939.02</v>
      </c>
      <c r="CZ138">
        <f t="shared" si="17"/>
        <v>476.34</v>
      </c>
      <c r="DA138">
        <f t="shared" si="18"/>
        <v>6.17</v>
      </c>
      <c r="DB138">
        <f t="shared" si="19"/>
        <v>45.73</v>
      </c>
      <c r="DC138">
        <f t="shared" si="20"/>
        <v>0</v>
      </c>
    </row>
    <row r="139" spans="1:107">
      <c r="A139">
        <f>ROW(Source!A133)</f>
        <v>133</v>
      </c>
      <c r="B139">
        <v>31028412</v>
      </c>
      <c r="C139">
        <v>31028985</v>
      </c>
      <c r="D139">
        <v>29194450</v>
      </c>
      <c r="E139">
        <v>1</v>
      </c>
      <c r="F139">
        <v>1</v>
      </c>
      <c r="G139">
        <v>1</v>
      </c>
      <c r="H139">
        <v>3</v>
      </c>
      <c r="I139" t="s">
        <v>817</v>
      </c>
      <c r="J139" t="s">
        <v>818</v>
      </c>
      <c r="K139" t="s">
        <v>819</v>
      </c>
      <c r="L139">
        <v>1348</v>
      </c>
      <c r="N139">
        <v>1009</v>
      </c>
      <c r="O139" t="s">
        <v>137</v>
      </c>
      <c r="P139" t="s">
        <v>137</v>
      </c>
      <c r="Q139">
        <v>1000</v>
      </c>
      <c r="W139">
        <v>0</v>
      </c>
      <c r="X139">
        <v>1536930468</v>
      </c>
      <c r="Y139">
        <v>3.0200000000000001E-2</v>
      </c>
      <c r="AA139">
        <v>4497.8100000000004</v>
      </c>
      <c r="AB139">
        <v>0</v>
      </c>
      <c r="AC139">
        <v>0</v>
      </c>
      <c r="AD139">
        <v>0</v>
      </c>
      <c r="AE139">
        <v>728.98</v>
      </c>
      <c r="AF139">
        <v>0</v>
      </c>
      <c r="AG139">
        <v>0</v>
      </c>
      <c r="AH139">
        <v>0</v>
      </c>
      <c r="AI139">
        <v>6.17</v>
      </c>
      <c r="AJ139">
        <v>1</v>
      </c>
      <c r="AK139">
        <v>1</v>
      </c>
      <c r="AL139">
        <v>1</v>
      </c>
      <c r="AN139">
        <v>0</v>
      </c>
      <c r="AO139">
        <v>1</v>
      </c>
      <c r="AP139">
        <v>0</v>
      </c>
      <c r="AQ139">
        <v>0</v>
      </c>
      <c r="AR139">
        <v>0</v>
      </c>
      <c r="AS139" t="s">
        <v>6</v>
      </c>
      <c r="AT139">
        <v>3.0200000000000001E-2</v>
      </c>
      <c r="AU139" t="s">
        <v>6</v>
      </c>
      <c r="AV139">
        <v>0</v>
      </c>
      <c r="AW139">
        <v>2</v>
      </c>
      <c r="AX139">
        <v>31029018</v>
      </c>
      <c r="AY139">
        <v>1</v>
      </c>
      <c r="AZ139">
        <v>0</v>
      </c>
      <c r="BA139">
        <v>162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X139">
        <f>Y139*Source!I133</f>
        <v>1.8083760000000001E-2</v>
      </c>
      <c r="CY139">
        <f t="shared" si="16"/>
        <v>4497.8100000000004</v>
      </c>
      <c r="CZ139">
        <f t="shared" si="17"/>
        <v>728.98</v>
      </c>
      <c r="DA139">
        <f t="shared" si="18"/>
        <v>6.17</v>
      </c>
      <c r="DB139">
        <f t="shared" si="19"/>
        <v>22.02</v>
      </c>
      <c r="DC139">
        <f t="shared" si="20"/>
        <v>0</v>
      </c>
    </row>
    <row r="140" spans="1:107">
      <c r="A140">
        <f>ROW(Source!A138)</f>
        <v>138</v>
      </c>
      <c r="B140">
        <v>31028412</v>
      </c>
      <c r="C140">
        <v>31029023</v>
      </c>
      <c r="D140">
        <v>29084584</v>
      </c>
      <c r="E140">
        <v>1</v>
      </c>
      <c r="F140">
        <v>1</v>
      </c>
      <c r="G140">
        <v>1</v>
      </c>
      <c r="H140">
        <v>1</v>
      </c>
      <c r="I140" t="s">
        <v>898</v>
      </c>
      <c r="J140" t="s">
        <v>6</v>
      </c>
      <c r="K140" t="s">
        <v>899</v>
      </c>
      <c r="L140">
        <v>1369</v>
      </c>
      <c r="N140">
        <v>1013</v>
      </c>
      <c r="O140" t="s">
        <v>773</v>
      </c>
      <c r="P140" t="s">
        <v>773</v>
      </c>
      <c r="Q140">
        <v>1</v>
      </c>
      <c r="W140">
        <v>0</v>
      </c>
      <c r="X140">
        <v>-855355929</v>
      </c>
      <c r="Y140">
        <v>60.081174999999988</v>
      </c>
      <c r="AA140">
        <v>0</v>
      </c>
      <c r="AB140">
        <v>0</v>
      </c>
      <c r="AC140">
        <v>0</v>
      </c>
      <c r="AD140">
        <v>201.75</v>
      </c>
      <c r="AE140">
        <v>0</v>
      </c>
      <c r="AF140">
        <v>0</v>
      </c>
      <c r="AG140">
        <v>0</v>
      </c>
      <c r="AH140">
        <v>8.33</v>
      </c>
      <c r="AI140">
        <v>1</v>
      </c>
      <c r="AJ140">
        <v>1</v>
      </c>
      <c r="AK140">
        <v>1</v>
      </c>
      <c r="AL140">
        <v>24.22</v>
      </c>
      <c r="AN140">
        <v>0</v>
      </c>
      <c r="AO140">
        <v>1</v>
      </c>
      <c r="AP140">
        <v>1</v>
      </c>
      <c r="AQ140">
        <v>0</v>
      </c>
      <c r="AR140">
        <v>0</v>
      </c>
      <c r="AS140" t="s">
        <v>6</v>
      </c>
      <c r="AT140">
        <v>45.43</v>
      </c>
      <c r="AU140" t="s">
        <v>127</v>
      </c>
      <c r="AV140">
        <v>1</v>
      </c>
      <c r="AW140">
        <v>2</v>
      </c>
      <c r="AX140">
        <v>31029037</v>
      </c>
      <c r="AY140">
        <v>1</v>
      </c>
      <c r="AZ140">
        <v>0</v>
      </c>
      <c r="BA140">
        <v>163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X140">
        <f>Y140*Source!I138</f>
        <v>19.706625399999997</v>
      </c>
      <c r="CY140">
        <f>AD140</f>
        <v>201.75</v>
      </c>
      <c r="CZ140">
        <f>AH140</f>
        <v>8.33</v>
      </c>
      <c r="DA140">
        <f>AL140</f>
        <v>24.22</v>
      </c>
      <c r="DB140">
        <f>ROUND((ROUND(AT140*CZ140,2)*ROUND((1.15*1.15),7)),6)</f>
        <v>500.47367500000001</v>
      </c>
      <c r="DC140">
        <f>ROUND((ROUND(AT140*AG140,2)*ROUND((1.15*1.15),7)),6)</f>
        <v>0</v>
      </c>
    </row>
    <row r="141" spans="1:107">
      <c r="A141">
        <f>ROW(Source!A138)</f>
        <v>138</v>
      </c>
      <c r="B141">
        <v>31028412</v>
      </c>
      <c r="C141">
        <v>31029023</v>
      </c>
      <c r="D141">
        <v>29084573</v>
      </c>
      <c r="E141">
        <v>1</v>
      </c>
      <c r="F141">
        <v>1</v>
      </c>
      <c r="G141">
        <v>1</v>
      </c>
      <c r="H141">
        <v>1</v>
      </c>
      <c r="I141" t="s">
        <v>774</v>
      </c>
      <c r="J141" t="s">
        <v>6</v>
      </c>
      <c r="K141" t="s">
        <v>775</v>
      </c>
      <c r="L141">
        <v>608254</v>
      </c>
      <c r="N141">
        <v>1013</v>
      </c>
      <c r="O141" t="s">
        <v>776</v>
      </c>
      <c r="P141" t="s">
        <v>776</v>
      </c>
      <c r="Q141">
        <v>1</v>
      </c>
      <c r="W141">
        <v>0</v>
      </c>
      <c r="X141">
        <v>95408949</v>
      </c>
      <c r="Y141">
        <v>0.15812499999999999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1</v>
      </c>
      <c r="AJ141">
        <v>1</v>
      </c>
      <c r="AK141">
        <v>24.22</v>
      </c>
      <c r="AL141">
        <v>1</v>
      </c>
      <c r="AN141">
        <v>0</v>
      </c>
      <c r="AO141">
        <v>1</v>
      </c>
      <c r="AP141">
        <v>1</v>
      </c>
      <c r="AQ141">
        <v>0</v>
      </c>
      <c r="AR141">
        <v>0</v>
      </c>
      <c r="AS141" t="s">
        <v>6</v>
      </c>
      <c r="AT141">
        <v>0.11</v>
      </c>
      <c r="AU141" t="s">
        <v>126</v>
      </c>
      <c r="AV141">
        <v>2</v>
      </c>
      <c r="AW141">
        <v>2</v>
      </c>
      <c r="AX141">
        <v>31029038</v>
      </c>
      <c r="AY141">
        <v>1</v>
      </c>
      <c r="AZ141">
        <v>0</v>
      </c>
      <c r="BA141">
        <v>164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X141">
        <f>Y141*Source!I138</f>
        <v>5.1865000000000001E-2</v>
      </c>
      <c r="CY141">
        <f>AD141</f>
        <v>0</v>
      </c>
      <c r="CZ141">
        <f>AH141</f>
        <v>0</v>
      </c>
      <c r="DA141">
        <f>AL141</f>
        <v>1</v>
      </c>
      <c r="DB141">
        <f>ROUND((ROUND(AT141*CZ141,2)*ROUND((1.25*1.15),7)),6)</f>
        <v>0</v>
      </c>
      <c r="DC141">
        <f>ROUND((ROUND(AT141*AG141,2)*ROUND((1.25*1.15),7)),6)</f>
        <v>0</v>
      </c>
    </row>
    <row r="142" spans="1:107">
      <c r="A142">
        <f>ROW(Source!A138)</f>
        <v>138</v>
      </c>
      <c r="B142">
        <v>31028412</v>
      </c>
      <c r="C142">
        <v>31029023</v>
      </c>
      <c r="D142">
        <v>29147520</v>
      </c>
      <c r="E142">
        <v>1</v>
      </c>
      <c r="F142">
        <v>1</v>
      </c>
      <c r="G142">
        <v>1</v>
      </c>
      <c r="H142">
        <v>2</v>
      </c>
      <c r="I142" t="s">
        <v>777</v>
      </c>
      <c r="J142" t="s">
        <v>778</v>
      </c>
      <c r="K142" t="s">
        <v>779</v>
      </c>
      <c r="L142">
        <v>1368</v>
      </c>
      <c r="N142">
        <v>1011</v>
      </c>
      <c r="O142" t="s">
        <v>780</v>
      </c>
      <c r="P142" t="s">
        <v>780</v>
      </c>
      <c r="Q142">
        <v>1</v>
      </c>
      <c r="W142">
        <v>0</v>
      </c>
      <c r="X142">
        <v>-2048414082</v>
      </c>
      <c r="Y142">
        <v>0.15812499999999999</v>
      </c>
      <c r="AA142">
        <v>0</v>
      </c>
      <c r="AB142">
        <v>656.51</v>
      </c>
      <c r="AC142">
        <v>315.58999999999997</v>
      </c>
      <c r="AD142">
        <v>0</v>
      </c>
      <c r="AE142">
        <v>0</v>
      </c>
      <c r="AF142">
        <v>85.93</v>
      </c>
      <c r="AG142">
        <v>13.03</v>
      </c>
      <c r="AH142">
        <v>0</v>
      </c>
      <c r="AI142">
        <v>1</v>
      </c>
      <c r="AJ142">
        <v>7.64</v>
      </c>
      <c r="AK142">
        <v>24.22</v>
      </c>
      <c r="AL142">
        <v>1</v>
      </c>
      <c r="AN142">
        <v>0</v>
      </c>
      <c r="AO142">
        <v>1</v>
      </c>
      <c r="AP142">
        <v>1</v>
      </c>
      <c r="AQ142">
        <v>0</v>
      </c>
      <c r="AR142">
        <v>0</v>
      </c>
      <c r="AS142" t="s">
        <v>6</v>
      </c>
      <c r="AT142">
        <v>0.11</v>
      </c>
      <c r="AU142" t="s">
        <v>126</v>
      </c>
      <c r="AV142">
        <v>0</v>
      </c>
      <c r="AW142">
        <v>2</v>
      </c>
      <c r="AX142">
        <v>31029039</v>
      </c>
      <c r="AY142">
        <v>1</v>
      </c>
      <c r="AZ142">
        <v>0</v>
      </c>
      <c r="BA142">
        <v>165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X142">
        <f>Y142*Source!I138</f>
        <v>5.1865000000000001E-2</v>
      </c>
      <c r="CY142">
        <f>AB142</f>
        <v>656.51</v>
      </c>
      <c r="CZ142">
        <f>AF142</f>
        <v>85.93</v>
      </c>
      <c r="DA142">
        <f>AJ142</f>
        <v>7.64</v>
      </c>
      <c r="DB142">
        <f>ROUND((ROUND(AT142*CZ142,2)*ROUND((1.25*1.15),7)),6)</f>
        <v>13.584375</v>
      </c>
      <c r="DC142">
        <f>ROUND((ROUND(AT142*AG142,2)*ROUND((1.25*1.15),7)),6)</f>
        <v>2.055625</v>
      </c>
    </row>
    <row r="143" spans="1:107">
      <c r="A143">
        <f>ROW(Source!A138)</f>
        <v>138</v>
      </c>
      <c r="B143">
        <v>31028412</v>
      </c>
      <c r="C143">
        <v>31029023</v>
      </c>
      <c r="D143">
        <v>29148219</v>
      </c>
      <c r="E143">
        <v>1</v>
      </c>
      <c r="F143">
        <v>1</v>
      </c>
      <c r="G143">
        <v>1</v>
      </c>
      <c r="H143">
        <v>2</v>
      </c>
      <c r="I143" t="s">
        <v>784</v>
      </c>
      <c r="J143" t="s">
        <v>785</v>
      </c>
      <c r="K143" t="s">
        <v>786</v>
      </c>
      <c r="L143">
        <v>1368</v>
      </c>
      <c r="N143">
        <v>1011</v>
      </c>
      <c r="O143" t="s">
        <v>780</v>
      </c>
      <c r="P143" t="s">
        <v>780</v>
      </c>
      <c r="Q143">
        <v>1</v>
      </c>
      <c r="W143">
        <v>0</v>
      </c>
      <c r="X143">
        <v>-1347779909</v>
      </c>
      <c r="Y143">
        <v>1.4375</v>
      </c>
      <c r="AA143">
        <v>0</v>
      </c>
      <c r="AB143">
        <v>229.2</v>
      </c>
      <c r="AC143">
        <v>0</v>
      </c>
      <c r="AD143">
        <v>0</v>
      </c>
      <c r="AE143">
        <v>0</v>
      </c>
      <c r="AF143">
        <v>30</v>
      </c>
      <c r="AG143">
        <v>0</v>
      </c>
      <c r="AH143">
        <v>0</v>
      </c>
      <c r="AI143">
        <v>1</v>
      </c>
      <c r="AJ143">
        <v>7.64</v>
      </c>
      <c r="AK143">
        <v>24.22</v>
      </c>
      <c r="AL143">
        <v>1</v>
      </c>
      <c r="AN143">
        <v>0</v>
      </c>
      <c r="AO143">
        <v>1</v>
      </c>
      <c r="AP143">
        <v>1</v>
      </c>
      <c r="AQ143">
        <v>0</v>
      </c>
      <c r="AR143">
        <v>0</v>
      </c>
      <c r="AS143" t="s">
        <v>6</v>
      </c>
      <c r="AT143">
        <v>1</v>
      </c>
      <c r="AU143" t="s">
        <v>126</v>
      </c>
      <c r="AV143">
        <v>0</v>
      </c>
      <c r="AW143">
        <v>2</v>
      </c>
      <c r="AX143">
        <v>31029040</v>
      </c>
      <c r="AY143">
        <v>1</v>
      </c>
      <c r="AZ143">
        <v>0</v>
      </c>
      <c r="BA143">
        <v>166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X143">
        <f>Y143*Source!I138</f>
        <v>0.47150000000000003</v>
      </c>
      <c r="CY143">
        <f>AB143</f>
        <v>229.2</v>
      </c>
      <c r="CZ143">
        <f>AF143</f>
        <v>30</v>
      </c>
      <c r="DA143">
        <f>AJ143</f>
        <v>7.64</v>
      </c>
      <c r="DB143">
        <f>ROUND((ROUND(AT143*CZ143,2)*ROUND((1.25*1.15),7)),6)</f>
        <v>43.125</v>
      </c>
      <c r="DC143">
        <f>ROUND((ROUND(AT143*AG143,2)*ROUND((1.25*1.15),7)),6)</f>
        <v>0</v>
      </c>
    </row>
    <row r="144" spans="1:107">
      <c r="A144">
        <f>ROW(Source!A138)</f>
        <v>138</v>
      </c>
      <c r="B144">
        <v>31028412</v>
      </c>
      <c r="C144">
        <v>31029023</v>
      </c>
      <c r="D144">
        <v>29149520</v>
      </c>
      <c r="E144">
        <v>1</v>
      </c>
      <c r="F144">
        <v>1</v>
      </c>
      <c r="G144">
        <v>1</v>
      </c>
      <c r="H144">
        <v>2</v>
      </c>
      <c r="I144" t="s">
        <v>790</v>
      </c>
      <c r="J144" t="s">
        <v>791</v>
      </c>
      <c r="K144" t="s">
        <v>792</v>
      </c>
      <c r="L144">
        <v>1368</v>
      </c>
      <c r="N144">
        <v>1011</v>
      </c>
      <c r="O144" t="s">
        <v>780</v>
      </c>
      <c r="P144" t="s">
        <v>780</v>
      </c>
      <c r="Q144">
        <v>1</v>
      </c>
      <c r="W144">
        <v>0</v>
      </c>
      <c r="X144">
        <v>-1931461795</v>
      </c>
      <c r="Y144">
        <v>0.21562499999999998</v>
      </c>
      <c r="AA144">
        <v>0</v>
      </c>
      <c r="AB144">
        <v>699.98</v>
      </c>
      <c r="AC144">
        <v>0</v>
      </c>
      <c r="AD144">
        <v>0</v>
      </c>
      <c r="AE144">
        <v>0</v>
      </c>
      <c r="AF144">
        <v>91.62</v>
      </c>
      <c r="AG144">
        <v>0</v>
      </c>
      <c r="AH144">
        <v>0</v>
      </c>
      <c r="AI144">
        <v>1</v>
      </c>
      <c r="AJ144">
        <v>7.64</v>
      </c>
      <c r="AK144">
        <v>24.22</v>
      </c>
      <c r="AL144">
        <v>1</v>
      </c>
      <c r="AN144">
        <v>0</v>
      </c>
      <c r="AO144">
        <v>1</v>
      </c>
      <c r="AP144">
        <v>1</v>
      </c>
      <c r="AQ144">
        <v>0</v>
      </c>
      <c r="AR144">
        <v>0</v>
      </c>
      <c r="AS144" t="s">
        <v>6</v>
      </c>
      <c r="AT144">
        <v>0.15</v>
      </c>
      <c r="AU144" t="s">
        <v>126</v>
      </c>
      <c r="AV144">
        <v>0</v>
      </c>
      <c r="AW144">
        <v>2</v>
      </c>
      <c r="AX144">
        <v>31029041</v>
      </c>
      <c r="AY144">
        <v>1</v>
      </c>
      <c r="AZ144">
        <v>0</v>
      </c>
      <c r="BA144">
        <v>167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X144">
        <f>Y144*Source!I138</f>
        <v>7.0724999999999996E-2</v>
      </c>
      <c r="CY144">
        <f>AB144</f>
        <v>699.98</v>
      </c>
      <c r="CZ144">
        <f>AF144</f>
        <v>91.62</v>
      </c>
      <c r="DA144">
        <f>AJ144</f>
        <v>7.64</v>
      </c>
      <c r="DB144">
        <f>ROUND((ROUND(AT144*CZ144,2)*ROUND((1.25*1.15),7)),6)</f>
        <v>19.751249999999999</v>
      </c>
      <c r="DC144">
        <f>ROUND((ROUND(AT144*AG144,2)*ROUND((1.25*1.15),7)),6)</f>
        <v>0</v>
      </c>
    </row>
    <row r="145" spans="1:107">
      <c r="A145">
        <f>ROW(Source!A138)</f>
        <v>138</v>
      </c>
      <c r="B145">
        <v>31028412</v>
      </c>
      <c r="C145">
        <v>31029023</v>
      </c>
      <c r="D145">
        <v>29151859</v>
      </c>
      <c r="E145">
        <v>1</v>
      </c>
      <c r="F145">
        <v>1</v>
      </c>
      <c r="G145">
        <v>1</v>
      </c>
      <c r="H145">
        <v>3</v>
      </c>
      <c r="I145" t="s">
        <v>799</v>
      </c>
      <c r="J145" t="s">
        <v>800</v>
      </c>
      <c r="K145" t="s">
        <v>801</v>
      </c>
      <c r="L145">
        <v>1348</v>
      </c>
      <c r="N145">
        <v>1009</v>
      </c>
      <c r="O145" t="s">
        <v>137</v>
      </c>
      <c r="P145" t="s">
        <v>137</v>
      </c>
      <c r="Q145">
        <v>1000</v>
      </c>
      <c r="W145">
        <v>0</v>
      </c>
      <c r="X145">
        <v>-1890625626</v>
      </c>
      <c r="Y145">
        <v>4.0000000000000001E-3</v>
      </c>
      <c r="AA145">
        <v>7501.49</v>
      </c>
      <c r="AB145">
        <v>0</v>
      </c>
      <c r="AC145">
        <v>0</v>
      </c>
      <c r="AD145">
        <v>0</v>
      </c>
      <c r="AE145">
        <v>1215.8</v>
      </c>
      <c r="AF145">
        <v>0</v>
      </c>
      <c r="AG145">
        <v>0</v>
      </c>
      <c r="AH145">
        <v>0</v>
      </c>
      <c r="AI145">
        <v>6.17</v>
      </c>
      <c r="AJ145">
        <v>1</v>
      </c>
      <c r="AK145">
        <v>1</v>
      </c>
      <c r="AL145">
        <v>1</v>
      </c>
      <c r="AN145">
        <v>0</v>
      </c>
      <c r="AO145">
        <v>1</v>
      </c>
      <c r="AP145">
        <v>0</v>
      </c>
      <c r="AQ145">
        <v>0</v>
      </c>
      <c r="AR145">
        <v>0</v>
      </c>
      <c r="AS145" t="s">
        <v>6</v>
      </c>
      <c r="AT145">
        <v>4.0000000000000001E-3</v>
      </c>
      <c r="AU145" t="s">
        <v>6</v>
      </c>
      <c r="AV145">
        <v>0</v>
      </c>
      <c r="AW145">
        <v>2</v>
      </c>
      <c r="AX145">
        <v>31029042</v>
      </c>
      <c r="AY145">
        <v>1</v>
      </c>
      <c r="AZ145">
        <v>0</v>
      </c>
      <c r="BA145">
        <v>168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X145">
        <f>Y145*Source!I138</f>
        <v>1.312E-3</v>
      </c>
      <c r="CY145">
        <f t="shared" ref="CY145:CY152" si="21">AA145</f>
        <v>7501.49</v>
      </c>
      <c r="CZ145">
        <f t="shared" ref="CZ145:CZ152" si="22">AE145</f>
        <v>1215.8</v>
      </c>
      <c r="DA145">
        <f t="shared" ref="DA145:DA152" si="23">AI145</f>
        <v>6.17</v>
      </c>
      <c r="DB145">
        <f t="shared" ref="DB145:DB152" si="24">ROUND(ROUND(AT145*CZ145,2),6)</f>
        <v>4.8600000000000003</v>
      </c>
      <c r="DC145">
        <f t="shared" ref="DC145:DC152" si="25">ROUND(ROUND(AT145*AG145,2),6)</f>
        <v>0</v>
      </c>
    </row>
    <row r="146" spans="1:107">
      <c r="A146">
        <f>ROW(Source!A138)</f>
        <v>138</v>
      </c>
      <c r="B146">
        <v>31028412</v>
      </c>
      <c r="C146">
        <v>31029023</v>
      </c>
      <c r="D146">
        <v>29151963</v>
      </c>
      <c r="E146">
        <v>1</v>
      </c>
      <c r="F146">
        <v>1</v>
      </c>
      <c r="G146">
        <v>1</v>
      </c>
      <c r="H146">
        <v>3</v>
      </c>
      <c r="I146" t="s">
        <v>900</v>
      </c>
      <c r="J146" t="s">
        <v>901</v>
      </c>
      <c r="K146" t="s">
        <v>902</v>
      </c>
      <c r="L146">
        <v>1348</v>
      </c>
      <c r="N146">
        <v>1009</v>
      </c>
      <c r="O146" t="s">
        <v>137</v>
      </c>
      <c r="P146" t="s">
        <v>137</v>
      </c>
      <c r="Q146">
        <v>1000</v>
      </c>
      <c r="W146">
        <v>0</v>
      </c>
      <c r="X146">
        <v>1787889817</v>
      </c>
      <c r="Y146">
        <v>3.5000000000000003E-2</v>
      </c>
      <c r="AA146">
        <v>61700</v>
      </c>
      <c r="AB146">
        <v>0</v>
      </c>
      <c r="AC146">
        <v>0</v>
      </c>
      <c r="AD146">
        <v>0</v>
      </c>
      <c r="AE146">
        <v>10000</v>
      </c>
      <c r="AF146">
        <v>0</v>
      </c>
      <c r="AG146">
        <v>0</v>
      </c>
      <c r="AH146">
        <v>0</v>
      </c>
      <c r="AI146">
        <v>6.17</v>
      </c>
      <c r="AJ146">
        <v>1</v>
      </c>
      <c r="AK146">
        <v>1</v>
      </c>
      <c r="AL146">
        <v>1</v>
      </c>
      <c r="AN146">
        <v>0</v>
      </c>
      <c r="AO146">
        <v>1</v>
      </c>
      <c r="AP146">
        <v>0</v>
      </c>
      <c r="AQ146">
        <v>0</v>
      </c>
      <c r="AR146">
        <v>0</v>
      </c>
      <c r="AS146" t="s">
        <v>6</v>
      </c>
      <c r="AT146">
        <v>3.5000000000000003E-2</v>
      </c>
      <c r="AU146" t="s">
        <v>6</v>
      </c>
      <c r="AV146">
        <v>0</v>
      </c>
      <c r="AW146">
        <v>2</v>
      </c>
      <c r="AX146">
        <v>31029043</v>
      </c>
      <c r="AY146">
        <v>1</v>
      </c>
      <c r="AZ146">
        <v>0</v>
      </c>
      <c r="BA146">
        <v>169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X146">
        <f>Y146*Source!I138</f>
        <v>1.1480000000000002E-2</v>
      </c>
      <c r="CY146">
        <f t="shared" si="21"/>
        <v>61700</v>
      </c>
      <c r="CZ146">
        <f t="shared" si="22"/>
        <v>10000</v>
      </c>
      <c r="DA146">
        <f t="shared" si="23"/>
        <v>6.17</v>
      </c>
      <c r="DB146">
        <f t="shared" si="24"/>
        <v>350</v>
      </c>
      <c r="DC146">
        <f t="shared" si="25"/>
        <v>0</v>
      </c>
    </row>
    <row r="147" spans="1:107">
      <c r="A147">
        <f>ROW(Source!A138)</f>
        <v>138</v>
      </c>
      <c r="B147">
        <v>31028412</v>
      </c>
      <c r="C147">
        <v>31029023</v>
      </c>
      <c r="D147">
        <v>29151997</v>
      </c>
      <c r="E147">
        <v>1</v>
      </c>
      <c r="F147">
        <v>1</v>
      </c>
      <c r="G147">
        <v>1</v>
      </c>
      <c r="H147">
        <v>3</v>
      </c>
      <c r="I147" t="s">
        <v>802</v>
      </c>
      <c r="J147" t="s">
        <v>803</v>
      </c>
      <c r="K147" t="s">
        <v>804</v>
      </c>
      <c r="L147">
        <v>1327</v>
      </c>
      <c r="N147">
        <v>1005</v>
      </c>
      <c r="O147" t="s">
        <v>284</v>
      </c>
      <c r="P147" t="s">
        <v>284</v>
      </c>
      <c r="Q147">
        <v>1</v>
      </c>
      <c r="W147">
        <v>0</v>
      </c>
      <c r="X147">
        <v>1834989622</v>
      </c>
      <c r="Y147">
        <v>5</v>
      </c>
      <c r="AA147">
        <v>38.07</v>
      </c>
      <c r="AB147">
        <v>0</v>
      </c>
      <c r="AC147">
        <v>0</v>
      </c>
      <c r="AD147">
        <v>0</v>
      </c>
      <c r="AE147">
        <v>6.17</v>
      </c>
      <c r="AF147">
        <v>0</v>
      </c>
      <c r="AG147">
        <v>0</v>
      </c>
      <c r="AH147">
        <v>0</v>
      </c>
      <c r="AI147">
        <v>6.17</v>
      </c>
      <c r="AJ147">
        <v>1</v>
      </c>
      <c r="AK147">
        <v>1</v>
      </c>
      <c r="AL147">
        <v>1</v>
      </c>
      <c r="AN147">
        <v>0</v>
      </c>
      <c r="AO147">
        <v>1</v>
      </c>
      <c r="AP147">
        <v>0</v>
      </c>
      <c r="AQ147">
        <v>0</v>
      </c>
      <c r="AR147">
        <v>0</v>
      </c>
      <c r="AS147" t="s">
        <v>6</v>
      </c>
      <c r="AT147">
        <v>5</v>
      </c>
      <c r="AU147" t="s">
        <v>6</v>
      </c>
      <c r="AV147">
        <v>0</v>
      </c>
      <c r="AW147">
        <v>2</v>
      </c>
      <c r="AX147">
        <v>31029044</v>
      </c>
      <c r="AY147">
        <v>1</v>
      </c>
      <c r="AZ147">
        <v>0</v>
      </c>
      <c r="BA147">
        <v>170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X147">
        <f>Y147*Source!I138</f>
        <v>1.6400000000000001</v>
      </c>
      <c r="CY147">
        <f t="shared" si="21"/>
        <v>38.07</v>
      </c>
      <c r="CZ147">
        <f t="shared" si="22"/>
        <v>6.17</v>
      </c>
      <c r="DA147">
        <f t="shared" si="23"/>
        <v>6.17</v>
      </c>
      <c r="DB147">
        <f t="shared" si="24"/>
        <v>30.85</v>
      </c>
      <c r="DC147">
        <f t="shared" si="25"/>
        <v>0</v>
      </c>
    </row>
    <row r="148" spans="1:107">
      <c r="A148">
        <f>ROW(Source!A138)</f>
        <v>138</v>
      </c>
      <c r="B148">
        <v>31028412</v>
      </c>
      <c r="C148">
        <v>31029023</v>
      </c>
      <c r="D148">
        <v>29152054</v>
      </c>
      <c r="E148">
        <v>1</v>
      </c>
      <c r="F148">
        <v>1</v>
      </c>
      <c r="G148">
        <v>1</v>
      </c>
      <c r="H148">
        <v>3</v>
      </c>
      <c r="I148" t="s">
        <v>805</v>
      </c>
      <c r="J148" t="s">
        <v>806</v>
      </c>
      <c r="K148" t="s">
        <v>807</v>
      </c>
      <c r="L148">
        <v>1348</v>
      </c>
      <c r="N148">
        <v>1009</v>
      </c>
      <c r="O148" t="s">
        <v>137</v>
      </c>
      <c r="P148" t="s">
        <v>137</v>
      </c>
      <c r="Q148">
        <v>1000</v>
      </c>
      <c r="W148">
        <v>0</v>
      </c>
      <c r="X148">
        <v>-444487765</v>
      </c>
      <c r="Y148">
        <v>3.7000000000000002E-3</v>
      </c>
      <c r="AA148">
        <v>62829.11</v>
      </c>
      <c r="AB148">
        <v>0</v>
      </c>
      <c r="AC148">
        <v>0</v>
      </c>
      <c r="AD148">
        <v>0</v>
      </c>
      <c r="AE148">
        <v>10183</v>
      </c>
      <c r="AF148">
        <v>0</v>
      </c>
      <c r="AG148">
        <v>0</v>
      </c>
      <c r="AH148">
        <v>0</v>
      </c>
      <c r="AI148">
        <v>6.17</v>
      </c>
      <c r="AJ148">
        <v>1</v>
      </c>
      <c r="AK148">
        <v>1</v>
      </c>
      <c r="AL148">
        <v>1</v>
      </c>
      <c r="AN148">
        <v>0</v>
      </c>
      <c r="AO148">
        <v>1</v>
      </c>
      <c r="AP148">
        <v>0</v>
      </c>
      <c r="AQ148">
        <v>0</v>
      </c>
      <c r="AR148">
        <v>0</v>
      </c>
      <c r="AS148" t="s">
        <v>6</v>
      </c>
      <c r="AT148">
        <v>3.7000000000000002E-3</v>
      </c>
      <c r="AU148" t="s">
        <v>6</v>
      </c>
      <c r="AV148">
        <v>0</v>
      </c>
      <c r="AW148">
        <v>2</v>
      </c>
      <c r="AX148">
        <v>31029045</v>
      </c>
      <c r="AY148">
        <v>1</v>
      </c>
      <c r="AZ148">
        <v>0</v>
      </c>
      <c r="BA148">
        <v>171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X148">
        <f>Y148*Source!I138</f>
        <v>1.2136E-3</v>
      </c>
      <c r="CY148">
        <f t="shared" si="21"/>
        <v>62829.11</v>
      </c>
      <c r="CZ148">
        <f t="shared" si="22"/>
        <v>10183</v>
      </c>
      <c r="DA148">
        <f t="shared" si="23"/>
        <v>6.17</v>
      </c>
      <c r="DB148">
        <f t="shared" si="24"/>
        <v>37.68</v>
      </c>
      <c r="DC148">
        <f t="shared" si="25"/>
        <v>0</v>
      </c>
    </row>
    <row r="149" spans="1:107">
      <c r="A149">
        <f>ROW(Source!A138)</f>
        <v>138</v>
      </c>
      <c r="B149">
        <v>31028412</v>
      </c>
      <c r="C149">
        <v>31029023</v>
      </c>
      <c r="D149">
        <v>29152514</v>
      </c>
      <c r="E149">
        <v>1</v>
      </c>
      <c r="F149">
        <v>1</v>
      </c>
      <c r="G149">
        <v>1</v>
      </c>
      <c r="H149">
        <v>3</v>
      </c>
      <c r="I149" t="s">
        <v>903</v>
      </c>
      <c r="J149" t="s">
        <v>904</v>
      </c>
      <c r="K149" t="s">
        <v>905</v>
      </c>
      <c r="L149">
        <v>1348</v>
      </c>
      <c r="N149">
        <v>1009</v>
      </c>
      <c r="O149" t="s">
        <v>137</v>
      </c>
      <c r="P149" t="s">
        <v>137</v>
      </c>
      <c r="Q149">
        <v>1000</v>
      </c>
      <c r="W149">
        <v>0</v>
      </c>
      <c r="X149">
        <v>350460736</v>
      </c>
      <c r="Y149">
        <v>5.0000000000000001E-4</v>
      </c>
      <c r="AA149">
        <v>23581.68</v>
      </c>
      <c r="AB149">
        <v>0</v>
      </c>
      <c r="AC149">
        <v>0</v>
      </c>
      <c r="AD149">
        <v>0</v>
      </c>
      <c r="AE149">
        <v>3821.99</v>
      </c>
      <c r="AF149">
        <v>0</v>
      </c>
      <c r="AG149">
        <v>0</v>
      </c>
      <c r="AH149">
        <v>0</v>
      </c>
      <c r="AI149">
        <v>6.17</v>
      </c>
      <c r="AJ149">
        <v>1</v>
      </c>
      <c r="AK149">
        <v>1</v>
      </c>
      <c r="AL149">
        <v>1</v>
      </c>
      <c r="AN149">
        <v>0</v>
      </c>
      <c r="AO149">
        <v>1</v>
      </c>
      <c r="AP149">
        <v>0</v>
      </c>
      <c r="AQ149">
        <v>0</v>
      </c>
      <c r="AR149">
        <v>0</v>
      </c>
      <c r="AS149" t="s">
        <v>6</v>
      </c>
      <c r="AT149">
        <v>5.0000000000000001E-4</v>
      </c>
      <c r="AU149" t="s">
        <v>6</v>
      </c>
      <c r="AV149">
        <v>0</v>
      </c>
      <c r="AW149">
        <v>2</v>
      </c>
      <c r="AX149">
        <v>31029046</v>
      </c>
      <c r="AY149">
        <v>1</v>
      </c>
      <c r="AZ149">
        <v>0</v>
      </c>
      <c r="BA149">
        <v>172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X149">
        <f>Y149*Source!I138</f>
        <v>1.64E-4</v>
      </c>
      <c r="CY149">
        <f t="shared" si="21"/>
        <v>23581.68</v>
      </c>
      <c r="CZ149">
        <f t="shared" si="22"/>
        <v>3821.99</v>
      </c>
      <c r="DA149">
        <f t="shared" si="23"/>
        <v>6.17</v>
      </c>
      <c r="DB149">
        <f t="shared" si="24"/>
        <v>1.91</v>
      </c>
      <c r="DC149">
        <f t="shared" si="25"/>
        <v>0</v>
      </c>
    </row>
    <row r="150" spans="1:107">
      <c r="A150">
        <f>ROW(Source!A138)</f>
        <v>138</v>
      </c>
      <c r="B150">
        <v>31028412</v>
      </c>
      <c r="C150">
        <v>31029023</v>
      </c>
      <c r="D150">
        <v>29186568</v>
      </c>
      <c r="E150">
        <v>1</v>
      </c>
      <c r="F150">
        <v>1</v>
      </c>
      <c r="G150">
        <v>1</v>
      </c>
      <c r="H150">
        <v>3</v>
      </c>
      <c r="I150" t="s">
        <v>906</v>
      </c>
      <c r="J150" t="s">
        <v>907</v>
      </c>
      <c r="K150" t="s">
        <v>908</v>
      </c>
      <c r="L150">
        <v>1339</v>
      </c>
      <c r="N150">
        <v>1007</v>
      </c>
      <c r="O150" t="s">
        <v>109</v>
      </c>
      <c r="P150" t="s">
        <v>109</v>
      </c>
      <c r="Q150">
        <v>1</v>
      </c>
      <c r="W150">
        <v>0</v>
      </c>
      <c r="X150">
        <v>1193747032</v>
      </c>
      <c r="Y150">
        <v>0.23</v>
      </c>
      <c r="AA150">
        <v>2743.98</v>
      </c>
      <c r="AB150">
        <v>0</v>
      </c>
      <c r="AC150">
        <v>0</v>
      </c>
      <c r="AD150">
        <v>0</v>
      </c>
      <c r="AE150">
        <v>444.73</v>
      </c>
      <c r="AF150">
        <v>0</v>
      </c>
      <c r="AG150">
        <v>0</v>
      </c>
      <c r="AH150">
        <v>0</v>
      </c>
      <c r="AI150">
        <v>6.17</v>
      </c>
      <c r="AJ150">
        <v>1</v>
      </c>
      <c r="AK150">
        <v>1</v>
      </c>
      <c r="AL150">
        <v>1</v>
      </c>
      <c r="AN150">
        <v>0</v>
      </c>
      <c r="AO150">
        <v>1</v>
      </c>
      <c r="AP150">
        <v>0</v>
      </c>
      <c r="AQ150">
        <v>0</v>
      </c>
      <c r="AR150">
        <v>0</v>
      </c>
      <c r="AS150" t="s">
        <v>6</v>
      </c>
      <c r="AT150">
        <v>0.23</v>
      </c>
      <c r="AU150" t="s">
        <v>6</v>
      </c>
      <c r="AV150">
        <v>0</v>
      </c>
      <c r="AW150">
        <v>2</v>
      </c>
      <c r="AX150">
        <v>31029048</v>
      </c>
      <c r="AY150">
        <v>1</v>
      </c>
      <c r="AZ150">
        <v>0</v>
      </c>
      <c r="BA150">
        <v>174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X150">
        <f>Y150*Source!I138</f>
        <v>7.5440000000000007E-2</v>
      </c>
      <c r="CY150">
        <f t="shared" si="21"/>
        <v>2743.98</v>
      </c>
      <c r="CZ150">
        <f t="shared" si="22"/>
        <v>444.73</v>
      </c>
      <c r="DA150">
        <f t="shared" si="23"/>
        <v>6.17</v>
      </c>
      <c r="DB150">
        <f t="shared" si="24"/>
        <v>102.29</v>
      </c>
      <c r="DC150">
        <f t="shared" si="25"/>
        <v>0</v>
      </c>
    </row>
    <row r="151" spans="1:107">
      <c r="A151">
        <f>ROW(Source!A138)</f>
        <v>138</v>
      </c>
      <c r="B151">
        <v>31028412</v>
      </c>
      <c r="C151">
        <v>31029023</v>
      </c>
      <c r="D151">
        <v>29194450</v>
      </c>
      <c r="E151">
        <v>1</v>
      </c>
      <c r="F151">
        <v>1</v>
      </c>
      <c r="G151">
        <v>1</v>
      </c>
      <c r="H151">
        <v>3</v>
      </c>
      <c r="I151" t="s">
        <v>817</v>
      </c>
      <c r="J151" t="s">
        <v>818</v>
      </c>
      <c r="K151" t="s">
        <v>819</v>
      </c>
      <c r="L151">
        <v>1348</v>
      </c>
      <c r="N151">
        <v>1009</v>
      </c>
      <c r="O151" t="s">
        <v>137</v>
      </c>
      <c r="P151" t="s">
        <v>137</v>
      </c>
      <c r="Q151">
        <v>1000</v>
      </c>
      <c r="W151">
        <v>0</v>
      </c>
      <c r="X151">
        <v>1536930468</v>
      </c>
      <c r="Y151">
        <v>0.2</v>
      </c>
      <c r="AA151">
        <v>4497.8100000000004</v>
      </c>
      <c r="AB151">
        <v>0</v>
      </c>
      <c r="AC151">
        <v>0</v>
      </c>
      <c r="AD151">
        <v>0</v>
      </c>
      <c r="AE151">
        <v>728.98</v>
      </c>
      <c r="AF151">
        <v>0</v>
      </c>
      <c r="AG151">
        <v>0</v>
      </c>
      <c r="AH151">
        <v>0</v>
      </c>
      <c r="AI151">
        <v>6.17</v>
      </c>
      <c r="AJ151">
        <v>1</v>
      </c>
      <c r="AK151">
        <v>1</v>
      </c>
      <c r="AL151">
        <v>1</v>
      </c>
      <c r="AN151">
        <v>0</v>
      </c>
      <c r="AO151">
        <v>1</v>
      </c>
      <c r="AP151">
        <v>0</v>
      </c>
      <c r="AQ151">
        <v>0</v>
      </c>
      <c r="AR151">
        <v>0</v>
      </c>
      <c r="AS151" t="s">
        <v>6</v>
      </c>
      <c r="AT151">
        <v>0.2</v>
      </c>
      <c r="AU151" t="s">
        <v>6</v>
      </c>
      <c r="AV151">
        <v>0</v>
      </c>
      <c r="AW151">
        <v>2</v>
      </c>
      <c r="AX151">
        <v>31029049</v>
      </c>
      <c r="AY151">
        <v>1</v>
      </c>
      <c r="AZ151">
        <v>0</v>
      </c>
      <c r="BA151">
        <v>175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X151">
        <f>Y151*Source!I138</f>
        <v>6.5600000000000006E-2</v>
      </c>
      <c r="CY151">
        <f t="shared" si="21"/>
        <v>4497.8100000000004</v>
      </c>
      <c r="CZ151">
        <f t="shared" si="22"/>
        <v>728.98</v>
      </c>
      <c r="DA151">
        <f t="shared" si="23"/>
        <v>6.17</v>
      </c>
      <c r="DB151">
        <f t="shared" si="24"/>
        <v>145.80000000000001</v>
      </c>
      <c r="DC151">
        <f t="shared" si="25"/>
        <v>0</v>
      </c>
    </row>
    <row r="152" spans="1:107">
      <c r="A152">
        <f>ROW(Source!A138)</f>
        <v>138</v>
      </c>
      <c r="B152">
        <v>31028412</v>
      </c>
      <c r="C152">
        <v>31029023</v>
      </c>
      <c r="D152">
        <v>29195171</v>
      </c>
      <c r="E152">
        <v>1</v>
      </c>
      <c r="F152">
        <v>1</v>
      </c>
      <c r="G152">
        <v>1</v>
      </c>
      <c r="H152">
        <v>3</v>
      </c>
      <c r="I152" t="s">
        <v>830</v>
      </c>
      <c r="J152" t="s">
        <v>831</v>
      </c>
      <c r="K152" t="s">
        <v>832</v>
      </c>
      <c r="L152">
        <v>1339</v>
      </c>
      <c r="N152">
        <v>1007</v>
      </c>
      <c r="O152" t="s">
        <v>109</v>
      </c>
      <c r="P152" t="s">
        <v>109</v>
      </c>
      <c r="Q152">
        <v>1</v>
      </c>
      <c r="W152">
        <v>0</v>
      </c>
      <c r="X152">
        <v>2050165204</v>
      </c>
      <c r="Y152">
        <v>0.4</v>
      </c>
      <c r="AA152">
        <v>15.12</v>
      </c>
      <c r="AB152">
        <v>0</v>
      </c>
      <c r="AC152">
        <v>0</v>
      </c>
      <c r="AD152">
        <v>0</v>
      </c>
      <c r="AE152">
        <v>2.4500000000000002</v>
      </c>
      <c r="AF152">
        <v>0</v>
      </c>
      <c r="AG152">
        <v>0</v>
      </c>
      <c r="AH152">
        <v>0</v>
      </c>
      <c r="AI152">
        <v>6.17</v>
      </c>
      <c r="AJ152">
        <v>1</v>
      </c>
      <c r="AK152">
        <v>1</v>
      </c>
      <c r="AL152">
        <v>1</v>
      </c>
      <c r="AN152">
        <v>0</v>
      </c>
      <c r="AO152">
        <v>1</v>
      </c>
      <c r="AP152">
        <v>0</v>
      </c>
      <c r="AQ152">
        <v>0</v>
      </c>
      <c r="AR152">
        <v>0</v>
      </c>
      <c r="AS152" t="s">
        <v>6</v>
      </c>
      <c r="AT152">
        <v>0.4</v>
      </c>
      <c r="AU152" t="s">
        <v>6</v>
      </c>
      <c r="AV152">
        <v>0</v>
      </c>
      <c r="AW152">
        <v>2</v>
      </c>
      <c r="AX152">
        <v>31029050</v>
      </c>
      <c r="AY152">
        <v>1</v>
      </c>
      <c r="AZ152">
        <v>0</v>
      </c>
      <c r="BA152">
        <v>176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X152">
        <f>Y152*Source!I138</f>
        <v>0.13120000000000001</v>
      </c>
      <c r="CY152">
        <f t="shared" si="21"/>
        <v>15.12</v>
      </c>
      <c r="CZ152">
        <f t="shared" si="22"/>
        <v>2.4500000000000002</v>
      </c>
      <c r="DA152">
        <f t="shared" si="23"/>
        <v>6.17</v>
      </c>
      <c r="DB152">
        <f t="shared" si="24"/>
        <v>0.98</v>
      </c>
      <c r="DC152">
        <f t="shared" si="25"/>
        <v>0</v>
      </c>
    </row>
    <row r="153" spans="1:107">
      <c r="A153">
        <f>ROW(Source!A141)</f>
        <v>141</v>
      </c>
      <c r="B153">
        <v>31028412</v>
      </c>
      <c r="C153">
        <v>31029053</v>
      </c>
      <c r="D153">
        <v>29084588</v>
      </c>
      <c r="E153">
        <v>1</v>
      </c>
      <c r="F153">
        <v>1</v>
      </c>
      <c r="G153">
        <v>1</v>
      </c>
      <c r="H153">
        <v>1</v>
      </c>
      <c r="I153" t="s">
        <v>909</v>
      </c>
      <c r="J153" t="s">
        <v>6</v>
      </c>
      <c r="K153" t="s">
        <v>910</v>
      </c>
      <c r="L153">
        <v>1369</v>
      </c>
      <c r="N153">
        <v>1013</v>
      </c>
      <c r="O153" t="s">
        <v>773</v>
      </c>
      <c r="P153" t="s">
        <v>773</v>
      </c>
      <c r="Q153">
        <v>1</v>
      </c>
      <c r="W153">
        <v>0</v>
      </c>
      <c r="X153">
        <v>-1990058995</v>
      </c>
      <c r="Y153">
        <v>183.29849999999996</v>
      </c>
      <c r="AA153">
        <v>0</v>
      </c>
      <c r="AB153">
        <v>0</v>
      </c>
      <c r="AC153">
        <v>0</v>
      </c>
      <c r="AD153">
        <v>212.17</v>
      </c>
      <c r="AE153">
        <v>0</v>
      </c>
      <c r="AF153">
        <v>0</v>
      </c>
      <c r="AG153">
        <v>0</v>
      </c>
      <c r="AH153">
        <v>8.76</v>
      </c>
      <c r="AI153">
        <v>1</v>
      </c>
      <c r="AJ153">
        <v>1</v>
      </c>
      <c r="AK153">
        <v>1</v>
      </c>
      <c r="AL153">
        <v>24.22</v>
      </c>
      <c r="AN153">
        <v>0</v>
      </c>
      <c r="AO153">
        <v>1</v>
      </c>
      <c r="AP153">
        <v>1</v>
      </c>
      <c r="AQ153">
        <v>0</v>
      </c>
      <c r="AR153">
        <v>0</v>
      </c>
      <c r="AS153" t="s">
        <v>6</v>
      </c>
      <c r="AT153">
        <v>138.6</v>
      </c>
      <c r="AU153" t="s">
        <v>127</v>
      </c>
      <c r="AV153">
        <v>1</v>
      </c>
      <c r="AW153">
        <v>2</v>
      </c>
      <c r="AX153">
        <v>31029064</v>
      </c>
      <c r="AY153">
        <v>1</v>
      </c>
      <c r="AZ153">
        <v>0</v>
      </c>
      <c r="BA153">
        <v>177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X153">
        <f>Y153*Source!I141</f>
        <v>124.78961879999997</v>
      </c>
      <c r="CY153">
        <f>AD153</f>
        <v>212.17</v>
      </c>
      <c r="CZ153">
        <f>AH153</f>
        <v>8.76</v>
      </c>
      <c r="DA153">
        <f>AL153</f>
        <v>24.22</v>
      </c>
      <c r="DB153">
        <f>ROUND((ROUND(AT153*CZ153,2)*ROUND((1.15*1.15),7)),6)</f>
        <v>1605.7001499999999</v>
      </c>
      <c r="DC153">
        <f>ROUND((ROUND(AT153*AG153,2)*ROUND((1.15*1.15),7)),6)</f>
        <v>0</v>
      </c>
    </row>
    <row r="154" spans="1:107">
      <c r="A154">
        <f>ROW(Source!A141)</f>
        <v>141</v>
      </c>
      <c r="B154">
        <v>31028412</v>
      </c>
      <c r="C154">
        <v>31029053</v>
      </c>
      <c r="D154">
        <v>29084573</v>
      </c>
      <c r="E154">
        <v>1</v>
      </c>
      <c r="F154">
        <v>1</v>
      </c>
      <c r="G154">
        <v>1</v>
      </c>
      <c r="H154">
        <v>1</v>
      </c>
      <c r="I154" t="s">
        <v>774</v>
      </c>
      <c r="J154" t="s">
        <v>6</v>
      </c>
      <c r="K154" t="s">
        <v>775</v>
      </c>
      <c r="L154">
        <v>608254</v>
      </c>
      <c r="N154">
        <v>1013</v>
      </c>
      <c r="O154" t="s">
        <v>776</v>
      </c>
      <c r="P154" t="s">
        <v>776</v>
      </c>
      <c r="Q154">
        <v>1</v>
      </c>
      <c r="W154">
        <v>0</v>
      </c>
      <c r="X154">
        <v>95408949</v>
      </c>
      <c r="Y154">
        <v>1.4374999999999999E-2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1</v>
      </c>
      <c r="AJ154">
        <v>1</v>
      </c>
      <c r="AK154">
        <v>24.22</v>
      </c>
      <c r="AL154">
        <v>1</v>
      </c>
      <c r="AN154">
        <v>0</v>
      </c>
      <c r="AO154">
        <v>1</v>
      </c>
      <c r="AP154">
        <v>1</v>
      </c>
      <c r="AQ154">
        <v>0</v>
      </c>
      <c r="AR154">
        <v>0</v>
      </c>
      <c r="AS154" t="s">
        <v>6</v>
      </c>
      <c r="AT154">
        <v>0.01</v>
      </c>
      <c r="AU154" t="s">
        <v>126</v>
      </c>
      <c r="AV154">
        <v>2</v>
      </c>
      <c r="AW154">
        <v>2</v>
      </c>
      <c r="AX154">
        <v>31029065</v>
      </c>
      <c r="AY154">
        <v>1</v>
      </c>
      <c r="AZ154">
        <v>0</v>
      </c>
      <c r="BA154">
        <v>178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X154">
        <f>Y154*Source!I141</f>
        <v>9.7864999999999983E-3</v>
      </c>
      <c r="CY154">
        <f>AD154</f>
        <v>0</v>
      </c>
      <c r="CZ154">
        <f>AH154</f>
        <v>0</v>
      </c>
      <c r="DA154">
        <f>AL154</f>
        <v>1</v>
      </c>
      <c r="DB154">
        <f>ROUND((ROUND(AT154*CZ154,2)*ROUND((1.25*1.15),7)),6)</f>
        <v>0</v>
      </c>
      <c r="DC154">
        <f>ROUND((ROUND(AT154*AG154,2)*ROUND((1.25*1.15),7)),6)</f>
        <v>0</v>
      </c>
    </row>
    <row r="155" spans="1:107">
      <c r="A155">
        <f>ROW(Source!A141)</f>
        <v>141</v>
      </c>
      <c r="B155">
        <v>31028412</v>
      </c>
      <c r="C155">
        <v>31029053</v>
      </c>
      <c r="D155">
        <v>29147732</v>
      </c>
      <c r="E155">
        <v>1</v>
      </c>
      <c r="F155">
        <v>1</v>
      </c>
      <c r="G155">
        <v>1</v>
      </c>
      <c r="H155">
        <v>2</v>
      </c>
      <c r="I155" t="s">
        <v>846</v>
      </c>
      <c r="J155" t="s">
        <v>847</v>
      </c>
      <c r="K155" t="s">
        <v>848</v>
      </c>
      <c r="L155">
        <v>1368</v>
      </c>
      <c r="N155">
        <v>1011</v>
      </c>
      <c r="O155" t="s">
        <v>780</v>
      </c>
      <c r="P155" t="s">
        <v>780</v>
      </c>
      <c r="Q155">
        <v>1</v>
      </c>
      <c r="W155">
        <v>0</v>
      </c>
      <c r="X155">
        <v>-1205898307</v>
      </c>
      <c r="Y155">
        <v>1.4374999999999999E-2</v>
      </c>
      <c r="AA155">
        <v>0</v>
      </c>
      <c r="AB155">
        <v>235.69</v>
      </c>
      <c r="AC155">
        <v>315.58999999999997</v>
      </c>
      <c r="AD155">
        <v>0</v>
      </c>
      <c r="AE155">
        <v>0</v>
      </c>
      <c r="AF155">
        <v>30.85</v>
      </c>
      <c r="AG155">
        <v>13.03</v>
      </c>
      <c r="AH155">
        <v>0</v>
      </c>
      <c r="AI155">
        <v>1</v>
      </c>
      <c r="AJ155">
        <v>7.64</v>
      </c>
      <c r="AK155">
        <v>24.22</v>
      </c>
      <c r="AL155">
        <v>1</v>
      </c>
      <c r="AN155">
        <v>0</v>
      </c>
      <c r="AO155">
        <v>1</v>
      </c>
      <c r="AP155">
        <v>1</v>
      </c>
      <c r="AQ155">
        <v>0</v>
      </c>
      <c r="AR155">
        <v>0</v>
      </c>
      <c r="AS155" t="s">
        <v>6</v>
      </c>
      <c r="AT155">
        <v>0.01</v>
      </c>
      <c r="AU155" t="s">
        <v>126</v>
      </c>
      <c r="AV155">
        <v>0</v>
      </c>
      <c r="AW155">
        <v>2</v>
      </c>
      <c r="AX155">
        <v>31029066</v>
      </c>
      <c r="AY155">
        <v>1</v>
      </c>
      <c r="AZ155">
        <v>0</v>
      </c>
      <c r="BA155">
        <v>179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X155">
        <f>Y155*Source!I141</f>
        <v>9.7864999999999983E-3</v>
      </c>
      <c r="CY155">
        <f>AB155</f>
        <v>235.69</v>
      </c>
      <c r="CZ155">
        <f>AF155</f>
        <v>30.85</v>
      </c>
      <c r="DA155">
        <f>AJ155</f>
        <v>7.64</v>
      </c>
      <c r="DB155">
        <f>ROUND((ROUND(AT155*CZ155,2)*ROUND((1.25*1.15),7)),6)</f>
        <v>0.44562499999999999</v>
      </c>
      <c r="DC155">
        <f>ROUND((ROUND(AT155*AG155,2)*ROUND((1.25*1.15),7)),6)</f>
        <v>0.18687500000000001</v>
      </c>
    </row>
    <row r="156" spans="1:107">
      <c r="A156">
        <f>ROW(Source!A141)</f>
        <v>141</v>
      </c>
      <c r="B156">
        <v>31028412</v>
      </c>
      <c r="C156">
        <v>31029053</v>
      </c>
      <c r="D156">
        <v>29149520</v>
      </c>
      <c r="E156">
        <v>1</v>
      </c>
      <c r="F156">
        <v>1</v>
      </c>
      <c r="G156">
        <v>1</v>
      </c>
      <c r="H156">
        <v>2</v>
      </c>
      <c r="I156" t="s">
        <v>790</v>
      </c>
      <c r="J156" t="s">
        <v>791</v>
      </c>
      <c r="K156" t="s">
        <v>792</v>
      </c>
      <c r="L156">
        <v>1368</v>
      </c>
      <c r="N156">
        <v>1011</v>
      </c>
      <c r="O156" t="s">
        <v>780</v>
      </c>
      <c r="P156" t="s">
        <v>780</v>
      </c>
      <c r="Q156">
        <v>1</v>
      </c>
      <c r="W156">
        <v>0</v>
      </c>
      <c r="X156">
        <v>-1931461795</v>
      </c>
      <c r="Y156">
        <v>0.12937499999999999</v>
      </c>
      <c r="AA156">
        <v>0</v>
      </c>
      <c r="AB156">
        <v>699.98</v>
      </c>
      <c r="AC156">
        <v>0</v>
      </c>
      <c r="AD156">
        <v>0</v>
      </c>
      <c r="AE156">
        <v>0</v>
      </c>
      <c r="AF156">
        <v>91.62</v>
      </c>
      <c r="AG156">
        <v>0</v>
      </c>
      <c r="AH156">
        <v>0</v>
      </c>
      <c r="AI156">
        <v>1</v>
      </c>
      <c r="AJ156">
        <v>7.64</v>
      </c>
      <c r="AK156">
        <v>24.22</v>
      </c>
      <c r="AL156">
        <v>1</v>
      </c>
      <c r="AN156">
        <v>0</v>
      </c>
      <c r="AO156">
        <v>1</v>
      </c>
      <c r="AP156">
        <v>1</v>
      </c>
      <c r="AQ156">
        <v>0</v>
      </c>
      <c r="AR156">
        <v>0</v>
      </c>
      <c r="AS156" t="s">
        <v>6</v>
      </c>
      <c r="AT156">
        <v>0.09</v>
      </c>
      <c r="AU156" t="s">
        <v>126</v>
      </c>
      <c r="AV156">
        <v>0</v>
      </c>
      <c r="AW156">
        <v>2</v>
      </c>
      <c r="AX156">
        <v>31029067</v>
      </c>
      <c r="AY156">
        <v>1</v>
      </c>
      <c r="AZ156">
        <v>0</v>
      </c>
      <c r="BA156">
        <v>180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X156">
        <f>Y156*Source!I141</f>
        <v>8.807849999999999E-2</v>
      </c>
      <c r="CY156">
        <f>AB156</f>
        <v>699.98</v>
      </c>
      <c r="CZ156">
        <f>AF156</f>
        <v>91.62</v>
      </c>
      <c r="DA156">
        <f>AJ156</f>
        <v>7.64</v>
      </c>
      <c r="DB156">
        <f>ROUND((ROUND(AT156*CZ156,2)*ROUND((1.25*1.15),7)),6)</f>
        <v>11.859375</v>
      </c>
      <c r="DC156">
        <f>ROUND((ROUND(AT156*AG156,2)*ROUND((1.25*1.15),7)),6)</f>
        <v>0</v>
      </c>
    </row>
    <row r="157" spans="1:107">
      <c r="A157">
        <f>ROW(Source!A141)</f>
        <v>141</v>
      </c>
      <c r="B157">
        <v>31028412</v>
      </c>
      <c r="C157">
        <v>31029053</v>
      </c>
      <c r="D157">
        <v>29150778</v>
      </c>
      <c r="E157">
        <v>1</v>
      </c>
      <c r="F157">
        <v>1</v>
      </c>
      <c r="G157">
        <v>1</v>
      </c>
      <c r="H157">
        <v>3</v>
      </c>
      <c r="I157" t="s">
        <v>911</v>
      </c>
      <c r="J157" t="s">
        <v>912</v>
      </c>
      <c r="K157" t="s">
        <v>913</v>
      </c>
      <c r="L157">
        <v>1348</v>
      </c>
      <c r="N157">
        <v>1009</v>
      </c>
      <c r="O157" t="s">
        <v>137</v>
      </c>
      <c r="P157" t="s">
        <v>137</v>
      </c>
      <c r="Q157">
        <v>1000</v>
      </c>
      <c r="W157">
        <v>0</v>
      </c>
      <c r="X157">
        <v>425490928</v>
      </c>
      <c r="Y157">
        <v>2.5440000000000001E-2</v>
      </c>
      <c r="AA157">
        <v>92364.9</v>
      </c>
      <c r="AB157">
        <v>0</v>
      </c>
      <c r="AC157">
        <v>0</v>
      </c>
      <c r="AD157">
        <v>0</v>
      </c>
      <c r="AE157">
        <v>14970</v>
      </c>
      <c r="AF157">
        <v>0</v>
      </c>
      <c r="AG157">
        <v>0</v>
      </c>
      <c r="AH157">
        <v>0</v>
      </c>
      <c r="AI157">
        <v>6.17</v>
      </c>
      <c r="AJ157">
        <v>1</v>
      </c>
      <c r="AK157">
        <v>1</v>
      </c>
      <c r="AL157">
        <v>1</v>
      </c>
      <c r="AN157">
        <v>0</v>
      </c>
      <c r="AO157">
        <v>1</v>
      </c>
      <c r="AP157">
        <v>0</v>
      </c>
      <c r="AQ157">
        <v>0</v>
      </c>
      <c r="AR157">
        <v>0</v>
      </c>
      <c r="AS157" t="s">
        <v>6</v>
      </c>
      <c r="AT157">
        <v>2.5440000000000001E-2</v>
      </c>
      <c r="AU157" t="s">
        <v>6</v>
      </c>
      <c r="AV157">
        <v>0</v>
      </c>
      <c r="AW157">
        <v>2</v>
      </c>
      <c r="AX157">
        <v>31029068</v>
      </c>
      <c r="AY157">
        <v>1</v>
      </c>
      <c r="AZ157">
        <v>0</v>
      </c>
      <c r="BA157">
        <v>181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X157">
        <f>Y157*Source!I141</f>
        <v>1.7319551999999998E-2</v>
      </c>
      <c r="CY157">
        <f t="shared" ref="CY157:CY162" si="26">AA157</f>
        <v>92364.9</v>
      </c>
      <c r="CZ157">
        <f t="shared" ref="CZ157:CZ162" si="27">AE157</f>
        <v>14970</v>
      </c>
      <c r="DA157">
        <f t="shared" ref="DA157:DA162" si="28">AI157</f>
        <v>6.17</v>
      </c>
      <c r="DB157">
        <f t="shared" ref="DB157:DB162" si="29">ROUND(ROUND(AT157*CZ157,2),6)</f>
        <v>380.84</v>
      </c>
      <c r="DC157">
        <f t="shared" ref="DC157:DC162" si="30">ROUND(ROUND(AT157*AG157,2),6)</f>
        <v>0</v>
      </c>
    </row>
    <row r="158" spans="1:107">
      <c r="A158">
        <f>ROW(Source!A141)</f>
        <v>141</v>
      </c>
      <c r="B158">
        <v>31028412</v>
      </c>
      <c r="C158">
        <v>31029053</v>
      </c>
      <c r="D158">
        <v>29151861</v>
      </c>
      <c r="E158">
        <v>1</v>
      </c>
      <c r="F158">
        <v>1</v>
      </c>
      <c r="G158">
        <v>1</v>
      </c>
      <c r="H158">
        <v>3</v>
      </c>
      <c r="I158" t="s">
        <v>835</v>
      </c>
      <c r="J158" t="s">
        <v>836</v>
      </c>
      <c r="K158" t="s">
        <v>837</v>
      </c>
      <c r="L158">
        <v>1327</v>
      </c>
      <c r="N158">
        <v>1005</v>
      </c>
      <c r="O158" t="s">
        <v>284</v>
      </c>
      <c r="P158" t="s">
        <v>284</v>
      </c>
      <c r="Q158">
        <v>1</v>
      </c>
      <c r="W158">
        <v>0</v>
      </c>
      <c r="X158">
        <v>1527270933</v>
      </c>
      <c r="Y158">
        <v>0.84</v>
      </c>
      <c r="AA158">
        <v>452.82</v>
      </c>
      <c r="AB158">
        <v>0</v>
      </c>
      <c r="AC158">
        <v>0</v>
      </c>
      <c r="AD158">
        <v>0</v>
      </c>
      <c r="AE158">
        <v>73.39</v>
      </c>
      <c r="AF158">
        <v>0</v>
      </c>
      <c r="AG158">
        <v>0</v>
      </c>
      <c r="AH158">
        <v>0</v>
      </c>
      <c r="AI158">
        <v>6.17</v>
      </c>
      <c r="AJ158">
        <v>1</v>
      </c>
      <c r="AK158">
        <v>1</v>
      </c>
      <c r="AL158">
        <v>1</v>
      </c>
      <c r="AN158">
        <v>0</v>
      </c>
      <c r="AO158">
        <v>1</v>
      </c>
      <c r="AP158">
        <v>0</v>
      </c>
      <c r="AQ158">
        <v>0</v>
      </c>
      <c r="AR158">
        <v>0</v>
      </c>
      <c r="AS158" t="s">
        <v>6</v>
      </c>
      <c r="AT158">
        <v>0.84</v>
      </c>
      <c r="AU158" t="s">
        <v>6</v>
      </c>
      <c r="AV158">
        <v>0</v>
      </c>
      <c r="AW158">
        <v>2</v>
      </c>
      <c r="AX158">
        <v>31029069</v>
      </c>
      <c r="AY158">
        <v>1</v>
      </c>
      <c r="AZ158">
        <v>0</v>
      </c>
      <c r="BA158">
        <v>182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X158">
        <f>Y158*Source!I141</f>
        <v>0.57187199999999994</v>
      </c>
      <c r="CY158">
        <f t="shared" si="26"/>
        <v>452.82</v>
      </c>
      <c r="CZ158">
        <f t="shared" si="27"/>
        <v>73.39</v>
      </c>
      <c r="DA158">
        <f t="shared" si="28"/>
        <v>6.17</v>
      </c>
      <c r="DB158">
        <f t="shared" si="29"/>
        <v>61.65</v>
      </c>
      <c r="DC158">
        <f t="shared" si="30"/>
        <v>0</v>
      </c>
    </row>
    <row r="159" spans="1:107">
      <c r="A159">
        <f>ROW(Source!A141)</f>
        <v>141</v>
      </c>
      <c r="B159">
        <v>31028412</v>
      </c>
      <c r="C159">
        <v>31029053</v>
      </c>
      <c r="D159">
        <v>29151929</v>
      </c>
      <c r="E159">
        <v>1</v>
      </c>
      <c r="F159">
        <v>1</v>
      </c>
      <c r="G159">
        <v>1</v>
      </c>
      <c r="H159">
        <v>3</v>
      </c>
      <c r="I159" t="s">
        <v>914</v>
      </c>
      <c r="J159" t="s">
        <v>915</v>
      </c>
      <c r="K159" t="s">
        <v>916</v>
      </c>
      <c r="L159">
        <v>1348</v>
      </c>
      <c r="N159">
        <v>1009</v>
      </c>
      <c r="O159" t="s">
        <v>137</v>
      </c>
      <c r="P159" t="s">
        <v>137</v>
      </c>
      <c r="Q159">
        <v>1000</v>
      </c>
      <c r="W159">
        <v>0</v>
      </c>
      <c r="X159">
        <v>-706211403</v>
      </c>
      <c r="Y159">
        <v>3.9E-2</v>
      </c>
      <c r="AA159">
        <v>19447.53</v>
      </c>
      <c r="AB159">
        <v>0</v>
      </c>
      <c r="AC159">
        <v>0</v>
      </c>
      <c r="AD159">
        <v>0</v>
      </c>
      <c r="AE159">
        <v>3151.95</v>
      </c>
      <c r="AF159">
        <v>0</v>
      </c>
      <c r="AG159">
        <v>0</v>
      </c>
      <c r="AH159">
        <v>0</v>
      </c>
      <c r="AI159">
        <v>6.17</v>
      </c>
      <c r="AJ159">
        <v>1</v>
      </c>
      <c r="AK159">
        <v>1</v>
      </c>
      <c r="AL159">
        <v>1</v>
      </c>
      <c r="AN159">
        <v>0</v>
      </c>
      <c r="AO159">
        <v>1</v>
      </c>
      <c r="AP159">
        <v>0</v>
      </c>
      <c r="AQ159">
        <v>0</v>
      </c>
      <c r="AR159">
        <v>0</v>
      </c>
      <c r="AS159" t="s">
        <v>6</v>
      </c>
      <c r="AT159">
        <v>3.9E-2</v>
      </c>
      <c r="AU159" t="s">
        <v>6</v>
      </c>
      <c r="AV159">
        <v>0</v>
      </c>
      <c r="AW159">
        <v>2</v>
      </c>
      <c r="AX159">
        <v>31029070</v>
      </c>
      <c r="AY159">
        <v>1</v>
      </c>
      <c r="AZ159">
        <v>0</v>
      </c>
      <c r="BA159">
        <v>183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X159">
        <f>Y159*Source!I141</f>
        <v>2.6551199999999997E-2</v>
      </c>
      <c r="CY159">
        <f t="shared" si="26"/>
        <v>19447.53</v>
      </c>
      <c r="CZ159">
        <f t="shared" si="27"/>
        <v>3151.95</v>
      </c>
      <c r="DA159">
        <f t="shared" si="28"/>
        <v>6.17</v>
      </c>
      <c r="DB159">
        <f t="shared" si="29"/>
        <v>122.93</v>
      </c>
      <c r="DC159">
        <f t="shared" si="30"/>
        <v>0</v>
      </c>
    </row>
    <row r="160" spans="1:107">
      <c r="A160">
        <f>ROW(Source!A141)</f>
        <v>141</v>
      </c>
      <c r="B160">
        <v>31028412</v>
      </c>
      <c r="C160">
        <v>31029053</v>
      </c>
      <c r="D160">
        <v>29152014</v>
      </c>
      <c r="E160">
        <v>1</v>
      </c>
      <c r="F160">
        <v>1</v>
      </c>
      <c r="G160">
        <v>1</v>
      </c>
      <c r="H160">
        <v>3</v>
      </c>
      <c r="I160" t="s">
        <v>838</v>
      </c>
      <c r="J160" t="s">
        <v>839</v>
      </c>
      <c r="K160" t="s">
        <v>840</v>
      </c>
      <c r="L160">
        <v>1346</v>
      </c>
      <c r="N160">
        <v>1009</v>
      </c>
      <c r="O160" t="s">
        <v>118</v>
      </c>
      <c r="P160" t="s">
        <v>118</v>
      </c>
      <c r="Q160">
        <v>1</v>
      </c>
      <c r="W160">
        <v>0</v>
      </c>
      <c r="X160">
        <v>-1526040720</v>
      </c>
      <c r="Y160">
        <v>0.31</v>
      </c>
      <c r="AA160">
        <v>11.97</v>
      </c>
      <c r="AB160">
        <v>0</v>
      </c>
      <c r="AC160">
        <v>0</v>
      </c>
      <c r="AD160">
        <v>0</v>
      </c>
      <c r="AE160">
        <v>1.94</v>
      </c>
      <c r="AF160">
        <v>0</v>
      </c>
      <c r="AG160">
        <v>0</v>
      </c>
      <c r="AH160">
        <v>0</v>
      </c>
      <c r="AI160">
        <v>6.17</v>
      </c>
      <c r="AJ160">
        <v>1</v>
      </c>
      <c r="AK160">
        <v>1</v>
      </c>
      <c r="AL160">
        <v>1</v>
      </c>
      <c r="AN160">
        <v>0</v>
      </c>
      <c r="AO160">
        <v>1</v>
      </c>
      <c r="AP160">
        <v>0</v>
      </c>
      <c r="AQ160">
        <v>0</v>
      </c>
      <c r="AR160">
        <v>0</v>
      </c>
      <c r="AS160" t="s">
        <v>6</v>
      </c>
      <c r="AT160">
        <v>0.31</v>
      </c>
      <c r="AU160" t="s">
        <v>6</v>
      </c>
      <c r="AV160">
        <v>0</v>
      </c>
      <c r="AW160">
        <v>2</v>
      </c>
      <c r="AX160">
        <v>31029071</v>
      </c>
      <c r="AY160">
        <v>1</v>
      </c>
      <c r="AZ160">
        <v>0</v>
      </c>
      <c r="BA160">
        <v>184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X160">
        <f>Y160*Source!I141</f>
        <v>0.21104799999999999</v>
      </c>
      <c r="CY160">
        <f t="shared" si="26"/>
        <v>11.97</v>
      </c>
      <c r="CZ160">
        <f t="shared" si="27"/>
        <v>1.94</v>
      </c>
      <c r="DA160">
        <f t="shared" si="28"/>
        <v>6.17</v>
      </c>
      <c r="DB160">
        <f t="shared" si="29"/>
        <v>0.6</v>
      </c>
      <c r="DC160">
        <f t="shared" si="30"/>
        <v>0</v>
      </c>
    </row>
    <row r="161" spans="1:107">
      <c r="A161">
        <f>ROW(Source!A141)</f>
        <v>141</v>
      </c>
      <c r="B161">
        <v>31028412</v>
      </c>
      <c r="C161">
        <v>31029053</v>
      </c>
      <c r="D161">
        <v>29152072</v>
      </c>
      <c r="E161">
        <v>1</v>
      </c>
      <c r="F161">
        <v>1</v>
      </c>
      <c r="G161">
        <v>1</v>
      </c>
      <c r="H161">
        <v>3</v>
      </c>
      <c r="I161" t="s">
        <v>917</v>
      </c>
      <c r="J161" t="s">
        <v>918</v>
      </c>
      <c r="K161" t="s">
        <v>919</v>
      </c>
      <c r="L161">
        <v>1348</v>
      </c>
      <c r="N161">
        <v>1009</v>
      </c>
      <c r="O161" t="s">
        <v>137</v>
      </c>
      <c r="P161" t="s">
        <v>137</v>
      </c>
      <c r="Q161">
        <v>1000</v>
      </c>
      <c r="W161">
        <v>0</v>
      </c>
      <c r="X161">
        <v>328820629</v>
      </c>
      <c r="Y161">
        <v>2.0999999999999999E-3</v>
      </c>
      <c r="AA161">
        <v>108863.48</v>
      </c>
      <c r="AB161">
        <v>0</v>
      </c>
      <c r="AC161">
        <v>0</v>
      </c>
      <c r="AD161">
        <v>0</v>
      </c>
      <c r="AE161">
        <v>17644</v>
      </c>
      <c r="AF161">
        <v>0</v>
      </c>
      <c r="AG161">
        <v>0</v>
      </c>
      <c r="AH161">
        <v>0</v>
      </c>
      <c r="AI161">
        <v>6.17</v>
      </c>
      <c r="AJ161">
        <v>1</v>
      </c>
      <c r="AK161">
        <v>1</v>
      </c>
      <c r="AL161">
        <v>1</v>
      </c>
      <c r="AN161">
        <v>0</v>
      </c>
      <c r="AO161">
        <v>1</v>
      </c>
      <c r="AP161">
        <v>0</v>
      </c>
      <c r="AQ161">
        <v>0</v>
      </c>
      <c r="AR161">
        <v>0</v>
      </c>
      <c r="AS161" t="s">
        <v>6</v>
      </c>
      <c r="AT161">
        <v>2.0999999999999999E-3</v>
      </c>
      <c r="AU161" t="s">
        <v>6</v>
      </c>
      <c r="AV161">
        <v>0</v>
      </c>
      <c r="AW161">
        <v>2</v>
      </c>
      <c r="AX161">
        <v>31029072</v>
      </c>
      <c r="AY161">
        <v>1</v>
      </c>
      <c r="AZ161">
        <v>0</v>
      </c>
      <c r="BA161">
        <v>185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X161">
        <f>Y161*Source!I141</f>
        <v>1.4296799999999998E-3</v>
      </c>
      <c r="CY161">
        <f t="shared" si="26"/>
        <v>108863.48</v>
      </c>
      <c r="CZ161">
        <f t="shared" si="27"/>
        <v>17644</v>
      </c>
      <c r="DA161">
        <f t="shared" si="28"/>
        <v>6.17</v>
      </c>
      <c r="DB161">
        <f t="shared" si="29"/>
        <v>37.049999999999997</v>
      </c>
      <c r="DC161">
        <f t="shared" si="30"/>
        <v>0</v>
      </c>
    </row>
    <row r="162" spans="1:107">
      <c r="A162">
        <f>ROW(Source!A141)</f>
        <v>141</v>
      </c>
      <c r="B162">
        <v>31028412</v>
      </c>
      <c r="C162">
        <v>31029053</v>
      </c>
      <c r="D162">
        <v>29195057</v>
      </c>
      <c r="E162">
        <v>1</v>
      </c>
      <c r="F162">
        <v>1</v>
      </c>
      <c r="G162">
        <v>1</v>
      </c>
      <c r="H162">
        <v>3</v>
      </c>
      <c r="I162" t="s">
        <v>871</v>
      </c>
      <c r="J162" t="s">
        <v>872</v>
      </c>
      <c r="K162" t="s">
        <v>873</v>
      </c>
      <c r="L162">
        <v>1339</v>
      </c>
      <c r="N162">
        <v>1007</v>
      </c>
      <c r="O162" t="s">
        <v>109</v>
      </c>
      <c r="P162" t="s">
        <v>109</v>
      </c>
      <c r="Q162">
        <v>1</v>
      </c>
      <c r="W162">
        <v>0</v>
      </c>
      <c r="X162">
        <v>585056117</v>
      </c>
      <c r="Y162">
        <v>2.3999999999999998E-3</v>
      </c>
      <c r="AA162">
        <v>460.16</v>
      </c>
      <c r="AB162">
        <v>0</v>
      </c>
      <c r="AC162">
        <v>0</v>
      </c>
      <c r="AD162">
        <v>0</v>
      </c>
      <c r="AE162">
        <v>74.58</v>
      </c>
      <c r="AF162">
        <v>0</v>
      </c>
      <c r="AG162">
        <v>0</v>
      </c>
      <c r="AH162">
        <v>0</v>
      </c>
      <c r="AI162">
        <v>6.17</v>
      </c>
      <c r="AJ162">
        <v>1</v>
      </c>
      <c r="AK162">
        <v>1</v>
      </c>
      <c r="AL162">
        <v>1</v>
      </c>
      <c r="AN162">
        <v>0</v>
      </c>
      <c r="AO162">
        <v>1</v>
      </c>
      <c r="AP162">
        <v>0</v>
      </c>
      <c r="AQ162">
        <v>0</v>
      </c>
      <c r="AR162">
        <v>0</v>
      </c>
      <c r="AS162" t="s">
        <v>6</v>
      </c>
      <c r="AT162">
        <v>2.3999999999999998E-3</v>
      </c>
      <c r="AU162" t="s">
        <v>6</v>
      </c>
      <c r="AV162">
        <v>0</v>
      </c>
      <c r="AW162">
        <v>2</v>
      </c>
      <c r="AX162">
        <v>31029073</v>
      </c>
      <c r="AY162">
        <v>1</v>
      </c>
      <c r="AZ162">
        <v>0</v>
      </c>
      <c r="BA162">
        <v>186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X162">
        <f>Y162*Source!I141</f>
        <v>1.6339199999999999E-3</v>
      </c>
      <c r="CY162">
        <f t="shared" si="26"/>
        <v>460.16</v>
      </c>
      <c r="CZ162">
        <f t="shared" si="27"/>
        <v>74.58</v>
      </c>
      <c r="DA162">
        <f t="shared" si="28"/>
        <v>6.17</v>
      </c>
      <c r="DB162">
        <f t="shared" si="29"/>
        <v>0.18</v>
      </c>
      <c r="DC162">
        <f t="shared" si="30"/>
        <v>0</v>
      </c>
    </row>
    <row r="163" spans="1:107">
      <c r="A163">
        <f>ROW(Source!A142)</f>
        <v>142</v>
      </c>
      <c r="B163">
        <v>31028412</v>
      </c>
      <c r="C163">
        <v>31029074</v>
      </c>
      <c r="D163">
        <v>29084583</v>
      </c>
      <c r="E163">
        <v>1</v>
      </c>
      <c r="F163">
        <v>1</v>
      </c>
      <c r="G163">
        <v>1</v>
      </c>
      <c r="H163">
        <v>1</v>
      </c>
      <c r="I163" t="s">
        <v>857</v>
      </c>
      <c r="J163" t="s">
        <v>6</v>
      </c>
      <c r="K163" t="s">
        <v>858</v>
      </c>
      <c r="L163">
        <v>1369</v>
      </c>
      <c r="N163">
        <v>1013</v>
      </c>
      <c r="O163" t="s">
        <v>773</v>
      </c>
      <c r="P163" t="s">
        <v>773</v>
      </c>
      <c r="Q163">
        <v>1</v>
      </c>
      <c r="W163">
        <v>0</v>
      </c>
      <c r="X163">
        <v>1784516707</v>
      </c>
      <c r="Y163">
        <v>149.11187499999997</v>
      </c>
      <c r="AA163">
        <v>0</v>
      </c>
      <c r="AB163">
        <v>0</v>
      </c>
      <c r="AC163">
        <v>0</v>
      </c>
      <c r="AD163">
        <v>199.33</v>
      </c>
      <c r="AE163">
        <v>0</v>
      </c>
      <c r="AF163">
        <v>0</v>
      </c>
      <c r="AG163">
        <v>0</v>
      </c>
      <c r="AH163">
        <v>8.23</v>
      </c>
      <c r="AI163">
        <v>1</v>
      </c>
      <c r="AJ163">
        <v>1</v>
      </c>
      <c r="AK163">
        <v>1</v>
      </c>
      <c r="AL163">
        <v>24.22</v>
      </c>
      <c r="AN163">
        <v>0</v>
      </c>
      <c r="AO163">
        <v>1</v>
      </c>
      <c r="AP163">
        <v>1</v>
      </c>
      <c r="AQ163">
        <v>0</v>
      </c>
      <c r="AR163">
        <v>0</v>
      </c>
      <c r="AS163" t="s">
        <v>6</v>
      </c>
      <c r="AT163">
        <v>112.75</v>
      </c>
      <c r="AU163" t="s">
        <v>127</v>
      </c>
      <c r="AV163">
        <v>1</v>
      </c>
      <c r="AW163">
        <v>2</v>
      </c>
      <c r="AX163">
        <v>31029082</v>
      </c>
      <c r="AY163">
        <v>1</v>
      </c>
      <c r="AZ163">
        <v>0</v>
      </c>
      <c r="BA163">
        <v>187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X163">
        <f>Y163*Source!I142</f>
        <v>5.7408071874999989</v>
      </c>
      <c r="CY163">
        <f>AD163</f>
        <v>199.33</v>
      </c>
      <c r="CZ163">
        <f>AH163</f>
        <v>8.23</v>
      </c>
      <c r="DA163">
        <f>AL163</f>
        <v>24.22</v>
      </c>
      <c r="DB163">
        <f>ROUND((ROUND(AT163*CZ163,2)*ROUND((1.15*1.15),7)),6)</f>
        <v>1227.1874250000001</v>
      </c>
      <c r="DC163">
        <f>ROUND((ROUND(AT163*AG163,2)*ROUND((1.15*1.15),7)),6)</f>
        <v>0</v>
      </c>
    </row>
    <row r="164" spans="1:107">
      <c r="A164">
        <f>ROW(Source!A142)</f>
        <v>142</v>
      </c>
      <c r="B164">
        <v>31028412</v>
      </c>
      <c r="C164">
        <v>31029074</v>
      </c>
      <c r="D164">
        <v>29084573</v>
      </c>
      <c r="E164">
        <v>1</v>
      </c>
      <c r="F164">
        <v>1</v>
      </c>
      <c r="G164">
        <v>1</v>
      </c>
      <c r="H164">
        <v>1</v>
      </c>
      <c r="I164" t="s">
        <v>774</v>
      </c>
      <c r="J164" t="s">
        <v>6</v>
      </c>
      <c r="K164" t="s">
        <v>775</v>
      </c>
      <c r="L164">
        <v>608254</v>
      </c>
      <c r="N164">
        <v>1013</v>
      </c>
      <c r="O164" t="s">
        <v>776</v>
      </c>
      <c r="P164" t="s">
        <v>776</v>
      </c>
      <c r="Q164">
        <v>1</v>
      </c>
      <c r="W164">
        <v>0</v>
      </c>
      <c r="X164">
        <v>95408949</v>
      </c>
      <c r="Y164">
        <v>0.28749999999999998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1</v>
      </c>
      <c r="AJ164">
        <v>1</v>
      </c>
      <c r="AK164">
        <v>24.22</v>
      </c>
      <c r="AL164">
        <v>1</v>
      </c>
      <c r="AN164">
        <v>0</v>
      </c>
      <c r="AO164">
        <v>1</v>
      </c>
      <c r="AP164">
        <v>1</v>
      </c>
      <c r="AQ164">
        <v>0</v>
      </c>
      <c r="AR164">
        <v>0</v>
      </c>
      <c r="AS164" t="s">
        <v>6</v>
      </c>
      <c r="AT164">
        <v>0.2</v>
      </c>
      <c r="AU164" t="s">
        <v>126</v>
      </c>
      <c r="AV164">
        <v>2</v>
      </c>
      <c r="AW164">
        <v>2</v>
      </c>
      <c r="AX164">
        <v>31029083</v>
      </c>
      <c r="AY164">
        <v>1</v>
      </c>
      <c r="AZ164">
        <v>0</v>
      </c>
      <c r="BA164">
        <v>188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X164">
        <f>Y164*Source!I142</f>
        <v>1.1068749999999999E-2</v>
      </c>
      <c r="CY164">
        <f>AD164</f>
        <v>0</v>
      </c>
      <c r="CZ164">
        <f>AH164</f>
        <v>0</v>
      </c>
      <c r="DA164">
        <f>AL164</f>
        <v>1</v>
      </c>
      <c r="DB164">
        <f>ROUND((ROUND(AT164*CZ164,2)*ROUND((1.25*1.15),7)),6)</f>
        <v>0</v>
      </c>
      <c r="DC164">
        <f>ROUND((ROUND(AT164*AG164,2)*ROUND((1.25*1.15),7)),6)</f>
        <v>0</v>
      </c>
    </row>
    <row r="165" spans="1:107">
      <c r="A165">
        <f>ROW(Source!A142)</f>
        <v>142</v>
      </c>
      <c r="B165">
        <v>31028412</v>
      </c>
      <c r="C165">
        <v>31029074</v>
      </c>
      <c r="D165">
        <v>29147520</v>
      </c>
      <c r="E165">
        <v>1</v>
      </c>
      <c r="F165">
        <v>1</v>
      </c>
      <c r="G165">
        <v>1</v>
      </c>
      <c r="H165">
        <v>2</v>
      </c>
      <c r="I165" t="s">
        <v>777</v>
      </c>
      <c r="J165" t="s">
        <v>778</v>
      </c>
      <c r="K165" t="s">
        <v>779</v>
      </c>
      <c r="L165">
        <v>1368</v>
      </c>
      <c r="N165">
        <v>1011</v>
      </c>
      <c r="O165" t="s">
        <v>780</v>
      </c>
      <c r="P165" t="s">
        <v>780</v>
      </c>
      <c r="Q165">
        <v>1</v>
      </c>
      <c r="W165">
        <v>0</v>
      </c>
      <c r="X165">
        <v>-2048414082</v>
      </c>
      <c r="Y165">
        <v>0.28749999999999998</v>
      </c>
      <c r="AA165">
        <v>0</v>
      </c>
      <c r="AB165">
        <v>656.51</v>
      </c>
      <c r="AC165">
        <v>315.58999999999997</v>
      </c>
      <c r="AD165">
        <v>0</v>
      </c>
      <c r="AE165">
        <v>0</v>
      </c>
      <c r="AF165">
        <v>85.93</v>
      </c>
      <c r="AG165">
        <v>13.03</v>
      </c>
      <c r="AH165">
        <v>0</v>
      </c>
      <c r="AI165">
        <v>1</v>
      </c>
      <c r="AJ165">
        <v>7.64</v>
      </c>
      <c r="AK165">
        <v>24.22</v>
      </c>
      <c r="AL165">
        <v>1</v>
      </c>
      <c r="AN165">
        <v>0</v>
      </c>
      <c r="AO165">
        <v>1</v>
      </c>
      <c r="AP165">
        <v>1</v>
      </c>
      <c r="AQ165">
        <v>0</v>
      </c>
      <c r="AR165">
        <v>0</v>
      </c>
      <c r="AS165" t="s">
        <v>6</v>
      </c>
      <c r="AT165">
        <v>0.2</v>
      </c>
      <c r="AU165" t="s">
        <v>126</v>
      </c>
      <c r="AV165">
        <v>0</v>
      </c>
      <c r="AW165">
        <v>2</v>
      </c>
      <c r="AX165">
        <v>31029084</v>
      </c>
      <c r="AY165">
        <v>1</v>
      </c>
      <c r="AZ165">
        <v>0</v>
      </c>
      <c r="BA165">
        <v>189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X165">
        <f>Y165*Source!I142</f>
        <v>1.1068749999999999E-2</v>
      </c>
      <c r="CY165">
        <f>AB165</f>
        <v>656.51</v>
      </c>
      <c r="CZ165">
        <f>AF165</f>
        <v>85.93</v>
      </c>
      <c r="DA165">
        <f>AJ165</f>
        <v>7.64</v>
      </c>
      <c r="DB165">
        <f>ROUND((ROUND(AT165*CZ165,2)*ROUND((1.25*1.15),7)),6)</f>
        <v>24.710625</v>
      </c>
      <c r="DC165">
        <f>ROUND((ROUND(AT165*AG165,2)*ROUND((1.25*1.15),7)),6)</f>
        <v>3.7518750000000001</v>
      </c>
    </row>
    <row r="166" spans="1:107">
      <c r="A166">
        <f>ROW(Source!A142)</f>
        <v>142</v>
      </c>
      <c r="B166">
        <v>31028412</v>
      </c>
      <c r="C166">
        <v>31029074</v>
      </c>
      <c r="D166">
        <v>29149520</v>
      </c>
      <c r="E166">
        <v>1</v>
      </c>
      <c r="F166">
        <v>1</v>
      </c>
      <c r="G166">
        <v>1</v>
      </c>
      <c r="H166">
        <v>2</v>
      </c>
      <c r="I166" t="s">
        <v>790</v>
      </c>
      <c r="J166" t="s">
        <v>791</v>
      </c>
      <c r="K166" t="s">
        <v>792</v>
      </c>
      <c r="L166">
        <v>1368</v>
      </c>
      <c r="N166">
        <v>1011</v>
      </c>
      <c r="O166" t="s">
        <v>780</v>
      </c>
      <c r="P166" t="s">
        <v>780</v>
      </c>
      <c r="Q166">
        <v>1</v>
      </c>
      <c r="W166">
        <v>0</v>
      </c>
      <c r="X166">
        <v>-1931461795</v>
      </c>
      <c r="Y166">
        <v>0.10062500000000001</v>
      </c>
      <c r="AA166">
        <v>0</v>
      </c>
      <c r="AB166">
        <v>699.98</v>
      </c>
      <c r="AC166">
        <v>0</v>
      </c>
      <c r="AD166">
        <v>0</v>
      </c>
      <c r="AE166">
        <v>0</v>
      </c>
      <c r="AF166">
        <v>91.62</v>
      </c>
      <c r="AG166">
        <v>0</v>
      </c>
      <c r="AH166">
        <v>0</v>
      </c>
      <c r="AI166">
        <v>1</v>
      </c>
      <c r="AJ166">
        <v>7.64</v>
      </c>
      <c r="AK166">
        <v>24.22</v>
      </c>
      <c r="AL166">
        <v>1</v>
      </c>
      <c r="AN166">
        <v>0</v>
      </c>
      <c r="AO166">
        <v>1</v>
      </c>
      <c r="AP166">
        <v>1</v>
      </c>
      <c r="AQ166">
        <v>0</v>
      </c>
      <c r="AR166">
        <v>0</v>
      </c>
      <c r="AS166" t="s">
        <v>6</v>
      </c>
      <c r="AT166">
        <v>7.0000000000000007E-2</v>
      </c>
      <c r="AU166" t="s">
        <v>126</v>
      </c>
      <c r="AV166">
        <v>0</v>
      </c>
      <c r="AW166">
        <v>2</v>
      </c>
      <c r="AX166">
        <v>31029085</v>
      </c>
      <c r="AY166">
        <v>1</v>
      </c>
      <c r="AZ166">
        <v>0</v>
      </c>
      <c r="BA166">
        <v>190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X166">
        <f>Y166*Source!I142</f>
        <v>3.8740625000000003E-3</v>
      </c>
      <c r="CY166">
        <f>AB166</f>
        <v>699.98</v>
      </c>
      <c r="CZ166">
        <f>AF166</f>
        <v>91.62</v>
      </c>
      <c r="DA166">
        <f>AJ166</f>
        <v>7.64</v>
      </c>
      <c r="DB166">
        <f>ROUND((ROUND(AT166*CZ166,2)*ROUND((1.25*1.15),7)),6)</f>
        <v>9.2143750000000004</v>
      </c>
      <c r="DC166">
        <f>ROUND((ROUND(AT166*AG166,2)*ROUND((1.25*1.15),7)),6)</f>
        <v>0</v>
      </c>
    </row>
    <row r="167" spans="1:107">
      <c r="A167">
        <f>ROW(Source!A142)</f>
        <v>142</v>
      </c>
      <c r="B167">
        <v>31028412</v>
      </c>
      <c r="C167">
        <v>31029074</v>
      </c>
      <c r="D167">
        <v>29150561</v>
      </c>
      <c r="E167">
        <v>1</v>
      </c>
      <c r="F167">
        <v>1</v>
      </c>
      <c r="G167">
        <v>1</v>
      </c>
      <c r="H167">
        <v>3</v>
      </c>
      <c r="I167" t="s">
        <v>793</v>
      </c>
      <c r="J167" t="s">
        <v>794</v>
      </c>
      <c r="K167" t="s">
        <v>795</v>
      </c>
      <c r="L167">
        <v>1348</v>
      </c>
      <c r="N167">
        <v>1009</v>
      </c>
      <c r="O167" t="s">
        <v>137</v>
      </c>
      <c r="P167" t="s">
        <v>137</v>
      </c>
      <c r="Q167">
        <v>1000</v>
      </c>
      <c r="W167">
        <v>0</v>
      </c>
      <c r="X167">
        <v>-592936270</v>
      </c>
      <c r="Y167">
        <v>4.0000000000000001E-3</v>
      </c>
      <c r="AA167">
        <v>52235.839999999997</v>
      </c>
      <c r="AB167">
        <v>0</v>
      </c>
      <c r="AC167">
        <v>0</v>
      </c>
      <c r="AD167">
        <v>0</v>
      </c>
      <c r="AE167">
        <v>8466.1</v>
      </c>
      <c r="AF167">
        <v>0</v>
      </c>
      <c r="AG167">
        <v>0</v>
      </c>
      <c r="AH167">
        <v>0</v>
      </c>
      <c r="AI167">
        <v>6.17</v>
      </c>
      <c r="AJ167">
        <v>1</v>
      </c>
      <c r="AK167">
        <v>1</v>
      </c>
      <c r="AL167">
        <v>1</v>
      </c>
      <c r="AN167">
        <v>0</v>
      </c>
      <c r="AO167">
        <v>1</v>
      </c>
      <c r="AP167">
        <v>0</v>
      </c>
      <c r="AQ167">
        <v>0</v>
      </c>
      <c r="AR167">
        <v>0</v>
      </c>
      <c r="AS167" t="s">
        <v>6</v>
      </c>
      <c r="AT167">
        <v>4.0000000000000001E-3</v>
      </c>
      <c r="AU167" t="s">
        <v>6</v>
      </c>
      <c r="AV167">
        <v>0</v>
      </c>
      <c r="AW167">
        <v>2</v>
      </c>
      <c r="AX167">
        <v>31029086</v>
      </c>
      <c r="AY167">
        <v>1</v>
      </c>
      <c r="AZ167">
        <v>0</v>
      </c>
      <c r="BA167">
        <v>191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X167">
        <f>Y167*Source!I142</f>
        <v>1.54E-4</v>
      </c>
      <c r="CY167">
        <f>AA167</f>
        <v>52235.839999999997</v>
      </c>
      <c r="CZ167">
        <f>AE167</f>
        <v>8466.1</v>
      </c>
      <c r="DA167">
        <f>AI167</f>
        <v>6.17</v>
      </c>
      <c r="DB167">
        <f>ROUND(ROUND(AT167*CZ167,2),6)</f>
        <v>33.86</v>
      </c>
      <c r="DC167">
        <f>ROUND(ROUND(AT167*AG167,2),6)</f>
        <v>0</v>
      </c>
    </row>
    <row r="168" spans="1:107">
      <c r="A168">
        <f>ROW(Source!A142)</f>
        <v>142</v>
      </c>
      <c r="B168">
        <v>31028412</v>
      </c>
      <c r="C168">
        <v>31029074</v>
      </c>
      <c r="D168">
        <v>29151141</v>
      </c>
      <c r="E168">
        <v>1</v>
      </c>
      <c r="F168">
        <v>1</v>
      </c>
      <c r="G168">
        <v>1</v>
      </c>
      <c r="H168">
        <v>3</v>
      </c>
      <c r="I168" t="s">
        <v>859</v>
      </c>
      <c r="J168" t="s">
        <v>860</v>
      </c>
      <c r="K168" t="s">
        <v>861</v>
      </c>
      <c r="L168">
        <v>1348</v>
      </c>
      <c r="N168">
        <v>1009</v>
      </c>
      <c r="O168" t="s">
        <v>137</v>
      </c>
      <c r="P168" t="s">
        <v>137</v>
      </c>
      <c r="Q168">
        <v>1000</v>
      </c>
      <c r="W168">
        <v>0</v>
      </c>
      <c r="X168">
        <v>-1196663995</v>
      </c>
      <c r="Y168">
        <v>1.2E-2</v>
      </c>
      <c r="AA168">
        <v>54961.62</v>
      </c>
      <c r="AB168">
        <v>0</v>
      </c>
      <c r="AC168">
        <v>0</v>
      </c>
      <c r="AD168">
        <v>0</v>
      </c>
      <c r="AE168">
        <v>8907.8799999999992</v>
      </c>
      <c r="AF168">
        <v>0</v>
      </c>
      <c r="AG168">
        <v>0</v>
      </c>
      <c r="AH168">
        <v>0</v>
      </c>
      <c r="AI168">
        <v>6.17</v>
      </c>
      <c r="AJ168">
        <v>1</v>
      </c>
      <c r="AK168">
        <v>1</v>
      </c>
      <c r="AL168">
        <v>1</v>
      </c>
      <c r="AN168">
        <v>0</v>
      </c>
      <c r="AO168">
        <v>1</v>
      </c>
      <c r="AP168">
        <v>0</v>
      </c>
      <c r="AQ168">
        <v>0</v>
      </c>
      <c r="AR168">
        <v>0</v>
      </c>
      <c r="AS168" t="s">
        <v>6</v>
      </c>
      <c r="AT168">
        <v>1.2E-2</v>
      </c>
      <c r="AU168" t="s">
        <v>6</v>
      </c>
      <c r="AV168">
        <v>0</v>
      </c>
      <c r="AW168">
        <v>2</v>
      </c>
      <c r="AX168">
        <v>31029087</v>
      </c>
      <c r="AY168">
        <v>1</v>
      </c>
      <c r="AZ168">
        <v>0</v>
      </c>
      <c r="BA168">
        <v>192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X168">
        <f>Y168*Source!I142</f>
        <v>4.6200000000000001E-4</v>
      </c>
      <c r="CY168">
        <f>AA168</f>
        <v>54961.62</v>
      </c>
      <c r="CZ168">
        <f>AE168</f>
        <v>8907.8799999999992</v>
      </c>
      <c r="DA168">
        <f>AI168</f>
        <v>6.17</v>
      </c>
      <c r="DB168">
        <f>ROUND(ROUND(AT168*CZ168,2),6)</f>
        <v>106.89</v>
      </c>
      <c r="DC168">
        <f>ROUND(ROUND(AT168*AG168,2),6)</f>
        <v>0</v>
      </c>
    </row>
    <row r="169" spans="1:107">
      <c r="A169">
        <f>ROW(Source!A142)</f>
        <v>142</v>
      </c>
      <c r="B169">
        <v>31028412</v>
      </c>
      <c r="C169">
        <v>31029074</v>
      </c>
      <c r="D169">
        <v>29152118</v>
      </c>
      <c r="E169">
        <v>1</v>
      </c>
      <c r="F169">
        <v>1</v>
      </c>
      <c r="G169">
        <v>1</v>
      </c>
      <c r="H169">
        <v>3</v>
      </c>
      <c r="I169" t="s">
        <v>862</v>
      </c>
      <c r="J169" t="s">
        <v>863</v>
      </c>
      <c r="K169" t="s">
        <v>864</v>
      </c>
      <c r="L169">
        <v>1348</v>
      </c>
      <c r="N169">
        <v>1009</v>
      </c>
      <c r="O169" t="s">
        <v>137</v>
      </c>
      <c r="P169" t="s">
        <v>137</v>
      </c>
      <c r="Q169">
        <v>1000</v>
      </c>
      <c r="W169">
        <v>0</v>
      </c>
      <c r="X169">
        <v>-148970551</v>
      </c>
      <c r="Y169">
        <v>0.78200000000000003</v>
      </c>
      <c r="AA169">
        <v>75073.100000000006</v>
      </c>
      <c r="AB169">
        <v>0</v>
      </c>
      <c r="AC169">
        <v>0</v>
      </c>
      <c r="AD169">
        <v>0</v>
      </c>
      <c r="AE169">
        <v>12167.44</v>
      </c>
      <c r="AF169">
        <v>0</v>
      </c>
      <c r="AG169">
        <v>0</v>
      </c>
      <c r="AH169">
        <v>0</v>
      </c>
      <c r="AI169">
        <v>6.17</v>
      </c>
      <c r="AJ169">
        <v>1</v>
      </c>
      <c r="AK169">
        <v>1</v>
      </c>
      <c r="AL169">
        <v>1</v>
      </c>
      <c r="AN169">
        <v>0</v>
      </c>
      <c r="AO169">
        <v>1</v>
      </c>
      <c r="AP169">
        <v>0</v>
      </c>
      <c r="AQ169">
        <v>0</v>
      </c>
      <c r="AR169">
        <v>0</v>
      </c>
      <c r="AS169" t="s">
        <v>6</v>
      </c>
      <c r="AT169">
        <v>0.78200000000000003</v>
      </c>
      <c r="AU169" t="s">
        <v>6</v>
      </c>
      <c r="AV169">
        <v>0</v>
      </c>
      <c r="AW169">
        <v>2</v>
      </c>
      <c r="AX169">
        <v>31029088</v>
      </c>
      <c r="AY169">
        <v>1</v>
      </c>
      <c r="AZ169">
        <v>0</v>
      </c>
      <c r="BA169">
        <v>193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X169">
        <f>Y169*Source!I142</f>
        <v>3.0107000000000002E-2</v>
      </c>
      <c r="CY169">
        <f>AA169</f>
        <v>75073.100000000006</v>
      </c>
      <c r="CZ169">
        <f>AE169</f>
        <v>12167.44</v>
      </c>
      <c r="DA169">
        <f>AI169</f>
        <v>6.17</v>
      </c>
      <c r="DB169">
        <f>ROUND(ROUND(AT169*CZ169,2),6)</f>
        <v>9514.94</v>
      </c>
      <c r="DC169">
        <f>ROUND(ROUND(AT169*AG169,2),6)</f>
        <v>0</v>
      </c>
    </row>
    <row r="170" spans="1:107">
      <c r="A170">
        <f>ROW(Source!A144)</f>
        <v>144</v>
      </c>
      <c r="B170">
        <v>31028412</v>
      </c>
      <c r="C170">
        <v>31029090</v>
      </c>
      <c r="D170">
        <v>29084574</v>
      </c>
      <c r="E170">
        <v>1</v>
      </c>
      <c r="F170">
        <v>1</v>
      </c>
      <c r="G170">
        <v>1</v>
      </c>
      <c r="H170">
        <v>1</v>
      </c>
      <c r="I170" t="s">
        <v>820</v>
      </c>
      <c r="J170" t="s">
        <v>6</v>
      </c>
      <c r="K170" t="s">
        <v>821</v>
      </c>
      <c r="L170">
        <v>1369</v>
      </c>
      <c r="N170">
        <v>1013</v>
      </c>
      <c r="O170" t="s">
        <v>773</v>
      </c>
      <c r="P170" t="s">
        <v>773</v>
      </c>
      <c r="Q170">
        <v>1</v>
      </c>
      <c r="W170">
        <v>0</v>
      </c>
      <c r="X170">
        <v>-1263252757</v>
      </c>
      <c r="Y170">
        <v>26.242999999999999</v>
      </c>
      <c r="AA170">
        <v>0</v>
      </c>
      <c r="AB170">
        <v>0</v>
      </c>
      <c r="AC170">
        <v>0</v>
      </c>
      <c r="AD170">
        <v>182.38</v>
      </c>
      <c r="AE170">
        <v>0</v>
      </c>
      <c r="AF170">
        <v>0</v>
      </c>
      <c r="AG170">
        <v>0</v>
      </c>
      <c r="AH170">
        <v>7.53</v>
      </c>
      <c r="AI170">
        <v>1</v>
      </c>
      <c r="AJ170">
        <v>1</v>
      </c>
      <c r="AK170">
        <v>1</v>
      </c>
      <c r="AL170">
        <v>24.22</v>
      </c>
      <c r="AN170">
        <v>0</v>
      </c>
      <c r="AO170">
        <v>1</v>
      </c>
      <c r="AP170">
        <v>1</v>
      </c>
      <c r="AQ170">
        <v>0</v>
      </c>
      <c r="AR170">
        <v>0</v>
      </c>
      <c r="AS170" t="s">
        <v>6</v>
      </c>
      <c r="AT170">
        <v>22.82</v>
      </c>
      <c r="AU170" t="s">
        <v>36</v>
      </c>
      <c r="AV170">
        <v>1</v>
      </c>
      <c r="AW170">
        <v>2</v>
      </c>
      <c r="AX170">
        <v>31029092</v>
      </c>
      <c r="AY170">
        <v>1</v>
      </c>
      <c r="AZ170">
        <v>0</v>
      </c>
      <c r="BA170">
        <v>194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X170">
        <f>Y170*Source!I144</f>
        <v>145.38621999999998</v>
      </c>
      <c r="CY170">
        <f>AD170</f>
        <v>182.38</v>
      </c>
      <c r="CZ170">
        <f>AH170</f>
        <v>7.53</v>
      </c>
      <c r="DA170">
        <f>AL170</f>
        <v>24.22</v>
      </c>
      <c r="DB170">
        <f>ROUND((ROUND(AT170*CZ170,2)*ROUND(1.15,7)),6)</f>
        <v>197.6045</v>
      </c>
      <c r="DC170">
        <f>ROUND((ROUND(AT170*AG170,2)*ROUND(1.15,7)),6)</f>
        <v>0</v>
      </c>
    </row>
    <row r="171" spans="1:107">
      <c r="A171">
        <f>ROW(Source!A145)</f>
        <v>145</v>
      </c>
      <c r="B171">
        <v>31028412</v>
      </c>
      <c r="C171">
        <v>31029093</v>
      </c>
      <c r="D171">
        <v>29084590</v>
      </c>
      <c r="E171">
        <v>1</v>
      </c>
      <c r="F171">
        <v>1</v>
      </c>
      <c r="G171">
        <v>1</v>
      </c>
      <c r="H171">
        <v>1</v>
      </c>
      <c r="I171" t="s">
        <v>920</v>
      </c>
      <c r="J171" t="s">
        <v>6</v>
      </c>
      <c r="K171" t="s">
        <v>921</v>
      </c>
      <c r="L171">
        <v>1369</v>
      </c>
      <c r="N171">
        <v>1013</v>
      </c>
      <c r="O171" t="s">
        <v>773</v>
      </c>
      <c r="P171" t="s">
        <v>773</v>
      </c>
      <c r="Q171">
        <v>1</v>
      </c>
      <c r="W171">
        <v>0</v>
      </c>
      <c r="X171">
        <v>1790311140</v>
      </c>
      <c r="Y171">
        <v>119.49649999999998</v>
      </c>
      <c r="AA171">
        <v>0</v>
      </c>
      <c r="AB171">
        <v>0</v>
      </c>
      <c r="AC171">
        <v>0</v>
      </c>
      <c r="AD171">
        <v>189.16</v>
      </c>
      <c r="AE171">
        <v>0</v>
      </c>
      <c r="AF171">
        <v>0</v>
      </c>
      <c r="AG171">
        <v>0</v>
      </c>
      <c r="AH171">
        <v>7.81</v>
      </c>
      <c r="AI171">
        <v>1</v>
      </c>
      <c r="AJ171">
        <v>1</v>
      </c>
      <c r="AK171">
        <v>1</v>
      </c>
      <c r="AL171">
        <v>24.22</v>
      </c>
      <c r="AN171">
        <v>0</v>
      </c>
      <c r="AO171">
        <v>1</v>
      </c>
      <c r="AP171">
        <v>1</v>
      </c>
      <c r="AQ171">
        <v>0</v>
      </c>
      <c r="AR171">
        <v>0</v>
      </c>
      <c r="AS171" t="s">
        <v>6</v>
      </c>
      <c r="AT171">
        <v>103.91</v>
      </c>
      <c r="AU171" t="s">
        <v>36</v>
      </c>
      <c r="AV171">
        <v>1</v>
      </c>
      <c r="AW171">
        <v>2</v>
      </c>
      <c r="AX171">
        <v>31029097</v>
      </c>
      <c r="AY171">
        <v>1</v>
      </c>
      <c r="AZ171">
        <v>0</v>
      </c>
      <c r="BA171">
        <v>195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X171">
        <f>Y171*Source!I145</f>
        <v>39.433844999999998</v>
      </c>
      <c r="CY171">
        <f>AD171</f>
        <v>189.16</v>
      </c>
      <c r="CZ171">
        <f>AH171</f>
        <v>7.81</v>
      </c>
      <c r="DA171">
        <f>AL171</f>
        <v>24.22</v>
      </c>
      <c r="DB171">
        <f>ROUND((ROUND(AT171*CZ171,2)*ROUND(1.15,7)),6)</f>
        <v>933.27099999999996</v>
      </c>
      <c r="DC171">
        <f>ROUND((ROUND(AT171*AG171,2)*ROUND(1.15,7)),6)</f>
        <v>0</v>
      </c>
    </row>
    <row r="172" spans="1:107">
      <c r="A172">
        <f>ROW(Source!A145)</f>
        <v>145</v>
      </c>
      <c r="B172">
        <v>31028412</v>
      </c>
      <c r="C172">
        <v>31029093</v>
      </c>
      <c r="D172">
        <v>29084573</v>
      </c>
      <c r="E172">
        <v>1</v>
      </c>
      <c r="F172">
        <v>1</v>
      </c>
      <c r="G172">
        <v>1</v>
      </c>
      <c r="H172">
        <v>1</v>
      </c>
      <c r="I172" t="s">
        <v>774</v>
      </c>
      <c r="J172" t="s">
        <v>6</v>
      </c>
      <c r="K172" t="s">
        <v>775</v>
      </c>
      <c r="L172">
        <v>608254</v>
      </c>
      <c r="N172">
        <v>1013</v>
      </c>
      <c r="O172" t="s">
        <v>776</v>
      </c>
      <c r="P172" t="s">
        <v>776</v>
      </c>
      <c r="Q172">
        <v>1</v>
      </c>
      <c r="W172">
        <v>0</v>
      </c>
      <c r="X172">
        <v>95408949</v>
      </c>
      <c r="Y172">
        <v>8.9009999999999998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1</v>
      </c>
      <c r="AJ172">
        <v>1</v>
      </c>
      <c r="AK172">
        <v>24.22</v>
      </c>
      <c r="AL172">
        <v>1</v>
      </c>
      <c r="AN172">
        <v>0</v>
      </c>
      <c r="AO172">
        <v>1</v>
      </c>
      <c r="AP172">
        <v>1</v>
      </c>
      <c r="AQ172">
        <v>0</v>
      </c>
      <c r="AR172">
        <v>0</v>
      </c>
      <c r="AS172" t="s">
        <v>6</v>
      </c>
      <c r="AT172">
        <v>7.74</v>
      </c>
      <c r="AU172" t="s">
        <v>36</v>
      </c>
      <c r="AV172">
        <v>2</v>
      </c>
      <c r="AW172">
        <v>2</v>
      </c>
      <c r="AX172">
        <v>31029098</v>
      </c>
      <c r="AY172">
        <v>1</v>
      </c>
      <c r="AZ172">
        <v>0</v>
      </c>
      <c r="BA172">
        <v>196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X172">
        <f>Y172*Source!I145</f>
        <v>2.9373300000000002</v>
      </c>
      <c r="CY172">
        <f>AD172</f>
        <v>0</v>
      </c>
      <c r="CZ172">
        <f>AH172</f>
        <v>0</v>
      </c>
      <c r="DA172">
        <f>AL172</f>
        <v>1</v>
      </c>
      <c r="DB172">
        <f>ROUND((ROUND(AT172*CZ172,2)*ROUND(1.15,7)),6)</f>
        <v>0</v>
      </c>
      <c r="DC172">
        <f>ROUND((ROUND(AT172*AG172,2)*ROUND(1.15,7)),6)</f>
        <v>0</v>
      </c>
    </row>
    <row r="173" spans="1:107">
      <c r="A173">
        <f>ROW(Source!A145)</f>
        <v>145</v>
      </c>
      <c r="B173">
        <v>31028412</v>
      </c>
      <c r="C173">
        <v>31029093</v>
      </c>
      <c r="D173">
        <v>29147732</v>
      </c>
      <c r="E173">
        <v>1</v>
      </c>
      <c r="F173">
        <v>1</v>
      </c>
      <c r="G173">
        <v>1</v>
      </c>
      <c r="H173">
        <v>2</v>
      </c>
      <c r="I173" t="s">
        <v>846</v>
      </c>
      <c r="J173" t="s">
        <v>847</v>
      </c>
      <c r="K173" t="s">
        <v>848</v>
      </c>
      <c r="L173">
        <v>1368</v>
      </c>
      <c r="N173">
        <v>1011</v>
      </c>
      <c r="O173" t="s">
        <v>780</v>
      </c>
      <c r="P173" t="s">
        <v>780</v>
      </c>
      <c r="Q173">
        <v>1</v>
      </c>
      <c r="W173">
        <v>0</v>
      </c>
      <c r="X173">
        <v>-1205898307</v>
      </c>
      <c r="Y173">
        <v>8.9009999999999998</v>
      </c>
      <c r="AA173">
        <v>0</v>
      </c>
      <c r="AB173">
        <v>235.69</v>
      </c>
      <c r="AC173">
        <v>315.58999999999997</v>
      </c>
      <c r="AD173">
        <v>0</v>
      </c>
      <c r="AE173">
        <v>0</v>
      </c>
      <c r="AF173">
        <v>30.85</v>
      </c>
      <c r="AG173">
        <v>13.03</v>
      </c>
      <c r="AH173">
        <v>0</v>
      </c>
      <c r="AI173">
        <v>1</v>
      </c>
      <c r="AJ173">
        <v>7.64</v>
      </c>
      <c r="AK173">
        <v>24.22</v>
      </c>
      <c r="AL173">
        <v>1</v>
      </c>
      <c r="AN173">
        <v>0</v>
      </c>
      <c r="AO173">
        <v>1</v>
      </c>
      <c r="AP173">
        <v>1</v>
      </c>
      <c r="AQ173">
        <v>0</v>
      </c>
      <c r="AR173">
        <v>0</v>
      </c>
      <c r="AS173" t="s">
        <v>6</v>
      </c>
      <c r="AT173">
        <v>7.74</v>
      </c>
      <c r="AU173" t="s">
        <v>36</v>
      </c>
      <c r="AV173">
        <v>0</v>
      </c>
      <c r="AW173">
        <v>2</v>
      </c>
      <c r="AX173">
        <v>31029099</v>
      </c>
      <c r="AY173">
        <v>1</v>
      </c>
      <c r="AZ173">
        <v>0</v>
      </c>
      <c r="BA173">
        <v>197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X173">
        <f>Y173*Source!I145</f>
        <v>2.9373300000000002</v>
      </c>
      <c r="CY173">
        <f>AB173</f>
        <v>235.69</v>
      </c>
      <c r="CZ173">
        <f>AF173</f>
        <v>30.85</v>
      </c>
      <c r="DA173">
        <f>AJ173</f>
        <v>7.64</v>
      </c>
      <c r="DB173">
        <f>ROUND((ROUND(AT173*CZ173,2)*ROUND(1.15,7)),6)</f>
        <v>274.59699999999998</v>
      </c>
      <c r="DC173">
        <f>ROUND((ROUND(AT173*AG173,2)*ROUND(1.15,7)),6)</f>
        <v>115.97750000000001</v>
      </c>
    </row>
    <row r="174" spans="1:107">
      <c r="A174">
        <f>ROW(Source!A147)</f>
        <v>147</v>
      </c>
      <c r="B174">
        <v>31028412</v>
      </c>
      <c r="C174">
        <v>31029101</v>
      </c>
      <c r="D174">
        <v>29084594</v>
      </c>
      <c r="E174">
        <v>1</v>
      </c>
      <c r="F174">
        <v>1</v>
      </c>
      <c r="G174">
        <v>1</v>
      </c>
      <c r="H174">
        <v>1</v>
      </c>
      <c r="I174" t="s">
        <v>922</v>
      </c>
      <c r="J174" t="s">
        <v>6</v>
      </c>
      <c r="K174" t="s">
        <v>923</v>
      </c>
      <c r="L174">
        <v>1369</v>
      </c>
      <c r="N174">
        <v>1013</v>
      </c>
      <c r="O174" t="s">
        <v>773</v>
      </c>
      <c r="P174" t="s">
        <v>773</v>
      </c>
      <c r="Q174">
        <v>1</v>
      </c>
      <c r="W174">
        <v>0</v>
      </c>
      <c r="X174">
        <v>-1364176711</v>
      </c>
      <c r="Y174">
        <v>171.85887499999995</v>
      </c>
      <c r="AA174">
        <v>0</v>
      </c>
      <c r="AB174">
        <v>0</v>
      </c>
      <c r="AC174">
        <v>0</v>
      </c>
      <c r="AD174">
        <v>214.59</v>
      </c>
      <c r="AE174">
        <v>0</v>
      </c>
      <c r="AF174">
        <v>0</v>
      </c>
      <c r="AG174">
        <v>0</v>
      </c>
      <c r="AH174">
        <v>8.86</v>
      </c>
      <c r="AI174">
        <v>1</v>
      </c>
      <c r="AJ174">
        <v>1</v>
      </c>
      <c r="AK174">
        <v>1</v>
      </c>
      <c r="AL174">
        <v>24.22</v>
      </c>
      <c r="AN174">
        <v>0</v>
      </c>
      <c r="AO174">
        <v>1</v>
      </c>
      <c r="AP174">
        <v>1</v>
      </c>
      <c r="AQ174">
        <v>0</v>
      </c>
      <c r="AR174">
        <v>0</v>
      </c>
      <c r="AS174" t="s">
        <v>6</v>
      </c>
      <c r="AT174">
        <v>129.94999999999999</v>
      </c>
      <c r="AU174" t="s">
        <v>127</v>
      </c>
      <c r="AV174">
        <v>1</v>
      </c>
      <c r="AW174">
        <v>2</v>
      </c>
      <c r="AX174">
        <v>31029112</v>
      </c>
      <c r="AY174">
        <v>1</v>
      </c>
      <c r="AZ174">
        <v>0</v>
      </c>
      <c r="BA174">
        <v>198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X174">
        <f>Y174*Source!I147</f>
        <v>130.78460387499996</v>
      </c>
      <c r="CY174">
        <f>AD174</f>
        <v>214.59</v>
      </c>
      <c r="CZ174">
        <f>AH174</f>
        <v>8.86</v>
      </c>
      <c r="DA174">
        <f>AL174</f>
        <v>24.22</v>
      </c>
      <c r="DB174">
        <f>ROUND((ROUND(AT174*CZ174,2)*ROUND((1.15*1.15),7)),6)</f>
        <v>1522.6736000000001</v>
      </c>
      <c r="DC174">
        <f>ROUND((ROUND(AT174*AG174,2)*ROUND((1.15*1.15),7)),6)</f>
        <v>0</v>
      </c>
    </row>
    <row r="175" spans="1:107">
      <c r="A175">
        <f>ROW(Source!A147)</f>
        <v>147</v>
      </c>
      <c r="B175">
        <v>31028412</v>
      </c>
      <c r="C175">
        <v>31029101</v>
      </c>
      <c r="D175">
        <v>29084573</v>
      </c>
      <c r="E175">
        <v>1</v>
      </c>
      <c r="F175">
        <v>1</v>
      </c>
      <c r="G175">
        <v>1</v>
      </c>
      <c r="H175">
        <v>1</v>
      </c>
      <c r="I175" t="s">
        <v>774</v>
      </c>
      <c r="J175" t="s">
        <v>6</v>
      </c>
      <c r="K175" t="s">
        <v>775</v>
      </c>
      <c r="L175">
        <v>608254</v>
      </c>
      <c r="N175">
        <v>1013</v>
      </c>
      <c r="O175" t="s">
        <v>776</v>
      </c>
      <c r="P175" t="s">
        <v>776</v>
      </c>
      <c r="Q175">
        <v>1</v>
      </c>
      <c r="W175">
        <v>0</v>
      </c>
      <c r="X175">
        <v>95408949</v>
      </c>
      <c r="Y175">
        <v>2.0699999999999998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1</v>
      </c>
      <c r="AJ175">
        <v>1</v>
      </c>
      <c r="AK175">
        <v>24.22</v>
      </c>
      <c r="AL175">
        <v>1</v>
      </c>
      <c r="AN175">
        <v>0</v>
      </c>
      <c r="AO175">
        <v>1</v>
      </c>
      <c r="AP175">
        <v>1</v>
      </c>
      <c r="AQ175">
        <v>0</v>
      </c>
      <c r="AR175">
        <v>0</v>
      </c>
      <c r="AS175" t="s">
        <v>6</v>
      </c>
      <c r="AT175">
        <v>1.44</v>
      </c>
      <c r="AU175" t="s">
        <v>126</v>
      </c>
      <c r="AV175">
        <v>2</v>
      </c>
      <c r="AW175">
        <v>2</v>
      </c>
      <c r="AX175">
        <v>31029113</v>
      </c>
      <c r="AY175">
        <v>1</v>
      </c>
      <c r="AZ175">
        <v>0</v>
      </c>
      <c r="BA175">
        <v>199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X175">
        <f>Y175*Source!I147</f>
        <v>1.5752699999999999</v>
      </c>
      <c r="CY175">
        <f>AD175</f>
        <v>0</v>
      </c>
      <c r="CZ175">
        <f>AH175</f>
        <v>0</v>
      </c>
      <c r="DA175">
        <f>AL175</f>
        <v>1</v>
      </c>
      <c r="DB175">
        <f>ROUND((ROUND(AT175*CZ175,2)*ROUND((1.25*1.15),7)),6)</f>
        <v>0</v>
      </c>
      <c r="DC175">
        <f>ROUND((ROUND(AT175*AG175,2)*ROUND((1.25*1.15),7)),6)</f>
        <v>0</v>
      </c>
    </row>
    <row r="176" spans="1:107">
      <c r="A176">
        <f>ROW(Source!A147)</f>
        <v>147</v>
      </c>
      <c r="B176">
        <v>31028412</v>
      </c>
      <c r="C176">
        <v>31029101</v>
      </c>
      <c r="D176">
        <v>29147673</v>
      </c>
      <c r="E176">
        <v>1</v>
      </c>
      <c r="F176">
        <v>1</v>
      </c>
      <c r="G176">
        <v>1</v>
      </c>
      <c r="H176">
        <v>2</v>
      </c>
      <c r="I176" t="s">
        <v>924</v>
      </c>
      <c r="J176" t="s">
        <v>925</v>
      </c>
      <c r="K176" t="s">
        <v>926</v>
      </c>
      <c r="L176">
        <v>1368</v>
      </c>
      <c r="N176">
        <v>1011</v>
      </c>
      <c r="O176" t="s">
        <v>780</v>
      </c>
      <c r="P176" t="s">
        <v>780</v>
      </c>
      <c r="Q176">
        <v>1</v>
      </c>
      <c r="W176">
        <v>0</v>
      </c>
      <c r="X176">
        <v>-149788903</v>
      </c>
      <c r="Y176">
        <v>0.20125000000000001</v>
      </c>
      <c r="AA176">
        <v>0</v>
      </c>
      <c r="AB176">
        <v>748.34</v>
      </c>
      <c r="AC176">
        <v>235.18</v>
      </c>
      <c r="AD176">
        <v>0</v>
      </c>
      <c r="AE176">
        <v>0</v>
      </c>
      <c r="AF176">
        <v>97.95</v>
      </c>
      <c r="AG176">
        <v>9.7100000000000009</v>
      </c>
      <c r="AH176">
        <v>0</v>
      </c>
      <c r="AI176">
        <v>1</v>
      </c>
      <c r="AJ176">
        <v>7.64</v>
      </c>
      <c r="AK176">
        <v>24.22</v>
      </c>
      <c r="AL176">
        <v>1</v>
      </c>
      <c r="AN176">
        <v>0</v>
      </c>
      <c r="AO176">
        <v>1</v>
      </c>
      <c r="AP176">
        <v>1</v>
      </c>
      <c r="AQ176">
        <v>0</v>
      </c>
      <c r="AR176">
        <v>0</v>
      </c>
      <c r="AS176" t="s">
        <v>6</v>
      </c>
      <c r="AT176">
        <v>0.14000000000000001</v>
      </c>
      <c r="AU176" t="s">
        <v>126</v>
      </c>
      <c r="AV176">
        <v>0</v>
      </c>
      <c r="AW176">
        <v>2</v>
      </c>
      <c r="AX176">
        <v>31029114</v>
      </c>
      <c r="AY176">
        <v>1</v>
      </c>
      <c r="AZ176">
        <v>0</v>
      </c>
      <c r="BA176">
        <v>200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X176">
        <f>Y176*Source!I147</f>
        <v>0.15315125000000002</v>
      </c>
      <c r="CY176">
        <f>AB176</f>
        <v>748.34</v>
      </c>
      <c r="CZ176">
        <f>AF176</f>
        <v>97.95</v>
      </c>
      <c r="DA176">
        <f>AJ176</f>
        <v>7.64</v>
      </c>
      <c r="DB176">
        <f>ROUND((ROUND(AT176*CZ176,2)*ROUND((1.25*1.15),7)),6)</f>
        <v>19.708124999999999</v>
      </c>
      <c r="DC176">
        <f>ROUND((ROUND(AT176*AG176,2)*ROUND((1.25*1.15),7)),6)</f>
        <v>1.9550000000000001</v>
      </c>
    </row>
    <row r="177" spans="1:107">
      <c r="A177">
        <f>ROW(Source!A147)</f>
        <v>147</v>
      </c>
      <c r="B177">
        <v>31028412</v>
      </c>
      <c r="C177">
        <v>31029101</v>
      </c>
      <c r="D177">
        <v>29147732</v>
      </c>
      <c r="E177">
        <v>1</v>
      </c>
      <c r="F177">
        <v>1</v>
      </c>
      <c r="G177">
        <v>1</v>
      </c>
      <c r="H177">
        <v>2</v>
      </c>
      <c r="I177" t="s">
        <v>846</v>
      </c>
      <c r="J177" t="s">
        <v>847</v>
      </c>
      <c r="K177" t="s">
        <v>848</v>
      </c>
      <c r="L177">
        <v>1368</v>
      </c>
      <c r="N177">
        <v>1011</v>
      </c>
      <c r="O177" t="s">
        <v>780</v>
      </c>
      <c r="P177" t="s">
        <v>780</v>
      </c>
      <c r="Q177">
        <v>1</v>
      </c>
      <c r="W177">
        <v>0</v>
      </c>
      <c r="X177">
        <v>-1205898307</v>
      </c>
      <c r="Y177">
        <v>1.8687499999999999</v>
      </c>
      <c r="AA177">
        <v>0</v>
      </c>
      <c r="AB177">
        <v>235.69</v>
      </c>
      <c r="AC177">
        <v>315.58999999999997</v>
      </c>
      <c r="AD177">
        <v>0</v>
      </c>
      <c r="AE177">
        <v>0</v>
      </c>
      <c r="AF177">
        <v>30.85</v>
      </c>
      <c r="AG177">
        <v>13.03</v>
      </c>
      <c r="AH177">
        <v>0</v>
      </c>
      <c r="AI177">
        <v>1</v>
      </c>
      <c r="AJ177">
        <v>7.64</v>
      </c>
      <c r="AK177">
        <v>24.22</v>
      </c>
      <c r="AL177">
        <v>1</v>
      </c>
      <c r="AN177">
        <v>0</v>
      </c>
      <c r="AO177">
        <v>1</v>
      </c>
      <c r="AP177">
        <v>1</v>
      </c>
      <c r="AQ177">
        <v>0</v>
      </c>
      <c r="AR177">
        <v>0</v>
      </c>
      <c r="AS177" t="s">
        <v>6</v>
      </c>
      <c r="AT177">
        <v>1.3</v>
      </c>
      <c r="AU177" t="s">
        <v>126</v>
      </c>
      <c r="AV177">
        <v>0</v>
      </c>
      <c r="AW177">
        <v>2</v>
      </c>
      <c r="AX177">
        <v>31029115</v>
      </c>
      <c r="AY177">
        <v>1</v>
      </c>
      <c r="AZ177">
        <v>0</v>
      </c>
      <c r="BA177">
        <v>201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X177">
        <f>Y177*Source!I147</f>
        <v>1.4221187499999999</v>
      </c>
      <c r="CY177">
        <f>AB177</f>
        <v>235.69</v>
      </c>
      <c r="CZ177">
        <f>AF177</f>
        <v>30.85</v>
      </c>
      <c r="DA177">
        <f>AJ177</f>
        <v>7.64</v>
      </c>
      <c r="DB177">
        <f>ROUND((ROUND(AT177*CZ177,2)*ROUND((1.25*1.15),7)),6)</f>
        <v>57.658124999999998</v>
      </c>
      <c r="DC177">
        <f>ROUND((ROUND(AT177*AG177,2)*ROUND((1.25*1.15),7)),6)</f>
        <v>24.35125</v>
      </c>
    </row>
    <row r="178" spans="1:107">
      <c r="A178">
        <f>ROW(Source!A147)</f>
        <v>147</v>
      </c>
      <c r="B178">
        <v>31028412</v>
      </c>
      <c r="C178">
        <v>31029101</v>
      </c>
      <c r="D178">
        <v>29150545</v>
      </c>
      <c r="E178">
        <v>1</v>
      </c>
      <c r="F178">
        <v>1</v>
      </c>
      <c r="G178">
        <v>1</v>
      </c>
      <c r="H178">
        <v>3</v>
      </c>
      <c r="I178" t="s">
        <v>927</v>
      </c>
      <c r="J178" t="s">
        <v>928</v>
      </c>
      <c r="K178" t="s">
        <v>929</v>
      </c>
      <c r="L178">
        <v>1348</v>
      </c>
      <c r="N178">
        <v>1009</v>
      </c>
      <c r="O178" t="s">
        <v>137</v>
      </c>
      <c r="P178" t="s">
        <v>137</v>
      </c>
      <c r="Q178">
        <v>1000</v>
      </c>
      <c r="W178">
        <v>0</v>
      </c>
      <c r="X178">
        <v>1380755080</v>
      </c>
      <c r="Y178">
        <v>2.5000000000000001E-3</v>
      </c>
      <c r="AA178">
        <v>56802.01</v>
      </c>
      <c r="AB178">
        <v>0</v>
      </c>
      <c r="AC178">
        <v>0</v>
      </c>
      <c r="AD178">
        <v>0</v>
      </c>
      <c r="AE178">
        <v>9206.16</v>
      </c>
      <c r="AF178">
        <v>0</v>
      </c>
      <c r="AG178">
        <v>0</v>
      </c>
      <c r="AH178">
        <v>0</v>
      </c>
      <c r="AI178">
        <v>6.17</v>
      </c>
      <c r="AJ178">
        <v>1</v>
      </c>
      <c r="AK178">
        <v>1</v>
      </c>
      <c r="AL178">
        <v>1</v>
      </c>
      <c r="AN178">
        <v>0</v>
      </c>
      <c r="AO178">
        <v>1</v>
      </c>
      <c r="AP178">
        <v>0</v>
      </c>
      <c r="AQ178">
        <v>0</v>
      </c>
      <c r="AR178">
        <v>0</v>
      </c>
      <c r="AS178" t="s">
        <v>6</v>
      </c>
      <c r="AT178">
        <v>2.5000000000000001E-3</v>
      </c>
      <c r="AU178" t="s">
        <v>6</v>
      </c>
      <c r="AV178">
        <v>0</v>
      </c>
      <c r="AW178">
        <v>2</v>
      </c>
      <c r="AX178">
        <v>31029116</v>
      </c>
      <c r="AY178">
        <v>1</v>
      </c>
      <c r="AZ178">
        <v>0</v>
      </c>
      <c r="BA178">
        <v>202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X178">
        <f>Y178*Source!I147</f>
        <v>1.9025000000000001E-3</v>
      </c>
      <c r="CY178">
        <f t="shared" ref="CY178:CY183" si="31">AA178</f>
        <v>56802.01</v>
      </c>
      <c r="CZ178">
        <f t="shared" ref="CZ178:CZ183" si="32">AE178</f>
        <v>9206.16</v>
      </c>
      <c r="DA178">
        <f t="shared" ref="DA178:DA183" si="33">AI178</f>
        <v>6.17</v>
      </c>
      <c r="DB178">
        <f t="shared" ref="DB178:DB183" si="34">ROUND(ROUND(AT178*CZ178,2),6)</f>
        <v>23.02</v>
      </c>
      <c r="DC178">
        <f t="shared" ref="DC178:DC183" si="35">ROUND(ROUND(AT178*AG178,2),6)</f>
        <v>0</v>
      </c>
    </row>
    <row r="179" spans="1:107">
      <c r="A179">
        <f>ROW(Source!A147)</f>
        <v>147</v>
      </c>
      <c r="B179">
        <v>31028412</v>
      </c>
      <c r="C179">
        <v>31029101</v>
      </c>
      <c r="D179">
        <v>29151213</v>
      </c>
      <c r="E179">
        <v>1</v>
      </c>
      <c r="F179">
        <v>1</v>
      </c>
      <c r="G179">
        <v>1</v>
      </c>
      <c r="H179">
        <v>3</v>
      </c>
      <c r="I179" t="s">
        <v>930</v>
      </c>
      <c r="J179" t="s">
        <v>931</v>
      </c>
      <c r="K179" t="s">
        <v>932</v>
      </c>
      <c r="L179">
        <v>1327</v>
      </c>
      <c r="N179">
        <v>1005</v>
      </c>
      <c r="O179" t="s">
        <v>284</v>
      </c>
      <c r="P179" t="s">
        <v>284</v>
      </c>
      <c r="Q179">
        <v>1</v>
      </c>
      <c r="W179">
        <v>0</v>
      </c>
      <c r="X179">
        <v>192456891</v>
      </c>
      <c r="Y179">
        <v>108</v>
      </c>
      <c r="AA179">
        <v>57.94</v>
      </c>
      <c r="AB179">
        <v>0</v>
      </c>
      <c r="AC179">
        <v>0</v>
      </c>
      <c r="AD179">
        <v>0</v>
      </c>
      <c r="AE179">
        <v>9.39</v>
      </c>
      <c r="AF179">
        <v>0</v>
      </c>
      <c r="AG179">
        <v>0</v>
      </c>
      <c r="AH179">
        <v>0</v>
      </c>
      <c r="AI179">
        <v>6.17</v>
      </c>
      <c r="AJ179">
        <v>1</v>
      </c>
      <c r="AK179">
        <v>1</v>
      </c>
      <c r="AL179">
        <v>1</v>
      </c>
      <c r="AN179">
        <v>0</v>
      </c>
      <c r="AO179">
        <v>1</v>
      </c>
      <c r="AP179">
        <v>0</v>
      </c>
      <c r="AQ179">
        <v>0</v>
      </c>
      <c r="AR179">
        <v>0</v>
      </c>
      <c r="AS179" t="s">
        <v>6</v>
      </c>
      <c r="AT179">
        <v>108</v>
      </c>
      <c r="AU179" t="s">
        <v>6</v>
      </c>
      <c r="AV179">
        <v>0</v>
      </c>
      <c r="AW179">
        <v>2</v>
      </c>
      <c r="AX179">
        <v>31029117</v>
      </c>
      <c r="AY179">
        <v>1</v>
      </c>
      <c r="AZ179">
        <v>0</v>
      </c>
      <c r="BA179">
        <v>203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X179">
        <f>Y179*Source!I147</f>
        <v>82.188000000000002</v>
      </c>
      <c r="CY179">
        <f t="shared" si="31"/>
        <v>57.94</v>
      </c>
      <c r="CZ179">
        <f t="shared" si="32"/>
        <v>9.39</v>
      </c>
      <c r="DA179">
        <f t="shared" si="33"/>
        <v>6.17</v>
      </c>
      <c r="DB179">
        <f t="shared" si="34"/>
        <v>1014.12</v>
      </c>
      <c r="DC179">
        <f t="shared" si="35"/>
        <v>0</v>
      </c>
    </row>
    <row r="180" spans="1:107">
      <c r="A180">
        <f>ROW(Source!A147)</f>
        <v>147</v>
      </c>
      <c r="B180">
        <v>31028412</v>
      </c>
      <c r="C180">
        <v>31029101</v>
      </c>
      <c r="D180">
        <v>29151587</v>
      </c>
      <c r="E180">
        <v>1</v>
      </c>
      <c r="F180">
        <v>1</v>
      </c>
      <c r="G180">
        <v>1</v>
      </c>
      <c r="H180">
        <v>3</v>
      </c>
      <c r="I180" t="s">
        <v>933</v>
      </c>
      <c r="J180" t="s">
        <v>934</v>
      </c>
      <c r="K180" t="s">
        <v>935</v>
      </c>
      <c r="L180">
        <v>1348</v>
      </c>
      <c r="N180">
        <v>1009</v>
      </c>
      <c r="O180" t="s">
        <v>137</v>
      </c>
      <c r="P180" t="s">
        <v>137</v>
      </c>
      <c r="Q180">
        <v>1000</v>
      </c>
      <c r="W180">
        <v>0</v>
      </c>
      <c r="X180">
        <v>-157460125</v>
      </c>
      <c r="Y180">
        <v>1.2999999999999999E-2</v>
      </c>
      <c r="AA180">
        <v>2581.71</v>
      </c>
      <c r="AB180">
        <v>0</v>
      </c>
      <c r="AC180">
        <v>0</v>
      </c>
      <c r="AD180">
        <v>0</v>
      </c>
      <c r="AE180">
        <v>418.43</v>
      </c>
      <c r="AF180">
        <v>0</v>
      </c>
      <c r="AG180">
        <v>0</v>
      </c>
      <c r="AH180">
        <v>0</v>
      </c>
      <c r="AI180">
        <v>6.17</v>
      </c>
      <c r="AJ180">
        <v>1</v>
      </c>
      <c r="AK180">
        <v>1</v>
      </c>
      <c r="AL180">
        <v>1</v>
      </c>
      <c r="AN180">
        <v>0</v>
      </c>
      <c r="AO180">
        <v>1</v>
      </c>
      <c r="AP180">
        <v>0</v>
      </c>
      <c r="AQ180">
        <v>0</v>
      </c>
      <c r="AR180">
        <v>0</v>
      </c>
      <c r="AS180" t="s">
        <v>6</v>
      </c>
      <c r="AT180">
        <v>1.2999999999999999E-2</v>
      </c>
      <c r="AU180" t="s">
        <v>6</v>
      </c>
      <c r="AV180">
        <v>0</v>
      </c>
      <c r="AW180">
        <v>2</v>
      </c>
      <c r="AX180">
        <v>31029118</v>
      </c>
      <c r="AY180">
        <v>1</v>
      </c>
      <c r="AZ180">
        <v>0</v>
      </c>
      <c r="BA180">
        <v>204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X180">
        <f>Y180*Source!I147</f>
        <v>9.892999999999999E-3</v>
      </c>
      <c r="CY180">
        <f t="shared" si="31"/>
        <v>2581.71</v>
      </c>
      <c r="CZ180">
        <f t="shared" si="32"/>
        <v>418.43</v>
      </c>
      <c r="DA180">
        <f t="shared" si="33"/>
        <v>6.17</v>
      </c>
      <c r="DB180">
        <f t="shared" si="34"/>
        <v>5.44</v>
      </c>
      <c r="DC180">
        <f t="shared" si="35"/>
        <v>0</v>
      </c>
    </row>
    <row r="181" spans="1:107">
      <c r="A181">
        <f>ROW(Source!A147)</f>
        <v>147</v>
      </c>
      <c r="B181">
        <v>31028412</v>
      </c>
      <c r="C181">
        <v>31029101</v>
      </c>
      <c r="D181">
        <v>29151964</v>
      </c>
      <c r="E181">
        <v>1</v>
      </c>
      <c r="F181">
        <v>1</v>
      </c>
      <c r="G181">
        <v>1</v>
      </c>
      <c r="H181">
        <v>3</v>
      </c>
      <c r="I181" t="s">
        <v>936</v>
      </c>
      <c r="J181" t="s">
        <v>937</v>
      </c>
      <c r="K181" t="s">
        <v>938</v>
      </c>
      <c r="L181">
        <v>1346</v>
      </c>
      <c r="N181">
        <v>1009</v>
      </c>
      <c r="O181" t="s">
        <v>118</v>
      </c>
      <c r="P181" t="s">
        <v>118</v>
      </c>
      <c r="Q181">
        <v>1</v>
      </c>
      <c r="W181">
        <v>0</v>
      </c>
      <c r="X181">
        <v>-699086074</v>
      </c>
      <c r="Y181">
        <v>12</v>
      </c>
      <c r="AA181">
        <v>60.47</v>
      </c>
      <c r="AB181">
        <v>0</v>
      </c>
      <c r="AC181">
        <v>0</v>
      </c>
      <c r="AD181">
        <v>0</v>
      </c>
      <c r="AE181">
        <v>9.8000000000000007</v>
      </c>
      <c r="AF181">
        <v>0</v>
      </c>
      <c r="AG181">
        <v>0</v>
      </c>
      <c r="AH181">
        <v>0</v>
      </c>
      <c r="AI181">
        <v>6.17</v>
      </c>
      <c r="AJ181">
        <v>1</v>
      </c>
      <c r="AK181">
        <v>1</v>
      </c>
      <c r="AL181">
        <v>1</v>
      </c>
      <c r="AN181">
        <v>0</v>
      </c>
      <c r="AO181">
        <v>1</v>
      </c>
      <c r="AP181">
        <v>0</v>
      </c>
      <c r="AQ181">
        <v>0</v>
      </c>
      <c r="AR181">
        <v>0</v>
      </c>
      <c r="AS181" t="s">
        <v>6</v>
      </c>
      <c r="AT181">
        <v>12</v>
      </c>
      <c r="AU181" t="s">
        <v>6</v>
      </c>
      <c r="AV181">
        <v>0</v>
      </c>
      <c r="AW181">
        <v>2</v>
      </c>
      <c r="AX181">
        <v>31029119</v>
      </c>
      <c r="AY181">
        <v>1</v>
      </c>
      <c r="AZ181">
        <v>0</v>
      </c>
      <c r="BA181">
        <v>205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X181">
        <f>Y181*Source!I147</f>
        <v>9.1319999999999997</v>
      </c>
      <c r="CY181">
        <f t="shared" si="31"/>
        <v>60.47</v>
      </c>
      <c r="CZ181">
        <f t="shared" si="32"/>
        <v>9.8000000000000007</v>
      </c>
      <c r="DA181">
        <f t="shared" si="33"/>
        <v>6.17</v>
      </c>
      <c r="DB181">
        <f t="shared" si="34"/>
        <v>117.6</v>
      </c>
      <c r="DC181">
        <f t="shared" si="35"/>
        <v>0</v>
      </c>
    </row>
    <row r="182" spans="1:107">
      <c r="A182">
        <f>ROW(Source!A147)</f>
        <v>147</v>
      </c>
      <c r="B182">
        <v>31028412</v>
      </c>
      <c r="C182">
        <v>31029101</v>
      </c>
      <c r="D182">
        <v>29186569</v>
      </c>
      <c r="E182">
        <v>1</v>
      </c>
      <c r="F182">
        <v>1</v>
      </c>
      <c r="G182">
        <v>1</v>
      </c>
      <c r="H182">
        <v>3</v>
      </c>
      <c r="I182" t="s">
        <v>939</v>
      </c>
      <c r="J182" t="s">
        <v>940</v>
      </c>
      <c r="K182" t="s">
        <v>941</v>
      </c>
      <c r="L182">
        <v>1339</v>
      </c>
      <c r="N182">
        <v>1007</v>
      </c>
      <c r="O182" t="s">
        <v>109</v>
      </c>
      <c r="P182" t="s">
        <v>109</v>
      </c>
      <c r="Q182">
        <v>1</v>
      </c>
      <c r="W182">
        <v>0</v>
      </c>
      <c r="X182">
        <v>-913915397</v>
      </c>
      <c r="Y182">
        <v>3.1</v>
      </c>
      <c r="AA182">
        <v>2827.59</v>
      </c>
      <c r="AB182">
        <v>0</v>
      </c>
      <c r="AC182">
        <v>0</v>
      </c>
      <c r="AD182">
        <v>0</v>
      </c>
      <c r="AE182">
        <v>458.28</v>
      </c>
      <c r="AF182">
        <v>0</v>
      </c>
      <c r="AG182">
        <v>0</v>
      </c>
      <c r="AH182">
        <v>0</v>
      </c>
      <c r="AI182">
        <v>6.17</v>
      </c>
      <c r="AJ182">
        <v>1</v>
      </c>
      <c r="AK182">
        <v>1</v>
      </c>
      <c r="AL182">
        <v>1</v>
      </c>
      <c r="AN182">
        <v>0</v>
      </c>
      <c r="AO182">
        <v>1</v>
      </c>
      <c r="AP182">
        <v>0</v>
      </c>
      <c r="AQ182">
        <v>0</v>
      </c>
      <c r="AR182">
        <v>0</v>
      </c>
      <c r="AS182" t="s">
        <v>6</v>
      </c>
      <c r="AT182">
        <v>3.1</v>
      </c>
      <c r="AU182" t="s">
        <v>6</v>
      </c>
      <c r="AV182">
        <v>0</v>
      </c>
      <c r="AW182">
        <v>2</v>
      </c>
      <c r="AX182">
        <v>31029120</v>
      </c>
      <c r="AY182">
        <v>1</v>
      </c>
      <c r="AZ182">
        <v>0</v>
      </c>
      <c r="BA182">
        <v>206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X182">
        <f>Y182*Source!I147</f>
        <v>2.3591000000000002</v>
      </c>
      <c r="CY182">
        <f t="shared" si="31"/>
        <v>2827.59</v>
      </c>
      <c r="CZ182">
        <f t="shared" si="32"/>
        <v>458.28</v>
      </c>
      <c r="DA182">
        <f t="shared" si="33"/>
        <v>6.17</v>
      </c>
      <c r="DB182">
        <f t="shared" si="34"/>
        <v>1420.67</v>
      </c>
      <c r="DC182">
        <f t="shared" si="35"/>
        <v>0</v>
      </c>
    </row>
    <row r="183" spans="1:107">
      <c r="A183">
        <f>ROW(Source!A147)</f>
        <v>147</v>
      </c>
      <c r="B183">
        <v>31028412</v>
      </c>
      <c r="C183">
        <v>31029101</v>
      </c>
      <c r="D183">
        <v>29195171</v>
      </c>
      <c r="E183">
        <v>1</v>
      </c>
      <c r="F183">
        <v>1</v>
      </c>
      <c r="G183">
        <v>1</v>
      </c>
      <c r="H183">
        <v>3</v>
      </c>
      <c r="I183" t="s">
        <v>830</v>
      </c>
      <c r="J183" t="s">
        <v>831</v>
      </c>
      <c r="K183" t="s">
        <v>832</v>
      </c>
      <c r="L183">
        <v>1339</v>
      </c>
      <c r="N183">
        <v>1007</v>
      </c>
      <c r="O183" t="s">
        <v>109</v>
      </c>
      <c r="P183" t="s">
        <v>109</v>
      </c>
      <c r="Q183">
        <v>1</v>
      </c>
      <c r="W183">
        <v>0</v>
      </c>
      <c r="X183">
        <v>2050165204</v>
      </c>
      <c r="Y183">
        <v>0.01</v>
      </c>
      <c r="AA183">
        <v>15.12</v>
      </c>
      <c r="AB183">
        <v>0</v>
      </c>
      <c r="AC183">
        <v>0</v>
      </c>
      <c r="AD183">
        <v>0</v>
      </c>
      <c r="AE183">
        <v>2.4500000000000002</v>
      </c>
      <c r="AF183">
        <v>0</v>
      </c>
      <c r="AG183">
        <v>0</v>
      </c>
      <c r="AH183">
        <v>0</v>
      </c>
      <c r="AI183">
        <v>6.17</v>
      </c>
      <c r="AJ183">
        <v>1</v>
      </c>
      <c r="AK183">
        <v>1</v>
      </c>
      <c r="AL183">
        <v>1</v>
      </c>
      <c r="AN183">
        <v>0</v>
      </c>
      <c r="AO183">
        <v>1</v>
      </c>
      <c r="AP183">
        <v>0</v>
      </c>
      <c r="AQ183">
        <v>0</v>
      </c>
      <c r="AR183">
        <v>0</v>
      </c>
      <c r="AS183" t="s">
        <v>6</v>
      </c>
      <c r="AT183">
        <v>0.01</v>
      </c>
      <c r="AU183" t="s">
        <v>6</v>
      </c>
      <c r="AV183">
        <v>0</v>
      </c>
      <c r="AW183">
        <v>2</v>
      </c>
      <c r="AX183">
        <v>31029121</v>
      </c>
      <c r="AY183">
        <v>1</v>
      </c>
      <c r="AZ183">
        <v>0</v>
      </c>
      <c r="BA183">
        <v>207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X183">
        <f>Y183*Source!I147</f>
        <v>7.6100000000000004E-3</v>
      </c>
      <c r="CY183">
        <f t="shared" si="31"/>
        <v>15.12</v>
      </c>
      <c r="CZ183">
        <f t="shared" si="32"/>
        <v>2.4500000000000002</v>
      </c>
      <c r="DA183">
        <f t="shared" si="33"/>
        <v>6.17</v>
      </c>
      <c r="DB183">
        <f t="shared" si="34"/>
        <v>0.02</v>
      </c>
      <c r="DC183">
        <f t="shared" si="35"/>
        <v>0</v>
      </c>
    </row>
    <row r="184" spans="1:107">
      <c r="A184">
        <f>ROW(Source!A148)</f>
        <v>148</v>
      </c>
      <c r="B184">
        <v>31028412</v>
      </c>
      <c r="C184">
        <v>31029122</v>
      </c>
      <c r="D184">
        <v>29084596</v>
      </c>
      <c r="E184">
        <v>1</v>
      </c>
      <c r="F184">
        <v>1</v>
      </c>
      <c r="G184">
        <v>1</v>
      </c>
      <c r="H184">
        <v>1</v>
      </c>
      <c r="I184" t="s">
        <v>893</v>
      </c>
      <c r="J184" t="s">
        <v>6</v>
      </c>
      <c r="K184" t="s">
        <v>894</v>
      </c>
      <c r="L184">
        <v>1369</v>
      </c>
      <c r="N184">
        <v>1013</v>
      </c>
      <c r="O184" t="s">
        <v>773</v>
      </c>
      <c r="P184" t="s">
        <v>773</v>
      </c>
      <c r="Q184">
        <v>1</v>
      </c>
      <c r="W184">
        <v>0</v>
      </c>
      <c r="X184">
        <v>1607597053</v>
      </c>
      <c r="Y184">
        <v>15.856774999999997</v>
      </c>
      <c r="AA184">
        <v>0</v>
      </c>
      <c r="AB184">
        <v>0</v>
      </c>
      <c r="AC184">
        <v>0</v>
      </c>
      <c r="AD184">
        <v>222.34</v>
      </c>
      <c r="AE184">
        <v>0</v>
      </c>
      <c r="AF184">
        <v>0</v>
      </c>
      <c r="AG184">
        <v>0</v>
      </c>
      <c r="AH184">
        <v>9.18</v>
      </c>
      <c r="AI184">
        <v>1</v>
      </c>
      <c r="AJ184">
        <v>1</v>
      </c>
      <c r="AK184">
        <v>1</v>
      </c>
      <c r="AL184">
        <v>24.22</v>
      </c>
      <c r="AN184">
        <v>0</v>
      </c>
      <c r="AO184">
        <v>1</v>
      </c>
      <c r="AP184">
        <v>1</v>
      </c>
      <c r="AQ184">
        <v>0</v>
      </c>
      <c r="AR184">
        <v>0</v>
      </c>
      <c r="AS184" t="s">
        <v>6</v>
      </c>
      <c r="AT184">
        <v>11.99</v>
      </c>
      <c r="AU184" t="s">
        <v>127</v>
      </c>
      <c r="AV184">
        <v>1</v>
      </c>
      <c r="AW184">
        <v>2</v>
      </c>
      <c r="AX184">
        <v>31029130</v>
      </c>
      <c r="AY184">
        <v>1</v>
      </c>
      <c r="AZ184">
        <v>0</v>
      </c>
      <c r="BA184">
        <v>208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X184">
        <f>Y184*Source!I148</f>
        <v>12.067005774999998</v>
      </c>
      <c r="CY184">
        <f>AD184</f>
        <v>222.34</v>
      </c>
      <c r="CZ184">
        <f>AH184</f>
        <v>9.18</v>
      </c>
      <c r="DA184">
        <f>AL184</f>
        <v>24.22</v>
      </c>
      <c r="DB184">
        <f>ROUND((ROUND(AT184*CZ184,2)*ROUND((1.15*1.15),7)),6)</f>
        <v>145.56757500000001</v>
      </c>
      <c r="DC184">
        <f>ROUND((ROUND(AT184*AG184,2)*ROUND((1.15*1.15),7)),6)</f>
        <v>0</v>
      </c>
    </row>
    <row r="185" spans="1:107">
      <c r="A185">
        <f>ROW(Source!A148)</f>
        <v>148</v>
      </c>
      <c r="B185">
        <v>31028412</v>
      </c>
      <c r="C185">
        <v>31029122</v>
      </c>
      <c r="D185">
        <v>29084573</v>
      </c>
      <c r="E185">
        <v>1</v>
      </c>
      <c r="F185">
        <v>1</v>
      </c>
      <c r="G185">
        <v>1</v>
      </c>
      <c r="H185">
        <v>1</v>
      </c>
      <c r="I185" t="s">
        <v>774</v>
      </c>
      <c r="J185" t="s">
        <v>6</v>
      </c>
      <c r="K185" t="s">
        <v>775</v>
      </c>
      <c r="L185">
        <v>608254</v>
      </c>
      <c r="N185">
        <v>1013</v>
      </c>
      <c r="O185" t="s">
        <v>776</v>
      </c>
      <c r="P185" t="s">
        <v>776</v>
      </c>
      <c r="Q185">
        <v>1</v>
      </c>
      <c r="W185">
        <v>0</v>
      </c>
      <c r="X185">
        <v>95408949</v>
      </c>
      <c r="Y185">
        <v>1.4374999999999999E-2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1</v>
      </c>
      <c r="AJ185">
        <v>1</v>
      </c>
      <c r="AK185">
        <v>24.22</v>
      </c>
      <c r="AL185">
        <v>1</v>
      </c>
      <c r="AN185">
        <v>0</v>
      </c>
      <c r="AO185">
        <v>1</v>
      </c>
      <c r="AP185">
        <v>1</v>
      </c>
      <c r="AQ185">
        <v>0</v>
      </c>
      <c r="AR185">
        <v>0</v>
      </c>
      <c r="AS185" t="s">
        <v>6</v>
      </c>
      <c r="AT185">
        <v>0.01</v>
      </c>
      <c r="AU185" t="s">
        <v>126</v>
      </c>
      <c r="AV185">
        <v>2</v>
      </c>
      <c r="AW185">
        <v>2</v>
      </c>
      <c r="AX185">
        <v>31029131</v>
      </c>
      <c r="AY185">
        <v>1</v>
      </c>
      <c r="AZ185">
        <v>0</v>
      </c>
      <c r="BA185">
        <v>209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X185">
        <f>Y185*Source!I148</f>
        <v>1.0939374999999999E-2</v>
      </c>
      <c r="CY185">
        <f>AD185</f>
        <v>0</v>
      </c>
      <c r="CZ185">
        <f>AH185</f>
        <v>0</v>
      </c>
      <c r="DA185">
        <f>AL185</f>
        <v>1</v>
      </c>
      <c r="DB185">
        <f>ROUND((ROUND(AT185*CZ185,2)*ROUND((1.25*1.15),7)),6)</f>
        <v>0</v>
      </c>
      <c r="DC185">
        <f>ROUND((ROUND(AT185*AG185,2)*ROUND((1.25*1.15),7)),6)</f>
        <v>0</v>
      </c>
    </row>
    <row r="186" spans="1:107">
      <c r="A186">
        <f>ROW(Source!A148)</f>
        <v>148</v>
      </c>
      <c r="B186">
        <v>31028412</v>
      </c>
      <c r="C186">
        <v>31029122</v>
      </c>
      <c r="D186">
        <v>29147732</v>
      </c>
      <c r="E186">
        <v>1</v>
      </c>
      <c r="F186">
        <v>1</v>
      </c>
      <c r="G186">
        <v>1</v>
      </c>
      <c r="H186">
        <v>2</v>
      </c>
      <c r="I186" t="s">
        <v>846</v>
      </c>
      <c r="J186" t="s">
        <v>847</v>
      </c>
      <c r="K186" t="s">
        <v>848</v>
      </c>
      <c r="L186">
        <v>1368</v>
      </c>
      <c r="N186">
        <v>1011</v>
      </c>
      <c r="O186" t="s">
        <v>780</v>
      </c>
      <c r="P186" t="s">
        <v>780</v>
      </c>
      <c r="Q186">
        <v>1</v>
      </c>
      <c r="W186">
        <v>0</v>
      </c>
      <c r="X186">
        <v>-1205898307</v>
      </c>
      <c r="Y186">
        <v>1.4374999999999999E-2</v>
      </c>
      <c r="AA186">
        <v>0</v>
      </c>
      <c r="AB186">
        <v>235.69</v>
      </c>
      <c r="AC186">
        <v>315.58999999999997</v>
      </c>
      <c r="AD186">
        <v>0</v>
      </c>
      <c r="AE186">
        <v>0</v>
      </c>
      <c r="AF186">
        <v>30.85</v>
      </c>
      <c r="AG186">
        <v>13.03</v>
      </c>
      <c r="AH186">
        <v>0</v>
      </c>
      <c r="AI186">
        <v>1</v>
      </c>
      <c r="AJ186">
        <v>7.64</v>
      </c>
      <c r="AK186">
        <v>24.22</v>
      </c>
      <c r="AL186">
        <v>1</v>
      </c>
      <c r="AN186">
        <v>0</v>
      </c>
      <c r="AO186">
        <v>1</v>
      </c>
      <c r="AP186">
        <v>1</v>
      </c>
      <c r="AQ186">
        <v>0</v>
      </c>
      <c r="AR186">
        <v>0</v>
      </c>
      <c r="AS186" t="s">
        <v>6</v>
      </c>
      <c r="AT186">
        <v>0.01</v>
      </c>
      <c r="AU186" t="s">
        <v>126</v>
      </c>
      <c r="AV186">
        <v>0</v>
      </c>
      <c r="AW186">
        <v>2</v>
      </c>
      <c r="AX186">
        <v>31029132</v>
      </c>
      <c r="AY186">
        <v>1</v>
      </c>
      <c r="AZ186">
        <v>0</v>
      </c>
      <c r="BA186">
        <v>210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X186">
        <f>Y186*Source!I148</f>
        <v>1.0939374999999999E-2</v>
      </c>
      <c r="CY186">
        <f>AB186</f>
        <v>235.69</v>
      </c>
      <c r="CZ186">
        <f>AF186</f>
        <v>30.85</v>
      </c>
      <c r="DA186">
        <f>AJ186</f>
        <v>7.64</v>
      </c>
      <c r="DB186">
        <f>ROUND((ROUND(AT186*CZ186,2)*ROUND((1.25*1.15),7)),6)</f>
        <v>0.44562499999999999</v>
      </c>
      <c r="DC186">
        <f>ROUND((ROUND(AT186*AG186,2)*ROUND((1.25*1.15),7)),6)</f>
        <v>0.18687500000000001</v>
      </c>
    </row>
    <row r="187" spans="1:107">
      <c r="A187">
        <f>ROW(Source!A148)</f>
        <v>148</v>
      </c>
      <c r="B187">
        <v>31028412</v>
      </c>
      <c r="C187">
        <v>31029122</v>
      </c>
      <c r="D187">
        <v>29149520</v>
      </c>
      <c r="E187">
        <v>1</v>
      </c>
      <c r="F187">
        <v>1</v>
      </c>
      <c r="G187">
        <v>1</v>
      </c>
      <c r="H187">
        <v>2</v>
      </c>
      <c r="I187" t="s">
        <v>790</v>
      </c>
      <c r="J187" t="s">
        <v>791</v>
      </c>
      <c r="K187" t="s">
        <v>792</v>
      </c>
      <c r="L187">
        <v>1368</v>
      </c>
      <c r="N187">
        <v>1011</v>
      </c>
      <c r="O187" t="s">
        <v>780</v>
      </c>
      <c r="P187" t="s">
        <v>780</v>
      </c>
      <c r="Q187">
        <v>1</v>
      </c>
      <c r="W187">
        <v>0</v>
      </c>
      <c r="X187">
        <v>-1931461795</v>
      </c>
      <c r="Y187">
        <v>4.3124999999999997E-2</v>
      </c>
      <c r="AA187">
        <v>0</v>
      </c>
      <c r="AB187">
        <v>699.98</v>
      </c>
      <c r="AC187">
        <v>0</v>
      </c>
      <c r="AD187">
        <v>0</v>
      </c>
      <c r="AE187">
        <v>0</v>
      </c>
      <c r="AF187">
        <v>91.62</v>
      </c>
      <c r="AG187">
        <v>0</v>
      </c>
      <c r="AH187">
        <v>0</v>
      </c>
      <c r="AI187">
        <v>1</v>
      </c>
      <c r="AJ187">
        <v>7.64</v>
      </c>
      <c r="AK187">
        <v>24.22</v>
      </c>
      <c r="AL187">
        <v>1</v>
      </c>
      <c r="AN187">
        <v>0</v>
      </c>
      <c r="AO187">
        <v>1</v>
      </c>
      <c r="AP187">
        <v>1</v>
      </c>
      <c r="AQ187">
        <v>0</v>
      </c>
      <c r="AR187">
        <v>0</v>
      </c>
      <c r="AS187" t="s">
        <v>6</v>
      </c>
      <c r="AT187">
        <v>0.03</v>
      </c>
      <c r="AU187" t="s">
        <v>126</v>
      </c>
      <c r="AV187">
        <v>0</v>
      </c>
      <c r="AW187">
        <v>2</v>
      </c>
      <c r="AX187">
        <v>31029133</v>
      </c>
      <c r="AY187">
        <v>1</v>
      </c>
      <c r="AZ187">
        <v>0</v>
      </c>
      <c r="BA187">
        <v>211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X187">
        <f>Y187*Source!I148</f>
        <v>3.2818124999999997E-2</v>
      </c>
      <c r="CY187">
        <f>AB187</f>
        <v>699.98</v>
      </c>
      <c r="CZ187">
        <f>AF187</f>
        <v>91.62</v>
      </c>
      <c r="DA187">
        <f>AJ187</f>
        <v>7.64</v>
      </c>
      <c r="DB187">
        <f>ROUND((ROUND(AT187*CZ187,2)*ROUND((1.25*1.15),7)),6)</f>
        <v>3.953125</v>
      </c>
      <c r="DC187">
        <f>ROUND((ROUND(AT187*AG187,2)*ROUND((1.25*1.15),7)),6)</f>
        <v>0</v>
      </c>
    </row>
    <row r="188" spans="1:107">
      <c r="A188">
        <f>ROW(Source!A148)</f>
        <v>148</v>
      </c>
      <c r="B188">
        <v>31028412</v>
      </c>
      <c r="C188">
        <v>31029122</v>
      </c>
      <c r="D188">
        <v>29151861</v>
      </c>
      <c r="E188">
        <v>1</v>
      </c>
      <c r="F188">
        <v>1</v>
      </c>
      <c r="G188">
        <v>1</v>
      </c>
      <c r="H188">
        <v>3</v>
      </c>
      <c r="I188" t="s">
        <v>835</v>
      </c>
      <c r="J188" t="s">
        <v>836</v>
      </c>
      <c r="K188" t="s">
        <v>837</v>
      </c>
      <c r="L188">
        <v>1327</v>
      </c>
      <c r="N188">
        <v>1005</v>
      </c>
      <c r="O188" t="s">
        <v>284</v>
      </c>
      <c r="P188" t="s">
        <v>284</v>
      </c>
      <c r="Q188">
        <v>1</v>
      </c>
      <c r="W188">
        <v>0</v>
      </c>
      <c r="X188">
        <v>1527270933</v>
      </c>
      <c r="Y188">
        <v>4.4000000000000004</v>
      </c>
      <c r="AA188">
        <v>452.82</v>
      </c>
      <c r="AB188">
        <v>0</v>
      </c>
      <c r="AC188">
        <v>0</v>
      </c>
      <c r="AD188">
        <v>0</v>
      </c>
      <c r="AE188">
        <v>73.39</v>
      </c>
      <c r="AF188">
        <v>0</v>
      </c>
      <c r="AG188">
        <v>0</v>
      </c>
      <c r="AH188">
        <v>0</v>
      </c>
      <c r="AI188">
        <v>6.17</v>
      </c>
      <c r="AJ188">
        <v>1</v>
      </c>
      <c r="AK188">
        <v>1</v>
      </c>
      <c r="AL188">
        <v>1</v>
      </c>
      <c r="AN188">
        <v>0</v>
      </c>
      <c r="AO188">
        <v>1</v>
      </c>
      <c r="AP188">
        <v>0</v>
      </c>
      <c r="AQ188">
        <v>0</v>
      </c>
      <c r="AR188">
        <v>0</v>
      </c>
      <c r="AS188" t="s">
        <v>6</v>
      </c>
      <c r="AT188">
        <v>4.4000000000000004</v>
      </c>
      <c r="AU188" t="s">
        <v>6</v>
      </c>
      <c r="AV188">
        <v>0</v>
      </c>
      <c r="AW188">
        <v>2</v>
      </c>
      <c r="AX188">
        <v>31029134</v>
      </c>
      <c r="AY188">
        <v>1</v>
      </c>
      <c r="AZ188">
        <v>0</v>
      </c>
      <c r="BA188">
        <v>212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X188">
        <f>Y188*Source!I148</f>
        <v>3.3484000000000003</v>
      </c>
      <c r="CY188">
        <f>AA188</f>
        <v>452.82</v>
      </c>
      <c r="CZ188">
        <f>AE188</f>
        <v>73.39</v>
      </c>
      <c r="DA188">
        <f>AI188</f>
        <v>6.17</v>
      </c>
      <c r="DB188">
        <f>ROUND(ROUND(AT188*CZ188,2),6)</f>
        <v>322.92</v>
      </c>
      <c r="DC188">
        <f>ROUND(ROUND(AT188*AG188,2),6)</f>
        <v>0</v>
      </c>
    </row>
    <row r="189" spans="1:107">
      <c r="A189">
        <f>ROW(Source!A148)</f>
        <v>148</v>
      </c>
      <c r="B189">
        <v>31028412</v>
      </c>
      <c r="C189">
        <v>31029122</v>
      </c>
      <c r="D189">
        <v>29151929</v>
      </c>
      <c r="E189">
        <v>1</v>
      </c>
      <c r="F189">
        <v>1</v>
      </c>
      <c r="G189">
        <v>1</v>
      </c>
      <c r="H189">
        <v>3</v>
      </c>
      <c r="I189" t="s">
        <v>914</v>
      </c>
      <c r="J189" t="s">
        <v>915</v>
      </c>
      <c r="K189" t="s">
        <v>916</v>
      </c>
      <c r="L189">
        <v>1348</v>
      </c>
      <c r="N189">
        <v>1009</v>
      </c>
      <c r="O189" t="s">
        <v>137</v>
      </c>
      <c r="P189" t="s">
        <v>137</v>
      </c>
      <c r="Q189">
        <v>1000</v>
      </c>
      <c r="W189">
        <v>0</v>
      </c>
      <c r="X189">
        <v>-706211403</v>
      </c>
      <c r="Y189">
        <v>2.9000000000000001E-2</v>
      </c>
      <c r="AA189">
        <v>19447.53</v>
      </c>
      <c r="AB189">
        <v>0</v>
      </c>
      <c r="AC189">
        <v>0</v>
      </c>
      <c r="AD189">
        <v>0</v>
      </c>
      <c r="AE189">
        <v>3151.95</v>
      </c>
      <c r="AF189">
        <v>0</v>
      </c>
      <c r="AG189">
        <v>0</v>
      </c>
      <c r="AH189">
        <v>0</v>
      </c>
      <c r="AI189">
        <v>6.17</v>
      </c>
      <c r="AJ189">
        <v>1</v>
      </c>
      <c r="AK189">
        <v>1</v>
      </c>
      <c r="AL189">
        <v>1</v>
      </c>
      <c r="AN189">
        <v>0</v>
      </c>
      <c r="AO189">
        <v>1</v>
      </c>
      <c r="AP189">
        <v>0</v>
      </c>
      <c r="AQ189">
        <v>0</v>
      </c>
      <c r="AR189">
        <v>0</v>
      </c>
      <c r="AS189" t="s">
        <v>6</v>
      </c>
      <c r="AT189">
        <v>2.9000000000000001E-2</v>
      </c>
      <c r="AU189" t="s">
        <v>6</v>
      </c>
      <c r="AV189">
        <v>0</v>
      </c>
      <c r="AW189">
        <v>2</v>
      </c>
      <c r="AX189">
        <v>31029135</v>
      </c>
      <c r="AY189">
        <v>1</v>
      </c>
      <c r="AZ189">
        <v>0</v>
      </c>
      <c r="BA189">
        <v>213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X189">
        <f>Y189*Source!I148</f>
        <v>2.2069000000000002E-2</v>
      </c>
      <c r="CY189">
        <f>AA189</f>
        <v>19447.53</v>
      </c>
      <c r="CZ189">
        <f>AE189</f>
        <v>3151.95</v>
      </c>
      <c r="DA189">
        <f>AI189</f>
        <v>6.17</v>
      </c>
      <c r="DB189">
        <f>ROUND(ROUND(AT189*CZ189,2),6)</f>
        <v>91.41</v>
      </c>
      <c r="DC189">
        <f>ROUND(ROUND(AT189*AG189,2),6)</f>
        <v>0</v>
      </c>
    </row>
    <row r="190" spans="1:107">
      <c r="A190">
        <f>ROW(Source!A148)</f>
        <v>148</v>
      </c>
      <c r="B190">
        <v>31028412</v>
      </c>
      <c r="C190">
        <v>31029122</v>
      </c>
      <c r="D190">
        <v>29152014</v>
      </c>
      <c r="E190">
        <v>1</v>
      </c>
      <c r="F190">
        <v>1</v>
      </c>
      <c r="G190">
        <v>1</v>
      </c>
      <c r="H190">
        <v>3</v>
      </c>
      <c r="I190" t="s">
        <v>838</v>
      </c>
      <c r="J190" t="s">
        <v>839</v>
      </c>
      <c r="K190" t="s">
        <v>840</v>
      </c>
      <c r="L190">
        <v>1346</v>
      </c>
      <c r="N190">
        <v>1009</v>
      </c>
      <c r="O190" t="s">
        <v>118</v>
      </c>
      <c r="P190" t="s">
        <v>118</v>
      </c>
      <c r="Q190">
        <v>1</v>
      </c>
      <c r="W190">
        <v>0</v>
      </c>
      <c r="X190">
        <v>-1526040720</v>
      </c>
      <c r="Y190">
        <v>0.15</v>
      </c>
      <c r="AA190">
        <v>11.97</v>
      </c>
      <c r="AB190">
        <v>0</v>
      </c>
      <c r="AC190">
        <v>0</v>
      </c>
      <c r="AD190">
        <v>0</v>
      </c>
      <c r="AE190">
        <v>1.94</v>
      </c>
      <c r="AF190">
        <v>0</v>
      </c>
      <c r="AG190">
        <v>0</v>
      </c>
      <c r="AH190">
        <v>0</v>
      </c>
      <c r="AI190">
        <v>6.17</v>
      </c>
      <c r="AJ190">
        <v>1</v>
      </c>
      <c r="AK190">
        <v>1</v>
      </c>
      <c r="AL190">
        <v>1</v>
      </c>
      <c r="AN190">
        <v>0</v>
      </c>
      <c r="AO190">
        <v>1</v>
      </c>
      <c r="AP190">
        <v>0</v>
      </c>
      <c r="AQ190">
        <v>0</v>
      </c>
      <c r="AR190">
        <v>0</v>
      </c>
      <c r="AS190" t="s">
        <v>6</v>
      </c>
      <c r="AT190">
        <v>0.15</v>
      </c>
      <c r="AU190" t="s">
        <v>6</v>
      </c>
      <c r="AV190">
        <v>0</v>
      </c>
      <c r="AW190">
        <v>2</v>
      </c>
      <c r="AX190">
        <v>31029136</v>
      </c>
      <c r="AY190">
        <v>1</v>
      </c>
      <c r="AZ190">
        <v>0</v>
      </c>
      <c r="BA190">
        <v>214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X190">
        <f>Y190*Source!I148</f>
        <v>0.11415</v>
      </c>
      <c r="CY190">
        <f>AA190</f>
        <v>11.97</v>
      </c>
      <c r="CZ190">
        <f>AE190</f>
        <v>1.94</v>
      </c>
      <c r="DA190">
        <f>AI190</f>
        <v>6.17</v>
      </c>
      <c r="DB190">
        <f>ROUND(ROUND(AT190*CZ190,2),6)</f>
        <v>0.28999999999999998</v>
      </c>
      <c r="DC190">
        <f>ROUND(ROUND(AT190*AG190,2),6)</f>
        <v>0</v>
      </c>
    </row>
    <row r="191" spans="1:107">
      <c r="A191">
        <f>ROW(Source!A149)</f>
        <v>149</v>
      </c>
      <c r="B191">
        <v>31028412</v>
      </c>
      <c r="C191">
        <v>31029137</v>
      </c>
      <c r="D191">
        <v>29084579</v>
      </c>
      <c r="E191">
        <v>1</v>
      </c>
      <c r="F191">
        <v>1</v>
      </c>
      <c r="G191">
        <v>1</v>
      </c>
      <c r="H191">
        <v>1</v>
      </c>
      <c r="I191" t="s">
        <v>849</v>
      </c>
      <c r="J191" t="s">
        <v>6</v>
      </c>
      <c r="K191" t="s">
        <v>850</v>
      </c>
      <c r="L191">
        <v>1369</v>
      </c>
      <c r="N191">
        <v>1013</v>
      </c>
      <c r="O191" t="s">
        <v>773</v>
      </c>
      <c r="P191" t="s">
        <v>773</v>
      </c>
      <c r="Q191">
        <v>1</v>
      </c>
      <c r="W191">
        <v>0</v>
      </c>
      <c r="X191">
        <v>260198247</v>
      </c>
      <c r="Y191">
        <v>90.921875</v>
      </c>
      <c r="AA191">
        <v>0</v>
      </c>
      <c r="AB191">
        <v>0</v>
      </c>
      <c r="AC191">
        <v>0</v>
      </c>
      <c r="AD191">
        <v>225</v>
      </c>
      <c r="AE191">
        <v>0</v>
      </c>
      <c r="AF191">
        <v>0</v>
      </c>
      <c r="AG191">
        <v>0</v>
      </c>
      <c r="AH191">
        <v>9.2899999999999991</v>
      </c>
      <c r="AI191">
        <v>1</v>
      </c>
      <c r="AJ191">
        <v>1</v>
      </c>
      <c r="AK191">
        <v>1</v>
      </c>
      <c r="AL191">
        <v>24.22</v>
      </c>
      <c r="AN191">
        <v>0</v>
      </c>
      <c r="AO191">
        <v>1</v>
      </c>
      <c r="AP191">
        <v>1</v>
      </c>
      <c r="AQ191">
        <v>0</v>
      </c>
      <c r="AR191">
        <v>0</v>
      </c>
      <c r="AS191" t="s">
        <v>6</v>
      </c>
      <c r="AT191">
        <v>68.75</v>
      </c>
      <c r="AU191" t="s">
        <v>127</v>
      </c>
      <c r="AV191">
        <v>1</v>
      </c>
      <c r="AW191">
        <v>2</v>
      </c>
      <c r="AX191">
        <v>31029146</v>
      </c>
      <c r="AY191">
        <v>1</v>
      </c>
      <c r="AZ191">
        <v>0</v>
      </c>
      <c r="BA191">
        <v>215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X191">
        <f>Y191*Source!I149</f>
        <v>69.191546875</v>
      </c>
      <c r="CY191">
        <f>AD191</f>
        <v>225</v>
      </c>
      <c r="CZ191">
        <f>AH191</f>
        <v>9.2899999999999991</v>
      </c>
      <c r="DA191">
        <f>AL191</f>
        <v>24.22</v>
      </c>
      <c r="DB191">
        <f>ROUND((ROUND(AT191*CZ191,2)*ROUND((1.15*1.15),7)),6)</f>
        <v>844.66752499999996</v>
      </c>
      <c r="DC191">
        <f>ROUND((ROUND(AT191*AG191,2)*ROUND((1.15*1.15),7)),6)</f>
        <v>0</v>
      </c>
    </row>
    <row r="192" spans="1:107">
      <c r="A192">
        <f>ROW(Source!A149)</f>
        <v>149</v>
      </c>
      <c r="B192">
        <v>31028412</v>
      </c>
      <c r="C192">
        <v>31029137</v>
      </c>
      <c r="D192">
        <v>29084573</v>
      </c>
      <c r="E192">
        <v>1</v>
      </c>
      <c r="F192">
        <v>1</v>
      </c>
      <c r="G192">
        <v>1</v>
      </c>
      <c r="H192">
        <v>1</v>
      </c>
      <c r="I192" t="s">
        <v>774</v>
      </c>
      <c r="J192" t="s">
        <v>6</v>
      </c>
      <c r="K192" t="s">
        <v>775</v>
      </c>
      <c r="L192">
        <v>608254</v>
      </c>
      <c r="N192">
        <v>1013</v>
      </c>
      <c r="O192" t="s">
        <v>776</v>
      </c>
      <c r="P192" t="s">
        <v>776</v>
      </c>
      <c r="Q192">
        <v>1</v>
      </c>
      <c r="W192">
        <v>0</v>
      </c>
      <c r="X192">
        <v>95408949</v>
      </c>
      <c r="Y192">
        <v>4.3124999999999997E-2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1</v>
      </c>
      <c r="AJ192">
        <v>1</v>
      </c>
      <c r="AK192">
        <v>24.22</v>
      </c>
      <c r="AL192">
        <v>1</v>
      </c>
      <c r="AN192">
        <v>0</v>
      </c>
      <c r="AO192">
        <v>1</v>
      </c>
      <c r="AP192">
        <v>1</v>
      </c>
      <c r="AQ192">
        <v>0</v>
      </c>
      <c r="AR192">
        <v>0</v>
      </c>
      <c r="AS192" t="s">
        <v>6</v>
      </c>
      <c r="AT192">
        <v>0.03</v>
      </c>
      <c r="AU192" t="s">
        <v>126</v>
      </c>
      <c r="AV192">
        <v>2</v>
      </c>
      <c r="AW192">
        <v>2</v>
      </c>
      <c r="AX192">
        <v>31029147</v>
      </c>
      <c r="AY192">
        <v>1</v>
      </c>
      <c r="AZ192">
        <v>0</v>
      </c>
      <c r="BA192">
        <v>216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X192">
        <f>Y192*Source!I149</f>
        <v>3.2818124999999997E-2</v>
      </c>
      <c r="CY192">
        <f>AD192</f>
        <v>0</v>
      </c>
      <c r="CZ192">
        <f>AH192</f>
        <v>0</v>
      </c>
      <c r="DA192">
        <f>AL192</f>
        <v>1</v>
      </c>
      <c r="DB192">
        <f>ROUND((ROUND(AT192*CZ192,2)*ROUND((1.25*1.15),7)),6)</f>
        <v>0</v>
      </c>
      <c r="DC192">
        <f>ROUND((ROUND(AT192*AG192,2)*ROUND((1.25*1.15),7)),6)</f>
        <v>0</v>
      </c>
    </row>
    <row r="193" spans="1:107">
      <c r="A193">
        <f>ROW(Source!A149)</f>
        <v>149</v>
      </c>
      <c r="B193">
        <v>31028412</v>
      </c>
      <c r="C193">
        <v>31029137</v>
      </c>
      <c r="D193">
        <v>29147732</v>
      </c>
      <c r="E193">
        <v>1</v>
      </c>
      <c r="F193">
        <v>1</v>
      </c>
      <c r="G193">
        <v>1</v>
      </c>
      <c r="H193">
        <v>2</v>
      </c>
      <c r="I193" t="s">
        <v>846</v>
      </c>
      <c r="J193" t="s">
        <v>847</v>
      </c>
      <c r="K193" t="s">
        <v>848</v>
      </c>
      <c r="L193">
        <v>1368</v>
      </c>
      <c r="N193">
        <v>1011</v>
      </c>
      <c r="O193" t="s">
        <v>780</v>
      </c>
      <c r="P193" t="s">
        <v>780</v>
      </c>
      <c r="Q193">
        <v>1</v>
      </c>
      <c r="W193">
        <v>0</v>
      </c>
      <c r="X193">
        <v>-1205898307</v>
      </c>
      <c r="Y193">
        <v>4.3124999999999997E-2</v>
      </c>
      <c r="AA193">
        <v>0</v>
      </c>
      <c r="AB193">
        <v>235.69</v>
      </c>
      <c r="AC193">
        <v>315.58999999999997</v>
      </c>
      <c r="AD193">
        <v>0</v>
      </c>
      <c r="AE193">
        <v>0</v>
      </c>
      <c r="AF193">
        <v>30.85</v>
      </c>
      <c r="AG193">
        <v>13.03</v>
      </c>
      <c r="AH193">
        <v>0</v>
      </c>
      <c r="AI193">
        <v>1</v>
      </c>
      <c r="AJ193">
        <v>7.64</v>
      </c>
      <c r="AK193">
        <v>24.22</v>
      </c>
      <c r="AL193">
        <v>1</v>
      </c>
      <c r="AN193">
        <v>0</v>
      </c>
      <c r="AO193">
        <v>1</v>
      </c>
      <c r="AP193">
        <v>1</v>
      </c>
      <c r="AQ193">
        <v>0</v>
      </c>
      <c r="AR193">
        <v>0</v>
      </c>
      <c r="AS193" t="s">
        <v>6</v>
      </c>
      <c r="AT193">
        <v>0.03</v>
      </c>
      <c r="AU193" t="s">
        <v>126</v>
      </c>
      <c r="AV193">
        <v>0</v>
      </c>
      <c r="AW193">
        <v>2</v>
      </c>
      <c r="AX193">
        <v>31029148</v>
      </c>
      <c r="AY193">
        <v>1</v>
      </c>
      <c r="AZ193">
        <v>0</v>
      </c>
      <c r="BA193">
        <v>217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X193">
        <f>Y193*Source!I149</f>
        <v>3.2818124999999997E-2</v>
      </c>
      <c r="CY193">
        <f>AB193</f>
        <v>235.69</v>
      </c>
      <c r="CZ193">
        <f>AF193</f>
        <v>30.85</v>
      </c>
      <c r="DA193">
        <f>AJ193</f>
        <v>7.64</v>
      </c>
      <c r="DB193">
        <f>ROUND((ROUND(AT193*CZ193,2)*ROUND((1.25*1.15),7)),6)</f>
        <v>1.336875</v>
      </c>
      <c r="DC193">
        <f>ROUND((ROUND(AT193*AG193,2)*ROUND((1.25*1.15),7)),6)</f>
        <v>0.56062500000000004</v>
      </c>
    </row>
    <row r="194" spans="1:107">
      <c r="A194">
        <f>ROW(Source!A149)</f>
        <v>149</v>
      </c>
      <c r="B194">
        <v>31028412</v>
      </c>
      <c r="C194">
        <v>31029137</v>
      </c>
      <c r="D194">
        <v>29149520</v>
      </c>
      <c r="E194">
        <v>1</v>
      </c>
      <c r="F194">
        <v>1</v>
      </c>
      <c r="G194">
        <v>1</v>
      </c>
      <c r="H194">
        <v>2</v>
      </c>
      <c r="I194" t="s">
        <v>790</v>
      </c>
      <c r="J194" t="s">
        <v>791</v>
      </c>
      <c r="K194" t="s">
        <v>792</v>
      </c>
      <c r="L194">
        <v>1368</v>
      </c>
      <c r="N194">
        <v>1011</v>
      </c>
      <c r="O194" t="s">
        <v>780</v>
      </c>
      <c r="P194" t="s">
        <v>780</v>
      </c>
      <c r="Q194">
        <v>1</v>
      </c>
      <c r="W194">
        <v>0</v>
      </c>
      <c r="X194">
        <v>-1931461795</v>
      </c>
      <c r="Y194">
        <v>0.28749999999999998</v>
      </c>
      <c r="AA194">
        <v>0</v>
      </c>
      <c r="AB194">
        <v>699.98</v>
      </c>
      <c r="AC194">
        <v>0</v>
      </c>
      <c r="AD194">
        <v>0</v>
      </c>
      <c r="AE194">
        <v>0</v>
      </c>
      <c r="AF194">
        <v>91.62</v>
      </c>
      <c r="AG194">
        <v>0</v>
      </c>
      <c r="AH194">
        <v>0</v>
      </c>
      <c r="AI194">
        <v>1</v>
      </c>
      <c r="AJ194">
        <v>7.64</v>
      </c>
      <c r="AK194">
        <v>24.22</v>
      </c>
      <c r="AL194">
        <v>1</v>
      </c>
      <c r="AN194">
        <v>0</v>
      </c>
      <c r="AO194">
        <v>1</v>
      </c>
      <c r="AP194">
        <v>1</v>
      </c>
      <c r="AQ194">
        <v>0</v>
      </c>
      <c r="AR194">
        <v>0</v>
      </c>
      <c r="AS194" t="s">
        <v>6</v>
      </c>
      <c r="AT194">
        <v>0.2</v>
      </c>
      <c r="AU194" t="s">
        <v>126</v>
      </c>
      <c r="AV194">
        <v>0</v>
      </c>
      <c r="AW194">
        <v>2</v>
      </c>
      <c r="AX194">
        <v>31029149</v>
      </c>
      <c r="AY194">
        <v>1</v>
      </c>
      <c r="AZ194">
        <v>0</v>
      </c>
      <c r="BA194">
        <v>218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X194">
        <f>Y194*Source!I149</f>
        <v>0.2187875</v>
      </c>
      <c r="CY194">
        <f>AB194</f>
        <v>699.98</v>
      </c>
      <c r="CZ194">
        <f>AF194</f>
        <v>91.62</v>
      </c>
      <c r="DA194">
        <f>AJ194</f>
        <v>7.64</v>
      </c>
      <c r="DB194">
        <f>ROUND((ROUND(AT194*CZ194,2)*ROUND((1.25*1.15),7)),6)</f>
        <v>26.335000000000001</v>
      </c>
      <c r="DC194">
        <f>ROUND((ROUND(AT194*AG194,2)*ROUND((1.25*1.15),7)),6)</f>
        <v>0</v>
      </c>
    </row>
    <row r="195" spans="1:107">
      <c r="A195">
        <f>ROW(Source!A149)</f>
        <v>149</v>
      </c>
      <c r="B195">
        <v>31028412</v>
      </c>
      <c r="C195">
        <v>31029137</v>
      </c>
      <c r="D195">
        <v>29151861</v>
      </c>
      <c r="E195">
        <v>1</v>
      </c>
      <c r="F195">
        <v>1</v>
      </c>
      <c r="G195">
        <v>1</v>
      </c>
      <c r="H195">
        <v>3</v>
      </c>
      <c r="I195" t="s">
        <v>835</v>
      </c>
      <c r="J195" t="s">
        <v>836</v>
      </c>
      <c r="K195" t="s">
        <v>837</v>
      </c>
      <c r="L195">
        <v>1327</v>
      </c>
      <c r="N195">
        <v>1005</v>
      </c>
      <c r="O195" t="s">
        <v>284</v>
      </c>
      <c r="P195" t="s">
        <v>284</v>
      </c>
      <c r="Q195">
        <v>1</v>
      </c>
      <c r="W195">
        <v>0</v>
      </c>
      <c r="X195">
        <v>1527270933</v>
      </c>
      <c r="Y195">
        <v>0.88</v>
      </c>
      <c r="AA195">
        <v>452.82</v>
      </c>
      <c r="AB195">
        <v>0</v>
      </c>
      <c r="AC195">
        <v>0</v>
      </c>
      <c r="AD195">
        <v>0</v>
      </c>
      <c r="AE195">
        <v>73.39</v>
      </c>
      <c r="AF195">
        <v>0</v>
      </c>
      <c r="AG195">
        <v>0</v>
      </c>
      <c r="AH195">
        <v>0</v>
      </c>
      <c r="AI195">
        <v>6.17</v>
      </c>
      <c r="AJ195">
        <v>1</v>
      </c>
      <c r="AK195">
        <v>1</v>
      </c>
      <c r="AL195">
        <v>1</v>
      </c>
      <c r="AN195">
        <v>0</v>
      </c>
      <c r="AO195">
        <v>1</v>
      </c>
      <c r="AP195">
        <v>0</v>
      </c>
      <c r="AQ195">
        <v>0</v>
      </c>
      <c r="AR195">
        <v>0</v>
      </c>
      <c r="AS195" t="s">
        <v>6</v>
      </c>
      <c r="AT195">
        <v>0.88</v>
      </c>
      <c r="AU195" t="s">
        <v>6</v>
      </c>
      <c r="AV195">
        <v>0</v>
      </c>
      <c r="AW195">
        <v>2</v>
      </c>
      <c r="AX195">
        <v>31029150</v>
      </c>
      <c r="AY195">
        <v>1</v>
      </c>
      <c r="AZ195">
        <v>0</v>
      </c>
      <c r="BA195">
        <v>219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X195">
        <f>Y195*Source!I149</f>
        <v>0.66968000000000005</v>
      </c>
      <c r="CY195">
        <f>AA195</f>
        <v>452.82</v>
      </c>
      <c r="CZ195">
        <f>AE195</f>
        <v>73.39</v>
      </c>
      <c r="DA195">
        <f>AI195</f>
        <v>6.17</v>
      </c>
      <c r="DB195">
        <f>ROUND(ROUND(AT195*CZ195,2),6)</f>
        <v>64.58</v>
      </c>
      <c r="DC195">
        <f>ROUND(ROUND(AT195*AG195,2),6)</f>
        <v>0</v>
      </c>
    </row>
    <row r="196" spans="1:107">
      <c r="A196">
        <f>ROW(Source!A149)</f>
        <v>149</v>
      </c>
      <c r="B196">
        <v>31028412</v>
      </c>
      <c r="C196">
        <v>31029137</v>
      </c>
      <c r="D196">
        <v>29151971</v>
      </c>
      <c r="E196">
        <v>1</v>
      </c>
      <c r="F196">
        <v>1</v>
      </c>
      <c r="G196">
        <v>1</v>
      </c>
      <c r="H196">
        <v>3</v>
      </c>
      <c r="I196" t="s">
        <v>942</v>
      </c>
      <c r="J196" t="s">
        <v>943</v>
      </c>
      <c r="K196" t="s">
        <v>944</v>
      </c>
      <c r="L196">
        <v>1348</v>
      </c>
      <c r="N196">
        <v>1009</v>
      </c>
      <c r="O196" t="s">
        <v>137</v>
      </c>
      <c r="P196" t="s">
        <v>137</v>
      </c>
      <c r="Q196">
        <v>1000</v>
      </c>
      <c r="W196">
        <v>0</v>
      </c>
      <c r="X196">
        <v>-1321245919</v>
      </c>
      <c r="Y196">
        <v>7.9000000000000001E-2</v>
      </c>
      <c r="AA196">
        <v>20431.34</v>
      </c>
      <c r="AB196">
        <v>0</v>
      </c>
      <c r="AC196">
        <v>0</v>
      </c>
      <c r="AD196">
        <v>0</v>
      </c>
      <c r="AE196">
        <v>3311.4</v>
      </c>
      <c r="AF196">
        <v>0</v>
      </c>
      <c r="AG196">
        <v>0</v>
      </c>
      <c r="AH196">
        <v>0</v>
      </c>
      <c r="AI196">
        <v>6.17</v>
      </c>
      <c r="AJ196">
        <v>1</v>
      </c>
      <c r="AK196">
        <v>1</v>
      </c>
      <c r="AL196">
        <v>1</v>
      </c>
      <c r="AN196">
        <v>0</v>
      </c>
      <c r="AO196">
        <v>1</v>
      </c>
      <c r="AP196">
        <v>0</v>
      </c>
      <c r="AQ196">
        <v>0</v>
      </c>
      <c r="AR196">
        <v>0</v>
      </c>
      <c r="AS196" t="s">
        <v>6</v>
      </c>
      <c r="AT196">
        <v>7.9000000000000001E-2</v>
      </c>
      <c r="AU196" t="s">
        <v>6</v>
      </c>
      <c r="AV196">
        <v>0</v>
      </c>
      <c r="AW196">
        <v>2</v>
      </c>
      <c r="AX196">
        <v>31029151</v>
      </c>
      <c r="AY196">
        <v>1</v>
      </c>
      <c r="AZ196">
        <v>0</v>
      </c>
      <c r="BA196">
        <v>220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X196">
        <f>Y196*Source!I149</f>
        <v>6.0118999999999999E-2</v>
      </c>
      <c r="CY196">
        <f>AA196</f>
        <v>20431.34</v>
      </c>
      <c r="CZ196">
        <f>AE196</f>
        <v>3311.4</v>
      </c>
      <c r="DA196">
        <f>AI196</f>
        <v>6.17</v>
      </c>
      <c r="DB196">
        <f>ROUND(ROUND(AT196*CZ196,2),6)</f>
        <v>261.60000000000002</v>
      </c>
      <c r="DC196">
        <f>ROUND(ROUND(AT196*AG196,2),6)</f>
        <v>0</v>
      </c>
    </row>
    <row r="197" spans="1:107">
      <c r="A197">
        <f>ROW(Source!A149)</f>
        <v>149</v>
      </c>
      <c r="B197">
        <v>31028412</v>
      </c>
      <c r="C197">
        <v>31029137</v>
      </c>
      <c r="D197">
        <v>29152014</v>
      </c>
      <c r="E197">
        <v>1</v>
      </c>
      <c r="F197">
        <v>1</v>
      </c>
      <c r="G197">
        <v>1</v>
      </c>
      <c r="H197">
        <v>3</v>
      </c>
      <c r="I197" t="s">
        <v>838</v>
      </c>
      <c r="J197" t="s">
        <v>839</v>
      </c>
      <c r="K197" t="s">
        <v>840</v>
      </c>
      <c r="L197">
        <v>1346</v>
      </c>
      <c r="N197">
        <v>1009</v>
      </c>
      <c r="O197" t="s">
        <v>118</v>
      </c>
      <c r="P197" t="s">
        <v>118</v>
      </c>
      <c r="Q197">
        <v>1</v>
      </c>
      <c r="W197">
        <v>0</v>
      </c>
      <c r="X197">
        <v>-1526040720</v>
      </c>
      <c r="Y197">
        <v>0.36</v>
      </c>
      <c r="AA197">
        <v>11.97</v>
      </c>
      <c r="AB197">
        <v>0</v>
      </c>
      <c r="AC197">
        <v>0</v>
      </c>
      <c r="AD197">
        <v>0</v>
      </c>
      <c r="AE197">
        <v>1.94</v>
      </c>
      <c r="AF197">
        <v>0</v>
      </c>
      <c r="AG197">
        <v>0</v>
      </c>
      <c r="AH197">
        <v>0</v>
      </c>
      <c r="AI197">
        <v>6.17</v>
      </c>
      <c r="AJ197">
        <v>1</v>
      </c>
      <c r="AK197">
        <v>1</v>
      </c>
      <c r="AL197">
        <v>1</v>
      </c>
      <c r="AN197">
        <v>0</v>
      </c>
      <c r="AO197">
        <v>1</v>
      </c>
      <c r="AP197">
        <v>0</v>
      </c>
      <c r="AQ197">
        <v>0</v>
      </c>
      <c r="AR197">
        <v>0</v>
      </c>
      <c r="AS197" t="s">
        <v>6</v>
      </c>
      <c r="AT197">
        <v>0.36</v>
      </c>
      <c r="AU197" t="s">
        <v>6</v>
      </c>
      <c r="AV197">
        <v>0</v>
      </c>
      <c r="AW197">
        <v>2</v>
      </c>
      <c r="AX197">
        <v>31029152</v>
      </c>
      <c r="AY197">
        <v>1</v>
      </c>
      <c r="AZ197">
        <v>0</v>
      </c>
      <c r="BA197">
        <v>221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X197">
        <f>Y197*Source!I149</f>
        <v>0.27395999999999998</v>
      </c>
      <c r="CY197">
        <f>AA197</f>
        <v>11.97</v>
      </c>
      <c r="CZ197">
        <f>AE197</f>
        <v>1.94</v>
      </c>
      <c r="DA197">
        <f>AI197</f>
        <v>6.17</v>
      </c>
      <c r="DB197">
        <f>ROUND(ROUND(AT197*CZ197,2),6)</f>
        <v>0.7</v>
      </c>
      <c r="DC197">
        <f>ROUND(ROUND(AT197*AG197,2),6)</f>
        <v>0</v>
      </c>
    </row>
    <row r="198" spans="1:107">
      <c r="A198">
        <f>ROW(Source!A149)</f>
        <v>149</v>
      </c>
      <c r="B198">
        <v>31028412</v>
      </c>
      <c r="C198">
        <v>31029137</v>
      </c>
      <c r="D198">
        <v>29152186</v>
      </c>
      <c r="E198">
        <v>1</v>
      </c>
      <c r="F198">
        <v>1</v>
      </c>
      <c r="G198">
        <v>1</v>
      </c>
      <c r="H198">
        <v>3</v>
      </c>
      <c r="I198" t="s">
        <v>945</v>
      </c>
      <c r="J198" t="s">
        <v>946</v>
      </c>
      <c r="K198" t="s">
        <v>947</v>
      </c>
      <c r="L198">
        <v>1348</v>
      </c>
      <c r="N198">
        <v>1009</v>
      </c>
      <c r="O198" t="s">
        <v>137</v>
      </c>
      <c r="P198" t="s">
        <v>137</v>
      </c>
      <c r="Q198">
        <v>1000</v>
      </c>
      <c r="W198">
        <v>0</v>
      </c>
      <c r="X198">
        <v>-1792658963</v>
      </c>
      <c r="Y198">
        <v>6.3E-2</v>
      </c>
      <c r="AA198">
        <v>103671.36</v>
      </c>
      <c r="AB198">
        <v>0</v>
      </c>
      <c r="AC198">
        <v>0</v>
      </c>
      <c r="AD198">
        <v>0</v>
      </c>
      <c r="AE198">
        <v>16802.490000000002</v>
      </c>
      <c r="AF198">
        <v>0</v>
      </c>
      <c r="AG198">
        <v>0</v>
      </c>
      <c r="AH198">
        <v>0</v>
      </c>
      <c r="AI198">
        <v>6.17</v>
      </c>
      <c r="AJ198">
        <v>1</v>
      </c>
      <c r="AK198">
        <v>1</v>
      </c>
      <c r="AL198">
        <v>1</v>
      </c>
      <c r="AN198">
        <v>0</v>
      </c>
      <c r="AO198">
        <v>1</v>
      </c>
      <c r="AP198">
        <v>0</v>
      </c>
      <c r="AQ198">
        <v>0</v>
      </c>
      <c r="AR198">
        <v>0</v>
      </c>
      <c r="AS198" t="s">
        <v>6</v>
      </c>
      <c r="AT198">
        <v>6.3E-2</v>
      </c>
      <c r="AU198" t="s">
        <v>6</v>
      </c>
      <c r="AV198">
        <v>0</v>
      </c>
      <c r="AW198">
        <v>2</v>
      </c>
      <c r="AX198">
        <v>31029153</v>
      </c>
      <c r="AY198">
        <v>1</v>
      </c>
      <c r="AZ198">
        <v>0</v>
      </c>
      <c r="BA198">
        <v>222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X198">
        <f>Y198*Source!I149</f>
        <v>4.7943E-2</v>
      </c>
      <c r="CY198">
        <f>AA198</f>
        <v>103671.36</v>
      </c>
      <c r="CZ198">
        <f>AE198</f>
        <v>16802.490000000002</v>
      </c>
      <c r="DA198">
        <f>AI198</f>
        <v>6.17</v>
      </c>
      <c r="DB198">
        <f>ROUND(ROUND(AT198*CZ198,2),6)</f>
        <v>1058.56</v>
      </c>
      <c r="DC198">
        <f>ROUND(ROUND(AT198*AG198,2),6)</f>
        <v>0</v>
      </c>
    </row>
    <row r="199" spans="1:107">
      <c r="A199">
        <f>ROW(Source!A151)</f>
        <v>151</v>
      </c>
      <c r="B199">
        <v>31028412</v>
      </c>
      <c r="C199">
        <v>31029155</v>
      </c>
      <c r="D199">
        <v>29084594</v>
      </c>
      <c r="E199">
        <v>1</v>
      </c>
      <c r="F199">
        <v>1</v>
      </c>
      <c r="G199">
        <v>1</v>
      </c>
      <c r="H199">
        <v>1</v>
      </c>
      <c r="I199" t="s">
        <v>922</v>
      </c>
      <c r="J199" t="s">
        <v>6</v>
      </c>
      <c r="K199" t="s">
        <v>923</v>
      </c>
      <c r="L199">
        <v>1369</v>
      </c>
      <c r="N199">
        <v>1013</v>
      </c>
      <c r="O199" t="s">
        <v>773</v>
      </c>
      <c r="P199" t="s">
        <v>773</v>
      </c>
      <c r="Q199">
        <v>1</v>
      </c>
      <c r="W199">
        <v>0</v>
      </c>
      <c r="X199">
        <v>-1364176711</v>
      </c>
      <c r="Y199">
        <v>191.28639999999996</v>
      </c>
      <c r="AA199">
        <v>0</v>
      </c>
      <c r="AB199">
        <v>0</v>
      </c>
      <c r="AC199">
        <v>0</v>
      </c>
      <c r="AD199">
        <v>214.59</v>
      </c>
      <c r="AE199">
        <v>0</v>
      </c>
      <c r="AF199">
        <v>0</v>
      </c>
      <c r="AG199">
        <v>0</v>
      </c>
      <c r="AH199">
        <v>8.86</v>
      </c>
      <c r="AI199">
        <v>1</v>
      </c>
      <c r="AJ199">
        <v>1</v>
      </c>
      <c r="AK199">
        <v>1</v>
      </c>
      <c r="AL199">
        <v>24.22</v>
      </c>
      <c r="AN199">
        <v>0</v>
      </c>
      <c r="AO199">
        <v>1</v>
      </c>
      <c r="AP199">
        <v>1</v>
      </c>
      <c r="AQ199">
        <v>0</v>
      </c>
      <c r="AR199">
        <v>0</v>
      </c>
      <c r="AS199" t="s">
        <v>6</v>
      </c>
      <c r="AT199">
        <v>144.63999999999999</v>
      </c>
      <c r="AU199" t="s">
        <v>127</v>
      </c>
      <c r="AV199">
        <v>1</v>
      </c>
      <c r="AW199">
        <v>2</v>
      </c>
      <c r="AX199">
        <v>31029166</v>
      </c>
      <c r="AY199">
        <v>1</v>
      </c>
      <c r="AZ199">
        <v>0</v>
      </c>
      <c r="BA199">
        <v>223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X199">
        <f>Y199*Source!I151</f>
        <v>94.878054399999982</v>
      </c>
      <c r="CY199">
        <f>AD199</f>
        <v>214.59</v>
      </c>
      <c r="CZ199">
        <f>AH199</f>
        <v>8.86</v>
      </c>
      <c r="DA199">
        <f>AL199</f>
        <v>24.22</v>
      </c>
      <c r="DB199">
        <f>ROUND((ROUND(AT199*CZ199,2)*ROUND((1.15*1.15),7)),6)</f>
        <v>1694.796975</v>
      </c>
      <c r="DC199">
        <f>ROUND((ROUND(AT199*AG199,2)*ROUND((1.15*1.15),7)),6)</f>
        <v>0</v>
      </c>
    </row>
    <row r="200" spans="1:107">
      <c r="A200">
        <f>ROW(Source!A151)</f>
        <v>151</v>
      </c>
      <c r="B200">
        <v>31028412</v>
      </c>
      <c r="C200">
        <v>31029155</v>
      </c>
      <c r="D200">
        <v>29084573</v>
      </c>
      <c r="E200">
        <v>1</v>
      </c>
      <c r="F200">
        <v>1</v>
      </c>
      <c r="G200">
        <v>1</v>
      </c>
      <c r="H200">
        <v>1</v>
      </c>
      <c r="I200" t="s">
        <v>774</v>
      </c>
      <c r="J200" t="s">
        <v>6</v>
      </c>
      <c r="K200" t="s">
        <v>775</v>
      </c>
      <c r="L200">
        <v>608254</v>
      </c>
      <c r="N200">
        <v>1013</v>
      </c>
      <c r="O200" t="s">
        <v>776</v>
      </c>
      <c r="P200" t="s">
        <v>776</v>
      </c>
      <c r="Q200">
        <v>1</v>
      </c>
      <c r="W200">
        <v>0</v>
      </c>
      <c r="X200">
        <v>95408949</v>
      </c>
      <c r="Y200">
        <v>2.0699999999999998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1</v>
      </c>
      <c r="AJ200">
        <v>1</v>
      </c>
      <c r="AK200">
        <v>24.22</v>
      </c>
      <c r="AL200">
        <v>1</v>
      </c>
      <c r="AN200">
        <v>0</v>
      </c>
      <c r="AO200">
        <v>1</v>
      </c>
      <c r="AP200">
        <v>1</v>
      </c>
      <c r="AQ200">
        <v>0</v>
      </c>
      <c r="AR200">
        <v>0</v>
      </c>
      <c r="AS200" t="s">
        <v>6</v>
      </c>
      <c r="AT200">
        <v>1.44</v>
      </c>
      <c r="AU200" t="s">
        <v>126</v>
      </c>
      <c r="AV200">
        <v>2</v>
      </c>
      <c r="AW200">
        <v>2</v>
      </c>
      <c r="AX200">
        <v>31029167</v>
      </c>
      <c r="AY200">
        <v>1</v>
      </c>
      <c r="AZ200">
        <v>0</v>
      </c>
      <c r="BA200">
        <v>224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X200">
        <f>Y200*Source!I151</f>
        <v>1.0267199999999999</v>
      </c>
      <c r="CY200">
        <f>AD200</f>
        <v>0</v>
      </c>
      <c r="CZ200">
        <f>AH200</f>
        <v>0</v>
      </c>
      <c r="DA200">
        <f>AL200</f>
        <v>1</v>
      </c>
      <c r="DB200">
        <f>ROUND((ROUND(AT200*CZ200,2)*ROUND((1.25*1.15),7)),6)</f>
        <v>0</v>
      </c>
      <c r="DC200">
        <f>ROUND((ROUND(AT200*AG200,2)*ROUND((1.25*1.15),7)),6)</f>
        <v>0</v>
      </c>
    </row>
    <row r="201" spans="1:107">
      <c r="A201">
        <f>ROW(Source!A151)</f>
        <v>151</v>
      </c>
      <c r="B201">
        <v>31028412</v>
      </c>
      <c r="C201">
        <v>31029155</v>
      </c>
      <c r="D201">
        <v>29147673</v>
      </c>
      <c r="E201">
        <v>1</v>
      </c>
      <c r="F201">
        <v>1</v>
      </c>
      <c r="G201">
        <v>1</v>
      </c>
      <c r="H201">
        <v>2</v>
      </c>
      <c r="I201" t="s">
        <v>924</v>
      </c>
      <c r="J201" t="s">
        <v>925</v>
      </c>
      <c r="K201" t="s">
        <v>926</v>
      </c>
      <c r="L201">
        <v>1368</v>
      </c>
      <c r="N201">
        <v>1011</v>
      </c>
      <c r="O201" t="s">
        <v>780</v>
      </c>
      <c r="P201" t="s">
        <v>780</v>
      </c>
      <c r="Q201">
        <v>1</v>
      </c>
      <c r="W201">
        <v>0</v>
      </c>
      <c r="X201">
        <v>-149788903</v>
      </c>
      <c r="Y201">
        <v>0.20125000000000001</v>
      </c>
      <c r="AA201">
        <v>0</v>
      </c>
      <c r="AB201">
        <v>748.34</v>
      </c>
      <c r="AC201">
        <v>235.18</v>
      </c>
      <c r="AD201">
        <v>0</v>
      </c>
      <c r="AE201">
        <v>0</v>
      </c>
      <c r="AF201">
        <v>97.95</v>
      </c>
      <c r="AG201">
        <v>9.7100000000000009</v>
      </c>
      <c r="AH201">
        <v>0</v>
      </c>
      <c r="AI201">
        <v>1</v>
      </c>
      <c r="AJ201">
        <v>7.64</v>
      </c>
      <c r="AK201">
        <v>24.22</v>
      </c>
      <c r="AL201">
        <v>1</v>
      </c>
      <c r="AN201">
        <v>0</v>
      </c>
      <c r="AO201">
        <v>1</v>
      </c>
      <c r="AP201">
        <v>1</v>
      </c>
      <c r="AQ201">
        <v>0</v>
      </c>
      <c r="AR201">
        <v>0</v>
      </c>
      <c r="AS201" t="s">
        <v>6</v>
      </c>
      <c r="AT201">
        <v>0.14000000000000001</v>
      </c>
      <c r="AU201" t="s">
        <v>126</v>
      </c>
      <c r="AV201">
        <v>0</v>
      </c>
      <c r="AW201">
        <v>2</v>
      </c>
      <c r="AX201">
        <v>31029168</v>
      </c>
      <c r="AY201">
        <v>1</v>
      </c>
      <c r="AZ201">
        <v>0</v>
      </c>
      <c r="BA201">
        <v>225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X201">
        <f>Y201*Source!I151</f>
        <v>9.9820000000000006E-2</v>
      </c>
      <c r="CY201">
        <f>AB201</f>
        <v>748.34</v>
      </c>
      <c r="CZ201">
        <f>AF201</f>
        <v>97.95</v>
      </c>
      <c r="DA201">
        <f>AJ201</f>
        <v>7.64</v>
      </c>
      <c r="DB201">
        <f>ROUND((ROUND(AT201*CZ201,2)*ROUND((1.25*1.15),7)),6)</f>
        <v>19.708124999999999</v>
      </c>
      <c r="DC201">
        <f>ROUND((ROUND(AT201*AG201,2)*ROUND((1.25*1.15),7)),6)</f>
        <v>1.9550000000000001</v>
      </c>
    </row>
    <row r="202" spans="1:107">
      <c r="A202">
        <f>ROW(Source!A151)</f>
        <v>151</v>
      </c>
      <c r="B202">
        <v>31028412</v>
      </c>
      <c r="C202">
        <v>31029155</v>
      </c>
      <c r="D202">
        <v>29147732</v>
      </c>
      <c r="E202">
        <v>1</v>
      </c>
      <c r="F202">
        <v>1</v>
      </c>
      <c r="G202">
        <v>1</v>
      </c>
      <c r="H202">
        <v>2</v>
      </c>
      <c r="I202" t="s">
        <v>846</v>
      </c>
      <c r="J202" t="s">
        <v>847</v>
      </c>
      <c r="K202" t="s">
        <v>848</v>
      </c>
      <c r="L202">
        <v>1368</v>
      </c>
      <c r="N202">
        <v>1011</v>
      </c>
      <c r="O202" t="s">
        <v>780</v>
      </c>
      <c r="P202" t="s">
        <v>780</v>
      </c>
      <c r="Q202">
        <v>1</v>
      </c>
      <c r="W202">
        <v>0</v>
      </c>
      <c r="X202">
        <v>-1205898307</v>
      </c>
      <c r="Y202">
        <v>1.8687499999999999</v>
      </c>
      <c r="AA202">
        <v>0</v>
      </c>
      <c r="AB202">
        <v>235.69</v>
      </c>
      <c r="AC202">
        <v>315.58999999999997</v>
      </c>
      <c r="AD202">
        <v>0</v>
      </c>
      <c r="AE202">
        <v>0</v>
      </c>
      <c r="AF202">
        <v>30.85</v>
      </c>
      <c r="AG202">
        <v>13.03</v>
      </c>
      <c r="AH202">
        <v>0</v>
      </c>
      <c r="AI202">
        <v>1</v>
      </c>
      <c r="AJ202">
        <v>7.64</v>
      </c>
      <c r="AK202">
        <v>24.22</v>
      </c>
      <c r="AL202">
        <v>1</v>
      </c>
      <c r="AN202">
        <v>0</v>
      </c>
      <c r="AO202">
        <v>1</v>
      </c>
      <c r="AP202">
        <v>1</v>
      </c>
      <c r="AQ202">
        <v>0</v>
      </c>
      <c r="AR202">
        <v>0</v>
      </c>
      <c r="AS202" t="s">
        <v>6</v>
      </c>
      <c r="AT202">
        <v>1.3</v>
      </c>
      <c r="AU202" t="s">
        <v>126</v>
      </c>
      <c r="AV202">
        <v>0</v>
      </c>
      <c r="AW202">
        <v>2</v>
      </c>
      <c r="AX202">
        <v>31029169</v>
      </c>
      <c r="AY202">
        <v>1</v>
      </c>
      <c r="AZ202">
        <v>0</v>
      </c>
      <c r="BA202">
        <v>226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X202">
        <f>Y202*Source!I151</f>
        <v>0.92689999999999995</v>
      </c>
      <c r="CY202">
        <f>AB202</f>
        <v>235.69</v>
      </c>
      <c r="CZ202">
        <f>AF202</f>
        <v>30.85</v>
      </c>
      <c r="DA202">
        <f>AJ202</f>
        <v>7.64</v>
      </c>
      <c r="DB202">
        <f>ROUND((ROUND(AT202*CZ202,2)*ROUND((1.25*1.15),7)),6)</f>
        <v>57.658124999999998</v>
      </c>
      <c r="DC202">
        <f>ROUND((ROUND(AT202*AG202,2)*ROUND((1.25*1.15),7)),6)</f>
        <v>24.35125</v>
      </c>
    </row>
    <row r="203" spans="1:107">
      <c r="A203">
        <f>ROW(Source!A151)</f>
        <v>151</v>
      </c>
      <c r="B203">
        <v>31028412</v>
      </c>
      <c r="C203">
        <v>31029155</v>
      </c>
      <c r="D203">
        <v>29150545</v>
      </c>
      <c r="E203">
        <v>1</v>
      </c>
      <c r="F203">
        <v>1</v>
      </c>
      <c r="G203">
        <v>1</v>
      </c>
      <c r="H203">
        <v>3</v>
      </c>
      <c r="I203" t="s">
        <v>927</v>
      </c>
      <c r="J203" t="s">
        <v>928</v>
      </c>
      <c r="K203" t="s">
        <v>929</v>
      </c>
      <c r="L203">
        <v>1348</v>
      </c>
      <c r="N203">
        <v>1009</v>
      </c>
      <c r="O203" t="s">
        <v>137</v>
      </c>
      <c r="P203" t="s">
        <v>137</v>
      </c>
      <c r="Q203">
        <v>1000</v>
      </c>
      <c r="W203">
        <v>0</v>
      </c>
      <c r="X203">
        <v>1380755080</v>
      </c>
      <c r="Y203">
        <v>2.5000000000000001E-3</v>
      </c>
      <c r="AA203">
        <v>56802.01</v>
      </c>
      <c r="AB203">
        <v>0</v>
      </c>
      <c r="AC203">
        <v>0</v>
      </c>
      <c r="AD203">
        <v>0</v>
      </c>
      <c r="AE203">
        <v>9206.16</v>
      </c>
      <c r="AF203">
        <v>0</v>
      </c>
      <c r="AG203">
        <v>0</v>
      </c>
      <c r="AH203">
        <v>0</v>
      </c>
      <c r="AI203">
        <v>6.17</v>
      </c>
      <c r="AJ203">
        <v>1</v>
      </c>
      <c r="AK203">
        <v>1</v>
      </c>
      <c r="AL203">
        <v>1</v>
      </c>
      <c r="AN203">
        <v>0</v>
      </c>
      <c r="AO203">
        <v>1</v>
      </c>
      <c r="AP203">
        <v>0</v>
      </c>
      <c r="AQ203">
        <v>0</v>
      </c>
      <c r="AR203">
        <v>0</v>
      </c>
      <c r="AS203" t="s">
        <v>6</v>
      </c>
      <c r="AT203">
        <v>2.5000000000000001E-3</v>
      </c>
      <c r="AU203" t="s">
        <v>6</v>
      </c>
      <c r="AV203">
        <v>0</v>
      </c>
      <c r="AW203">
        <v>2</v>
      </c>
      <c r="AX203">
        <v>31029170</v>
      </c>
      <c r="AY203">
        <v>1</v>
      </c>
      <c r="AZ203">
        <v>0</v>
      </c>
      <c r="BA203">
        <v>227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X203">
        <f>Y203*Source!I151</f>
        <v>1.24E-3</v>
      </c>
      <c r="CY203">
        <f t="shared" ref="CY203:CY208" si="36">AA203</f>
        <v>56802.01</v>
      </c>
      <c r="CZ203">
        <f t="shared" ref="CZ203:CZ208" si="37">AE203</f>
        <v>9206.16</v>
      </c>
      <c r="DA203">
        <f t="shared" ref="DA203:DA208" si="38">AI203</f>
        <v>6.17</v>
      </c>
      <c r="DB203">
        <f t="shared" ref="DB203:DB208" si="39">ROUND(ROUND(AT203*CZ203,2),6)</f>
        <v>23.02</v>
      </c>
      <c r="DC203">
        <f t="shared" ref="DC203:DC208" si="40">ROUND(ROUND(AT203*AG203,2),6)</f>
        <v>0</v>
      </c>
    </row>
    <row r="204" spans="1:107">
      <c r="A204">
        <f>ROW(Source!A151)</f>
        <v>151</v>
      </c>
      <c r="B204">
        <v>31028412</v>
      </c>
      <c r="C204">
        <v>31029155</v>
      </c>
      <c r="D204">
        <v>29151213</v>
      </c>
      <c r="E204">
        <v>1</v>
      </c>
      <c r="F204">
        <v>1</v>
      </c>
      <c r="G204">
        <v>1</v>
      </c>
      <c r="H204">
        <v>3</v>
      </c>
      <c r="I204" t="s">
        <v>930</v>
      </c>
      <c r="J204" t="s">
        <v>931</v>
      </c>
      <c r="K204" t="s">
        <v>932</v>
      </c>
      <c r="L204">
        <v>1327</v>
      </c>
      <c r="N204">
        <v>1005</v>
      </c>
      <c r="O204" t="s">
        <v>284</v>
      </c>
      <c r="P204" t="s">
        <v>284</v>
      </c>
      <c r="Q204">
        <v>1</v>
      </c>
      <c r="W204">
        <v>0</v>
      </c>
      <c r="X204">
        <v>192456891</v>
      </c>
      <c r="Y204">
        <v>108</v>
      </c>
      <c r="AA204">
        <v>57.94</v>
      </c>
      <c r="AB204">
        <v>0</v>
      </c>
      <c r="AC204">
        <v>0</v>
      </c>
      <c r="AD204">
        <v>0</v>
      </c>
      <c r="AE204">
        <v>9.39</v>
      </c>
      <c r="AF204">
        <v>0</v>
      </c>
      <c r="AG204">
        <v>0</v>
      </c>
      <c r="AH204">
        <v>0</v>
      </c>
      <c r="AI204">
        <v>6.17</v>
      </c>
      <c r="AJ204">
        <v>1</v>
      </c>
      <c r="AK204">
        <v>1</v>
      </c>
      <c r="AL204">
        <v>1</v>
      </c>
      <c r="AN204">
        <v>0</v>
      </c>
      <c r="AO204">
        <v>1</v>
      </c>
      <c r="AP204">
        <v>0</v>
      </c>
      <c r="AQ204">
        <v>0</v>
      </c>
      <c r="AR204">
        <v>0</v>
      </c>
      <c r="AS204" t="s">
        <v>6</v>
      </c>
      <c r="AT204">
        <v>108</v>
      </c>
      <c r="AU204" t="s">
        <v>6</v>
      </c>
      <c r="AV204">
        <v>0</v>
      </c>
      <c r="AW204">
        <v>2</v>
      </c>
      <c r="AX204">
        <v>31029171</v>
      </c>
      <c r="AY204">
        <v>1</v>
      </c>
      <c r="AZ204">
        <v>0</v>
      </c>
      <c r="BA204">
        <v>228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X204">
        <f>Y204*Source!I151</f>
        <v>53.567999999999998</v>
      </c>
      <c r="CY204">
        <f t="shared" si="36"/>
        <v>57.94</v>
      </c>
      <c r="CZ204">
        <f t="shared" si="37"/>
        <v>9.39</v>
      </c>
      <c r="DA204">
        <f t="shared" si="38"/>
        <v>6.17</v>
      </c>
      <c r="DB204">
        <f t="shared" si="39"/>
        <v>1014.12</v>
      </c>
      <c r="DC204">
        <f t="shared" si="40"/>
        <v>0</v>
      </c>
    </row>
    <row r="205" spans="1:107">
      <c r="A205">
        <f>ROW(Source!A151)</f>
        <v>151</v>
      </c>
      <c r="B205">
        <v>31028412</v>
      </c>
      <c r="C205">
        <v>31029155</v>
      </c>
      <c r="D205">
        <v>29151587</v>
      </c>
      <c r="E205">
        <v>1</v>
      </c>
      <c r="F205">
        <v>1</v>
      </c>
      <c r="G205">
        <v>1</v>
      </c>
      <c r="H205">
        <v>3</v>
      </c>
      <c r="I205" t="s">
        <v>933</v>
      </c>
      <c r="J205" t="s">
        <v>934</v>
      </c>
      <c r="K205" t="s">
        <v>935</v>
      </c>
      <c r="L205">
        <v>1348</v>
      </c>
      <c r="N205">
        <v>1009</v>
      </c>
      <c r="O205" t="s">
        <v>137</v>
      </c>
      <c r="P205" t="s">
        <v>137</v>
      </c>
      <c r="Q205">
        <v>1000</v>
      </c>
      <c r="W205">
        <v>0</v>
      </c>
      <c r="X205">
        <v>-157460125</v>
      </c>
      <c r="Y205">
        <v>2E-3</v>
      </c>
      <c r="AA205">
        <v>2581.71</v>
      </c>
      <c r="AB205">
        <v>0</v>
      </c>
      <c r="AC205">
        <v>0</v>
      </c>
      <c r="AD205">
        <v>0</v>
      </c>
      <c r="AE205">
        <v>418.43</v>
      </c>
      <c r="AF205">
        <v>0</v>
      </c>
      <c r="AG205">
        <v>0</v>
      </c>
      <c r="AH205">
        <v>0</v>
      </c>
      <c r="AI205">
        <v>6.17</v>
      </c>
      <c r="AJ205">
        <v>1</v>
      </c>
      <c r="AK205">
        <v>1</v>
      </c>
      <c r="AL205">
        <v>1</v>
      </c>
      <c r="AN205">
        <v>0</v>
      </c>
      <c r="AO205">
        <v>1</v>
      </c>
      <c r="AP205">
        <v>0</v>
      </c>
      <c r="AQ205">
        <v>0</v>
      </c>
      <c r="AR205">
        <v>0</v>
      </c>
      <c r="AS205" t="s">
        <v>6</v>
      </c>
      <c r="AT205">
        <v>2E-3</v>
      </c>
      <c r="AU205" t="s">
        <v>6</v>
      </c>
      <c r="AV205">
        <v>0</v>
      </c>
      <c r="AW205">
        <v>2</v>
      </c>
      <c r="AX205">
        <v>31029172</v>
      </c>
      <c r="AY205">
        <v>1</v>
      </c>
      <c r="AZ205">
        <v>0</v>
      </c>
      <c r="BA205">
        <v>229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X205">
        <f>Y205*Source!I151</f>
        <v>9.9200000000000004E-4</v>
      </c>
      <c r="CY205">
        <f t="shared" si="36"/>
        <v>2581.71</v>
      </c>
      <c r="CZ205">
        <f t="shared" si="37"/>
        <v>418.43</v>
      </c>
      <c r="DA205">
        <f t="shared" si="38"/>
        <v>6.17</v>
      </c>
      <c r="DB205">
        <f t="shared" si="39"/>
        <v>0.84</v>
      </c>
      <c r="DC205">
        <f t="shared" si="40"/>
        <v>0</v>
      </c>
    </row>
    <row r="206" spans="1:107">
      <c r="A206">
        <f>ROW(Source!A151)</f>
        <v>151</v>
      </c>
      <c r="B206">
        <v>31028412</v>
      </c>
      <c r="C206">
        <v>31029155</v>
      </c>
      <c r="D206">
        <v>29151964</v>
      </c>
      <c r="E206">
        <v>1</v>
      </c>
      <c r="F206">
        <v>1</v>
      </c>
      <c r="G206">
        <v>1</v>
      </c>
      <c r="H206">
        <v>3</v>
      </c>
      <c r="I206" t="s">
        <v>936</v>
      </c>
      <c r="J206" t="s">
        <v>937</v>
      </c>
      <c r="K206" t="s">
        <v>938</v>
      </c>
      <c r="L206">
        <v>1346</v>
      </c>
      <c r="N206">
        <v>1009</v>
      </c>
      <c r="O206" t="s">
        <v>118</v>
      </c>
      <c r="P206" t="s">
        <v>118</v>
      </c>
      <c r="Q206">
        <v>1</v>
      </c>
      <c r="W206">
        <v>0</v>
      </c>
      <c r="X206">
        <v>-699086074</v>
      </c>
      <c r="Y206">
        <v>12</v>
      </c>
      <c r="AA206">
        <v>60.47</v>
      </c>
      <c r="AB206">
        <v>0</v>
      </c>
      <c r="AC206">
        <v>0</v>
      </c>
      <c r="AD206">
        <v>0</v>
      </c>
      <c r="AE206">
        <v>9.8000000000000007</v>
      </c>
      <c r="AF206">
        <v>0</v>
      </c>
      <c r="AG206">
        <v>0</v>
      </c>
      <c r="AH206">
        <v>0</v>
      </c>
      <c r="AI206">
        <v>6.17</v>
      </c>
      <c r="AJ206">
        <v>1</v>
      </c>
      <c r="AK206">
        <v>1</v>
      </c>
      <c r="AL206">
        <v>1</v>
      </c>
      <c r="AN206">
        <v>0</v>
      </c>
      <c r="AO206">
        <v>1</v>
      </c>
      <c r="AP206">
        <v>0</v>
      </c>
      <c r="AQ206">
        <v>0</v>
      </c>
      <c r="AR206">
        <v>0</v>
      </c>
      <c r="AS206" t="s">
        <v>6</v>
      </c>
      <c r="AT206">
        <v>12</v>
      </c>
      <c r="AU206" t="s">
        <v>6</v>
      </c>
      <c r="AV206">
        <v>0</v>
      </c>
      <c r="AW206">
        <v>2</v>
      </c>
      <c r="AX206">
        <v>31029173</v>
      </c>
      <c r="AY206">
        <v>1</v>
      </c>
      <c r="AZ206">
        <v>0</v>
      </c>
      <c r="BA206">
        <v>230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X206">
        <f>Y206*Source!I151</f>
        <v>5.952</v>
      </c>
      <c r="CY206">
        <f t="shared" si="36"/>
        <v>60.47</v>
      </c>
      <c r="CZ206">
        <f t="shared" si="37"/>
        <v>9.8000000000000007</v>
      </c>
      <c r="DA206">
        <f t="shared" si="38"/>
        <v>6.17</v>
      </c>
      <c r="DB206">
        <f t="shared" si="39"/>
        <v>117.6</v>
      </c>
      <c r="DC206">
        <f t="shared" si="40"/>
        <v>0</v>
      </c>
    </row>
    <row r="207" spans="1:107">
      <c r="A207">
        <f>ROW(Source!A151)</f>
        <v>151</v>
      </c>
      <c r="B207">
        <v>31028412</v>
      </c>
      <c r="C207">
        <v>31029155</v>
      </c>
      <c r="D207">
        <v>29186569</v>
      </c>
      <c r="E207">
        <v>1</v>
      </c>
      <c r="F207">
        <v>1</v>
      </c>
      <c r="G207">
        <v>1</v>
      </c>
      <c r="H207">
        <v>3</v>
      </c>
      <c r="I207" t="s">
        <v>939</v>
      </c>
      <c r="J207" t="s">
        <v>940</v>
      </c>
      <c r="K207" t="s">
        <v>941</v>
      </c>
      <c r="L207">
        <v>1339</v>
      </c>
      <c r="N207">
        <v>1007</v>
      </c>
      <c r="O207" t="s">
        <v>109</v>
      </c>
      <c r="P207" t="s">
        <v>109</v>
      </c>
      <c r="Q207">
        <v>1</v>
      </c>
      <c r="W207">
        <v>0</v>
      </c>
      <c r="X207">
        <v>-913915397</v>
      </c>
      <c r="Y207">
        <v>3.2</v>
      </c>
      <c r="AA207">
        <v>2827.59</v>
      </c>
      <c r="AB207">
        <v>0</v>
      </c>
      <c r="AC207">
        <v>0</v>
      </c>
      <c r="AD207">
        <v>0</v>
      </c>
      <c r="AE207">
        <v>458.28</v>
      </c>
      <c r="AF207">
        <v>0</v>
      </c>
      <c r="AG207">
        <v>0</v>
      </c>
      <c r="AH207">
        <v>0</v>
      </c>
      <c r="AI207">
        <v>6.17</v>
      </c>
      <c r="AJ207">
        <v>1</v>
      </c>
      <c r="AK207">
        <v>1</v>
      </c>
      <c r="AL207">
        <v>1</v>
      </c>
      <c r="AN207">
        <v>0</v>
      </c>
      <c r="AO207">
        <v>1</v>
      </c>
      <c r="AP207">
        <v>0</v>
      </c>
      <c r="AQ207">
        <v>0</v>
      </c>
      <c r="AR207">
        <v>0</v>
      </c>
      <c r="AS207" t="s">
        <v>6</v>
      </c>
      <c r="AT207">
        <v>3.2</v>
      </c>
      <c r="AU207" t="s">
        <v>6</v>
      </c>
      <c r="AV207">
        <v>0</v>
      </c>
      <c r="AW207">
        <v>2</v>
      </c>
      <c r="AX207">
        <v>31029174</v>
      </c>
      <c r="AY207">
        <v>1</v>
      </c>
      <c r="AZ207">
        <v>0</v>
      </c>
      <c r="BA207">
        <v>231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X207">
        <f>Y207*Source!I151</f>
        <v>1.5872000000000002</v>
      </c>
      <c r="CY207">
        <f t="shared" si="36"/>
        <v>2827.59</v>
      </c>
      <c r="CZ207">
        <f t="shared" si="37"/>
        <v>458.28</v>
      </c>
      <c r="DA207">
        <f t="shared" si="38"/>
        <v>6.17</v>
      </c>
      <c r="DB207">
        <f t="shared" si="39"/>
        <v>1466.5</v>
      </c>
      <c r="DC207">
        <f t="shared" si="40"/>
        <v>0</v>
      </c>
    </row>
    <row r="208" spans="1:107">
      <c r="A208">
        <f>ROW(Source!A151)</f>
        <v>151</v>
      </c>
      <c r="B208">
        <v>31028412</v>
      </c>
      <c r="C208">
        <v>31029155</v>
      </c>
      <c r="D208">
        <v>29195171</v>
      </c>
      <c r="E208">
        <v>1</v>
      </c>
      <c r="F208">
        <v>1</v>
      </c>
      <c r="G208">
        <v>1</v>
      </c>
      <c r="H208">
        <v>3</v>
      </c>
      <c r="I208" t="s">
        <v>830</v>
      </c>
      <c r="J208" t="s">
        <v>831</v>
      </c>
      <c r="K208" t="s">
        <v>832</v>
      </c>
      <c r="L208">
        <v>1339</v>
      </c>
      <c r="N208">
        <v>1007</v>
      </c>
      <c r="O208" t="s">
        <v>109</v>
      </c>
      <c r="P208" t="s">
        <v>109</v>
      </c>
      <c r="Q208">
        <v>1</v>
      </c>
      <c r="W208">
        <v>0</v>
      </c>
      <c r="X208">
        <v>2050165204</v>
      </c>
      <c r="Y208">
        <v>0.01</v>
      </c>
      <c r="AA208">
        <v>15.12</v>
      </c>
      <c r="AB208">
        <v>0</v>
      </c>
      <c r="AC208">
        <v>0</v>
      </c>
      <c r="AD208">
        <v>0</v>
      </c>
      <c r="AE208">
        <v>2.4500000000000002</v>
      </c>
      <c r="AF208">
        <v>0</v>
      </c>
      <c r="AG208">
        <v>0</v>
      </c>
      <c r="AH208">
        <v>0</v>
      </c>
      <c r="AI208">
        <v>6.17</v>
      </c>
      <c r="AJ208">
        <v>1</v>
      </c>
      <c r="AK208">
        <v>1</v>
      </c>
      <c r="AL208">
        <v>1</v>
      </c>
      <c r="AN208">
        <v>0</v>
      </c>
      <c r="AO208">
        <v>1</v>
      </c>
      <c r="AP208">
        <v>0</v>
      </c>
      <c r="AQ208">
        <v>0</v>
      </c>
      <c r="AR208">
        <v>0</v>
      </c>
      <c r="AS208" t="s">
        <v>6</v>
      </c>
      <c r="AT208">
        <v>0.01</v>
      </c>
      <c r="AU208" t="s">
        <v>6</v>
      </c>
      <c r="AV208">
        <v>0</v>
      </c>
      <c r="AW208">
        <v>2</v>
      </c>
      <c r="AX208">
        <v>31029175</v>
      </c>
      <c r="AY208">
        <v>1</v>
      </c>
      <c r="AZ208">
        <v>0</v>
      </c>
      <c r="BA208">
        <v>232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X208">
        <f>Y208*Source!I151</f>
        <v>4.96E-3</v>
      </c>
      <c r="CY208">
        <f t="shared" si="36"/>
        <v>15.12</v>
      </c>
      <c r="CZ208">
        <f t="shared" si="37"/>
        <v>2.4500000000000002</v>
      </c>
      <c r="DA208">
        <f t="shared" si="38"/>
        <v>6.17</v>
      </c>
      <c r="DB208">
        <f t="shared" si="39"/>
        <v>0.02</v>
      </c>
      <c r="DC208">
        <f t="shared" si="40"/>
        <v>0</v>
      </c>
    </row>
    <row r="209" spans="1:107">
      <c r="A209">
        <f>ROW(Source!A152)</f>
        <v>152</v>
      </c>
      <c r="B209">
        <v>31028412</v>
      </c>
      <c r="C209">
        <v>31029176</v>
      </c>
      <c r="D209">
        <v>29084596</v>
      </c>
      <c r="E209">
        <v>1</v>
      </c>
      <c r="F209">
        <v>1</v>
      </c>
      <c r="G209">
        <v>1</v>
      </c>
      <c r="H209">
        <v>1</v>
      </c>
      <c r="I209" t="s">
        <v>893</v>
      </c>
      <c r="J209" t="s">
        <v>6</v>
      </c>
      <c r="K209" t="s">
        <v>894</v>
      </c>
      <c r="L209">
        <v>1369</v>
      </c>
      <c r="N209">
        <v>1013</v>
      </c>
      <c r="O209" t="s">
        <v>773</v>
      </c>
      <c r="P209" t="s">
        <v>773</v>
      </c>
      <c r="Q209">
        <v>1</v>
      </c>
      <c r="W209">
        <v>0</v>
      </c>
      <c r="X209">
        <v>1607597053</v>
      </c>
      <c r="Y209">
        <v>21.821249999999996</v>
      </c>
      <c r="AA209">
        <v>0</v>
      </c>
      <c r="AB209">
        <v>0</v>
      </c>
      <c r="AC209">
        <v>0</v>
      </c>
      <c r="AD209">
        <v>222.34</v>
      </c>
      <c r="AE209">
        <v>0</v>
      </c>
      <c r="AF209">
        <v>0</v>
      </c>
      <c r="AG209">
        <v>0</v>
      </c>
      <c r="AH209">
        <v>9.18</v>
      </c>
      <c r="AI209">
        <v>1</v>
      </c>
      <c r="AJ209">
        <v>1</v>
      </c>
      <c r="AK209">
        <v>1</v>
      </c>
      <c r="AL209">
        <v>24.22</v>
      </c>
      <c r="AN209">
        <v>0</v>
      </c>
      <c r="AO209">
        <v>1</v>
      </c>
      <c r="AP209">
        <v>1</v>
      </c>
      <c r="AQ209">
        <v>0</v>
      </c>
      <c r="AR209">
        <v>0</v>
      </c>
      <c r="AS209" t="s">
        <v>6</v>
      </c>
      <c r="AT209">
        <v>16.5</v>
      </c>
      <c r="AU209" t="s">
        <v>127</v>
      </c>
      <c r="AV209">
        <v>1</v>
      </c>
      <c r="AW209">
        <v>2</v>
      </c>
      <c r="AX209">
        <v>31029184</v>
      </c>
      <c r="AY209">
        <v>1</v>
      </c>
      <c r="AZ209">
        <v>0</v>
      </c>
      <c r="BA209">
        <v>233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X209">
        <f>Y209*Source!I152</f>
        <v>10.823339999999998</v>
      </c>
      <c r="CY209">
        <f>AD209</f>
        <v>222.34</v>
      </c>
      <c r="CZ209">
        <f>AH209</f>
        <v>9.18</v>
      </c>
      <c r="DA209">
        <f>AL209</f>
        <v>24.22</v>
      </c>
      <c r="DB209">
        <f>ROUND((ROUND(AT209*CZ209,2)*ROUND((1.15*1.15),7)),6)</f>
        <v>200.319075</v>
      </c>
      <c r="DC209">
        <f>ROUND((ROUND(AT209*AG209,2)*ROUND((1.15*1.15),7)),6)</f>
        <v>0</v>
      </c>
    </row>
    <row r="210" spans="1:107">
      <c r="A210">
        <f>ROW(Source!A152)</f>
        <v>152</v>
      </c>
      <c r="B210">
        <v>31028412</v>
      </c>
      <c r="C210">
        <v>31029176</v>
      </c>
      <c r="D210">
        <v>29084573</v>
      </c>
      <c r="E210">
        <v>1</v>
      </c>
      <c r="F210">
        <v>1</v>
      </c>
      <c r="G210">
        <v>1</v>
      </c>
      <c r="H210">
        <v>1</v>
      </c>
      <c r="I210" t="s">
        <v>774</v>
      </c>
      <c r="J210" t="s">
        <v>6</v>
      </c>
      <c r="K210" t="s">
        <v>775</v>
      </c>
      <c r="L210">
        <v>608254</v>
      </c>
      <c r="N210">
        <v>1013</v>
      </c>
      <c r="O210" t="s">
        <v>776</v>
      </c>
      <c r="P210" t="s">
        <v>776</v>
      </c>
      <c r="Q210">
        <v>1</v>
      </c>
      <c r="W210">
        <v>0</v>
      </c>
      <c r="X210">
        <v>95408949</v>
      </c>
      <c r="Y210">
        <v>1.4374999999999999E-2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1</v>
      </c>
      <c r="AJ210">
        <v>1</v>
      </c>
      <c r="AK210">
        <v>24.22</v>
      </c>
      <c r="AL210">
        <v>1</v>
      </c>
      <c r="AN210">
        <v>0</v>
      </c>
      <c r="AO210">
        <v>1</v>
      </c>
      <c r="AP210">
        <v>1</v>
      </c>
      <c r="AQ210">
        <v>0</v>
      </c>
      <c r="AR210">
        <v>0</v>
      </c>
      <c r="AS210" t="s">
        <v>6</v>
      </c>
      <c r="AT210">
        <v>0.01</v>
      </c>
      <c r="AU210" t="s">
        <v>126</v>
      </c>
      <c r="AV210">
        <v>2</v>
      </c>
      <c r="AW210">
        <v>2</v>
      </c>
      <c r="AX210">
        <v>31029185</v>
      </c>
      <c r="AY210">
        <v>1</v>
      </c>
      <c r="AZ210">
        <v>0</v>
      </c>
      <c r="BA210">
        <v>234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X210">
        <f>Y210*Source!I152</f>
        <v>7.1299999999999992E-3</v>
      </c>
      <c r="CY210">
        <f>AD210</f>
        <v>0</v>
      </c>
      <c r="CZ210">
        <f>AH210</f>
        <v>0</v>
      </c>
      <c r="DA210">
        <f>AL210</f>
        <v>1</v>
      </c>
      <c r="DB210">
        <f>ROUND((ROUND(AT210*CZ210,2)*ROUND((1.25*1.15),7)),6)</f>
        <v>0</v>
      </c>
      <c r="DC210">
        <f>ROUND((ROUND(AT210*AG210,2)*ROUND((1.25*1.15),7)),6)</f>
        <v>0</v>
      </c>
    </row>
    <row r="211" spans="1:107">
      <c r="A211">
        <f>ROW(Source!A152)</f>
        <v>152</v>
      </c>
      <c r="B211">
        <v>31028412</v>
      </c>
      <c r="C211">
        <v>31029176</v>
      </c>
      <c r="D211">
        <v>29147732</v>
      </c>
      <c r="E211">
        <v>1</v>
      </c>
      <c r="F211">
        <v>1</v>
      </c>
      <c r="G211">
        <v>1</v>
      </c>
      <c r="H211">
        <v>2</v>
      </c>
      <c r="I211" t="s">
        <v>846</v>
      </c>
      <c r="J211" t="s">
        <v>847</v>
      </c>
      <c r="K211" t="s">
        <v>848</v>
      </c>
      <c r="L211">
        <v>1368</v>
      </c>
      <c r="N211">
        <v>1011</v>
      </c>
      <c r="O211" t="s">
        <v>780</v>
      </c>
      <c r="P211" t="s">
        <v>780</v>
      </c>
      <c r="Q211">
        <v>1</v>
      </c>
      <c r="W211">
        <v>0</v>
      </c>
      <c r="X211">
        <v>-1205898307</v>
      </c>
      <c r="Y211">
        <v>1.4374999999999999E-2</v>
      </c>
      <c r="AA211">
        <v>0</v>
      </c>
      <c r="AB211">
        <v>235.69</v>
      </c>
      <c r="AC211">
        <v>315.58999999999997</v>
      </c>
      <c r="AD211">
        <v>0</v>
      </c>
      <c r="AE211">
        <v>0</v>
      </c>
      <c r="AF211">
        <v>30.85</v>
      </c>
      <c r="AG211">
        <v>13.03</v>
      </c>
      <c r="AH211">
        <v>0</v>
      </c>
      <c r="AI211">
        <v>1</v>
      </c>
      <c r="AJ211">
        <v>7.64</v>
      </c>
      <c r="AK211">
        <v>24.22</v>
      </c>
      <c r="AL211">
        <v>1</v>
      </c>
      <c r="AN211">
        <v>0</v>
      </c>
      <c r="AO211">
        <v>1</v>
      </c>
      <c r="AP211">
        <v>1</v>
      </c>
      <c r="AQ211">
        <v>0</v>
      </c>
      <c r="AR211">
        <v>0</v>
      </c>
      <c r="AS211" t="s">
        <v>6</v>
      </c>
      <c r="AT211">
        <v>0.01</v>
      </c>
      <c r="AU211" t="s">
        <v>126</v>
      </c>
      <c r="AV211">
        <v>0</v>
      </c>
      <c r="AW211">
        <v>2</v>
      </c>
      <c r="AX211">
        <v>31029186</v>
      </c>
      <c r="AY211">
        <v>1</v>
      </c>
      <c r="AZ211">
        <v>0</v>
      </c>
      <c r="BA211">
        <v>235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X211">
        <f>Y211*Source!I152</f>
        <v>7.1299999999999992E-3</v>
      </c>
      <c r="CY211">
        <f>AB211</f>
        <v>235.69</v>
      </c>
      <c r="CZ211">
        <f>AF211</f>
        <v>30.85</v>
      </c>
      <c r="DA211">
        <f>AJ211</f>
        <v>7.64</v>
      </c>
      <c r="DB211">
        <f>ROUND((ROUND(AT211*CZ211,2)*ROUND((1.25*1.15),7)),6)</f>
        <v>0.44562499999999999</v>
      </c>
      <c r="DC211">
        <f>ROUND((ROUND(AT211*AG211,2)*ROUND((1.25*1.15),7)),6)</f>
        <v>0.18687500000000001</v>
      </c>
    </row>
    <row r="212" spans="1:107">
      <c r="A212">
        <f>ROW(Source!A152)</f>
        <v>152</v>
      </c>
      <c r="B212">
        <v>31028412</v>
      </c>
      <c r="C212">
        <v>31029176</v>
      </c>
      <c r="D212">
        <v>29149520</v>
      </c>
      <c r="E212">
        <v>1</v>
      </c>
      <c r="F212">
        <v>1</v>
      </c>
      <c r="G212">
        <v>1</v>
      </c>
      <c r="H212">
        <v>2</v>
      </c>
      <c r="I212" t="s">
        <v>790</v>
      </c>
      <c r="J212" t="s">
        <v>791</v>
      </c>
      <c r="K212" t="s">
        <v>792</v>
      </c>
      <c r="L212">
        <v>1368</v>
      </c>
      <c r="N212">
        <v>1011</v>
      </c>
      <c r="O212" t="s">
        <v>780</v>
      </c>
      <c r="P212" t="s">
        <v>780</v>
      </c>
      <c r="Q212">
        <v>1</v>
      </c>
      <c r="W212">
        <v>0</v>
      </c>
      <c r="X212">
        <v>-1931461795</v>
      </c>
      <c r="Y212">
        <v>5.7499999999999996E-2</v>
      </c>
      <c r="AA212">
        <v>0</v>
      </c>
      <c r="AB212">
        <v>699.98</v>
      </c>
      <c r="AC212">
        <v>0</v>
      </c>
      <c r="AD212">
        <v>0</v>
      </c>
      <c r="AE212">
        <v>0</v>
      </c>
      <c r="AF212">
        <v>91.62</v>
      </c>
      <c r="AG212">
        <v>0</v>
      </c>
      <c r="AH212">
        <v>0</v>
      </c>
      <c r="AI212">
        <v>1</v>
      </c>
      <c r="AJ212">
        <v>7.64</v>
      </c>
      <c r="AK212">
        <v>24.22</v>
      </c>
      <c r="AL212">
        <v>1</v>
      </c>
      <c r="AN212">
        <v>0</v>
      </c>
      <c r="AO212">
        <v>1</v>
      </c>
      <c r="AP212">
        <v>1</v>
      </c>
      <c r="AQ212">
        <v>0</v>
      </c>
      <c r="AR212">
        <v>0</v>
      </c>
      <c r="AS212" t="s">
        <v>6</v>
      </c>
      <c r="AT212">
        <v>0.04</v>
      </c>
      <c r="AU212" t="s">
        <v>126</v>
      </c>
      <c r="AV212">
        <v>0</v>
      </c>
      <c r="AW212">
        <v>2</v>
      </c>
      <c r="AX212">
        <v>31029187</v>
      </c>
      <c r="AY212">
        <v>1</v>
      </c>
      <c r="AZ212">
        <v>0</v>
      </c>
      <c r="BA212">
        <v>236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X212">
        <f>Y212*Source!I152</f>
        <v>2.8519999999999997E-2</v>
      </c>
      <c r="CY212">
        <f>AB212</f>
        <v>699.98</v>
      </c>
      <c r="CZ212">
        <f>AF212</f>
        <v>91.62</v>
      </c>
      <c r="DA212">
        <f>AJ212</f>
        <v>7.64</v>
      </c>
      <c r="DB212">
        <f>ROUND((ROUND(AT212*CZ212,2)*ROUND((1.25*1.15),7)),6)</f>
        <v>5.2612500000000004</v>
      </c>
      <c r="DC212">
        <f>ROUND((ROUND(AT212*AG212,2)*ROUND((1.25*1.15),7)),6)</f>
        <v>0</v>
      </c>
    </row>
    <row r="213" spans="1:107">
      <c r="A213">
        <f>ROW(Source!A152)</f>
        <v>152</v>
      </c>
      <c r="B213">
        <v>31028412</v>
      </c>
      <c r="C213">
        <v>31029176</v>
      </c>
      <c r="D213">
        <v>29151861</v>
      </c>
      <c r="E213">
        <v>1</v>
      </c>
      <c r="F213">
        <v>1</v>
      </c>
      <c r="G213">
        <v>1</v>
      </c>
      <c r="H213">
        <v>3</v>
      </c>
      <c r="I213" t="s">
        <v>835</v>
      </c>
      <c r="J213" t="s">
        <v>836</v>
      </c>
      <c r="K213" t="s">
        <v>837</v>
      </c>
      <c r="L213">
        <v>1327</v>
      </c>
      <c r="N213">
        <v>1005</v>
      </c>
      <c r="O213" t="s">
        <v>284</v>
      </c>
      <c r="P213" t="s">
        <v>284</v>
      </c>
      <c r="Q213">
        <v>1</v>
      </c>
      <c r="W213">
        <v>0</v>
      </c>
      <c r="X213">
        <v>1527270933</v>
      </c>
      <c r="Y213">
        <v>4.4000000000000004</v>
      </c>
      <c r="AA213">
        <v>452.82</v>
      </c>
      <c r="AB213">
        <v>0</v>
      </c>
      <c r="AC213">
        <v>0</v>
      </c>
      <c r="AD213">
        <v>0</v>
      </c>
      <c r="AE213">
        <v>73.39</v>
      </c>
      <c r="AF213">
        <v>0</v>
      </c>
      <c r="AG213">
        <v>0</v>
      </c>
      <c r="AH213">
        <v>0</v>
      </c>
      <c r="AI213">
        <v>6.17</v>
      </c>
      <c r="AJ213">
        <v>1</v>
      </c>
      <c r="AK213">
        <v>1</v>
      </c>
      <c r="AL213">
        <v>1</v>
      </c>
      <c r="AN213">
        <v>0</v>
      </c>
      <c r="AO213">
        <v>1</v>
      </c>
      <c r="AP213">
        <v>0</v>
      </c>
      <c r="AQ213">
        <v>0</v>
      </c>
      <c r="AR213">
        <v>0</v>
      </c>
      <c r="AS213" t="s">
        <v>6</v>
      </c>
      <c r="AT213">
        <v>4.4000000000000004</v>
      </c>
      <c r="AU213" t="s">
        <v>6</v>
      </c>
      <c r="AV213">
        <v>0</v>
      </c>
      <c r="AW213">
        <v>2</v>
      </c>
      <c r="AX213">
        <v>31029188</v>
      </c>
      <c r="AY213">
        <v>1</v>
      </c>
      <c r="AZ213">
        <v>0</v>
      </c>
      <c r="BA213">
        <v>237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X213">
        <f>Y213*Source!I152</f>
        <v>2.1824000000000003</v>
      </c>
      <c r="CY213">
        <f>AA213</f>
        <v>452.82</v>
      </c>
      <c r="CZ213">
        <f>AE213</f>
        <v>73.39</v>
      </c>
      <c r="DA213">
        <f>AI213</f>
        <v>6.17</v>
      </c>
      <c r="DB213">
        <f>ROUND(ROUND(AT213*CZ213,2),6)</f>
        <v>322.92</v>
      </c>
      <c r="DC213">
        <f>ROUND(ROUND(AT213*AG213,2),6)</f>
        <v>0</v>
      </c>
    </row>
    <row r="214" spans="1:107">
      <c r="A214">
        <f>ROW(Source!A152)</f>
        <v>152</v>
      </c>
      <c r="B214">
        <v>31028412</v>
      </c>
      <c r="C214">
        <v>31029176</v>
      </c>
      <c r="D214">
        <v>29151929</v>
      </c>
      <c r="E214">
        <v>1</v>
      </c>
      <c r="F214">
        <v>1</v>
      </c>
      <c r="G214">
        <v>1</v>
      </c>
      <c r="H214">
        <v>3</v>
      </c>
      <c r="I214" t="s">
        <v>914</v>
      </c>
      <c r="J214" t="s">
        <v>915</v>
      </c>
      <c r="K214" t="s">
        <v>916</v>
      </c>
      <c r="L214">
        <v>1348</v>
      </c>
      <c r="N214">
        <v>1009</v>
      </c>
      <c r="O214" t="s">
        <v>137</v>
      </c>
      <c r="P214" t="s">
        <v>137</v>
      </c>
      <c r="Q214">
        <v>1000</v>
      </c>
      <c r="W214">
        <v>0</v>
      </c>
      <c r="X214">
        <v>-706211403</v>
      </c>
      <c r="Y214">
        <v>3.2000000000000001E-2</v>
      </c>
      <c r="AA214">
        <v>19447.53</v>
      </c>
      <c r="AB214">
        <v>0</v>
      </c>
      <c r="AC214">
        <v>0</v>
      </c>
      <c r="AD214">
        <v>0</v>
      </c>
      <c r="AE214">
        <v>3151.95</v>
      </c>
      <c r="AF214">
        <v>0</v>
      </c>
      <c r="AG214">
        <v>0</v>
      </c>
      <c r="AH214">
        <v>0</v>
      </c>
      <c r="AI214">
        <v>6.17</v>
      </c>
      <c r="AJ214">
        <v>1</v>
      </c>
      <c r="AK214">
        <v>1</v>
      </c>
      <c r="AL214">
        <v>1</v>
      </c>
      <c r="AN214">
        <v>0</v>
      </c>
      <c r="AO214">
        <v>1</v>
      </c>
      <c r="AP214">
        <v>0</v>
      </c>
      <c r="AQ214">
        <v>0</v>
      </c>
      <c r="AR214">
        <v>0</v>
      </c>
      <c r="AS214" t="s">
        <v>6</v>
      </c>
      <c r="AT214">
        <v>3.2000000000000001E-2</v>
      </c>
      <c r="AU214" t="s">
        <v>6</v>
      </c>
      <c r="AV214">
        <v>0</v>
      </c>
      <c r="AW214">
        <v>2</v>
      </c>
      <c r="AX214">
        <v>31029189</v>
      </c>
      <c r="AY214">
        <v>1</v>
      </c>
      <c r="AZ214">
        <v>0</v>
      </c>
      <c r="BA214">
        <v>238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X214">
        <f>Y214*Source!I152</f>
        <v>1.5872000000000001E-2</v>
      </c>
      <c r="CY214">
        <f>AA214</f>
        <v>19447.53</v>
      </c>
      <c r="CZ214">
        <f>AE214</f>
        <v>3151.95</v>
      </c>
      <c r="DA214">
        <f>AI214</f>
        <v>6.17</v>
      </c>
      <c r="DB214">
        <f>ROUND(ROUND(AT214*CZ214,2),6)</f>
        <v>100.86</v>
      </c>
      <c r="DC214">
        <f>ROUND(ROUND(AT214*AG214,2),6)</f>
        <v>0</v>
      </c>
    </row>
    <row r="215" spans="1:107">
      <c r="A215">
        <f>ROW(Source!A152)</f>
        <v>152</v>
      </c>
      <c r="B215">
        <v>31028412</v>
      </c>
      <c r="C215">
        <v>31029176</v>
      </c>
      <c r="D215">
        <v>29152014</v>
      </c>
      <c r="E215">
        <v>1</v>
      </c>
      <c r="F215">
        <v>1</v>
      </c>
      <c r="G215">
        <v>1</v>
      </c>
      <c r="H215">
        <v>3</v>
      </c>
      <c r="I215" t="s">
        <v>838</v>
      </c>
      <c r="J215" t="s">
        <v>839</v>
      </c>
      <c r="K215" t="s">
        <v>840</v>
      </c>
      <c r="L215">
        <v>1346</v>
      </c>
      <c r="N215">
        <v>1009</v>
      </c>
      <c r="O215" t="s">
        <v>118</v>
      </c>
      <c r="P215" t="s">
        <v>118</v>
      </c>
      <c r="Q215">
        <v>1</v>
      </c>
      <c r="W215">
        <v>0</v>
      </c>
      <c r="X215">
        <v>-1526040720</v>
      </c>
      <c r="Y215">
        <v>0.15</v>
      </c>
      <c r="AA215">
        <v>11.97</v>
      </c>
      <c r="AB215">
        <v>0</v>
      </c>
      <c r="AC215">
        <v>0</v>
      </c>
      <c r="AD215">
        <v>0</v>
      </c>
      <c r="AE215">
        <v>1.94</v>
      </c>
      <c r="AF215">
        <v>0</v>
      </c>
      <c r="AG215">
        <v>0</v>
      </c>
      <c r="AH215">
        <v>0</v>
      </c>
      <c r="AI215">
        <v>6.17</v>
      </c>
      <c r="AJ215">
        <v>1</v>
      </c>
      <c r="AK215">
        <v>1</v>
      </c>
      <c r="AL215">
        <v>1</v>
      </c>
      <c r="AN215">
        <v>0</v>
      </c>
      <c r="AO215">
        <v>1</v>
      </c>
      <c r="AP215">
        <v>0</v>
      </c>
      <c r="AQ215">
        <v>0</v>
      </c>
      <c r="AR215">
        <v>0</v>
      </c>
      <c r="AS215" t="s">
        <v>6</v>
      </c>
      <c r="AT215">
        <v>0.15</v>
      </c>
      <c r="AU215" t="s">
        <v>6</v>
      </c>
      <c r="AV215">
        <v>0</v>
      </c>
      <c r="AW215">
        <v>2</v>
      </c>
      <c r="AX215">
        <v>31029190</v>
      </c>
      <c r="AY215">
        <v>1</v>
      </c>
      <c r="AZ215">
        <v>0</v>
      </c>
      <c r="BA215">
        <v>239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X215">
        <f>Y215*Source!I152</f>
        <v>7.4399999999999994E-2</v>
      </c>
      <c r="CY215">
        <f>AA215</f>
        <v>11.97</v>
      </c>
      <c r="CZ215">
        <f>AE215</f>
        <v>1.94</v>
      </c>
      <c r="DA215">
        <f>AI215</f>
        <v>6.17</v>
      </c>
      <c r="DB215">
        <f>ROUND(ROUND(AT215*CZ215,2),6)</f>
        <v>0.28999999999999998</v>
      </c>
      <c r="DC215">
        <f>ROUND(ROUND(AT215*AG215,2),6)</f>
        <v>0</v>
      </c>
    </row>
    <row r="216" spans="1:107">
      <c r="A216">
        <f>ROW(Source!A153)</f>
        <v>153</v>
      </c>
      <c r="B216">
        <v>31028412</v>
      </c>
      <c r="C216">
        <v>31029191</v>
      </c>
      <c r="D216">
        <v>29084579</v>
      </c>
      <c r="E216">
        <v>1</v>
      </c>
      <c r="F216">
        <v>1</v>
      </c>
      <c r="G216">
        <v>1</v>
      </c>
      <c r="H216">
        <v>1</v>
      </c>
      <c r="I216" t="s">
        <v>849</v>
      </c>
      <c r="J216" t="s">
        <v>6</v>
      </c>
      <c r="K216" t="s">
        <v>850</v>
      </c>
      <c r="L216">
        <v>1369</v>
      </c>
      <c r="N216">
        <v>1013</v>
      </c>
      <c r="O216" t="s">
        <v>773</v>
      </c>
      <c r="P216" t="s">
        <v>773</v>
      </c>
      <c r="Q216">
        <v>1</v>
      </c>
      <c r="W216">
        <v>0</v>
      </c>
      <c r="X216">
        <v>260198247</v>
      </c>
      <c r="Y216">
        <v>118.27117499999999</v>
      </c>
      <c r="AA216">
        <v>0</v>
      </c>
      <c r="AB216">
        <v>0</v>
      </c>
      <c r="AC216">
        <v>0</v>
      </c>
      <c r="AD216">
        <v>225</v>
      </c>
      <c r="AE216">
        <v>0</v>
      </c>
      <c r="AF216">
        <v>0</v>
      </c>
      <c r="AG216">
        <v>0</v>
      </c>
      <c r="AH216">
        <v>9.2899999999999991</v>
      </c>
      <c r="AI216">
        <v>1</v>
      </c>
      <c r="AJ216">
        <v>1</v>
      </c>
      <c r="AK216">
        <v>1</v>
      </c>
      <c r="AL216">
        <v>24.22</v>
      </c>
      <c r="AN216">
        <v>0</v>
      </c>
      <c r="AO216">
        <v>1</v>
      </c>
      <c r="AP216">
        <v>1</v>
      </c>
      <c r="AQ216">
        <v>0</v>
      </c>
      <c r="AR216">
        <v>0</v>
      </c>
      <c r="AS216" t="s">
        <v>6</v>
      </c>
      <c r="AT216">
        <v>89.43</v>
      </c>
      <c r="AU216" t="s">
        <v>127</v>
      </c>
      <c r="AV216">
        <v>1</v>
      </c>
      <c r="AW216">
        <v>2</v>
      </c>
      <c r="AX216">
        <v>31029200</v>
      </c>
      <c r="AY216">
        <v>1</v>
      </c>
      <c r="AZ216">
        <v>0</v>
      </c>
      <c r="BA216">
        <v>240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X216">
        <f>Y216*Source!I153</f>
        <v>58.662502799999992</v>
      </c>
      <c r="CY216">
        <f>AD216</f>
        <v>225</v>
      </c>
      <c r="CZ216">
        <f>AH216</f>
        <v>9.2899999999999991</v>
      </c>
      <c r="DA216">
        <f>AL216</f>
        <v>24.22</v>
      </c>
      <c r="DB216">
        <f>ROUND((ROUND(AT216*CZ216,2)*ROUND((1.15*1.15),7)),6)</f>
        <v>1098.7329999999999</v>
      </c>
      <c r="DC216">
        <f>ROUND((ROUND(AT216*AG216,2)*ROUND((1.15*1.15),7)),6)</f>
        <v>0</v>
      </c>
    </row>
    <row r="217" spans="1:107">
      <c r="A217">
        <f>ROW(Source!A153)</f>
        <v>153</v>
      </c>
      <c r="B217">
        <v>31028412</v>
      </c>
      <c r="C217">
        <v>31029191</v>
      </c>
      <c r="D217">
        <v>29084573</v>
      </c>
      <c r="E217">
        <v>1</v>
      </c>
      <c r="F217">
        <v>1</v>
      </c>
      <c r="G217">
        <v>1</v>
      </c>
      <c r="H217">
        <v>1</v>
      </c>
      <c r="I217" t="s">
        <v>774</v>
      </c>
      <c r="J217" t="s">
        <v>6</v>
      </c>
      <c r="K217" t="s">
        <v>775</v>
      </c>
      <c r="L217">
        <v>608254</v>
      </c>
      <c r="N217">
        <v>1013</v>
      </c>
      <c r="O217" t="s">
        <v>776</v>
      </c>
      <c r="P217" t="s">
        <v>776</v>
      </c>
      <c r="Q217">
        <v>1</v>
      </c>
      <c r="W217">
        <v>0</v>
      </c>
      <c r="X217">
        <v>95408949</v>
      </c>
      <c r="Y217">
        <v>4.3124999999999997E-2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1</v>
      </c>
      <c r="AJ217">
        <v>1</v>
      </c>
      <c r="AK217">
        <v>24.22</v>
      </c>
      <c r="AL217">
        <v>1</v>
      </c>
      <c r="AN217">
        <v>0</v>
      </c>
      <c r="AO217">
        <v>1</v>
      </c>
      <c r="AP217">
        <v>1</v>
      </c>
      <c r="AQ217">
        <v>0</v>
      </c>
      <c r="AR217">
        <v>0</v>
      </c>
      <c r="AS217" t="s">
        <v>6</v>
      </c>
      <c r="AT217">
        <v>0.03</v>
      </c>
      <c r="AU217" t="s">
        <v>126</v>
      </c>
      <c r="AV217">
        <v>2</v>
      </c>
      <c r="AW217">
        <v>2</v>
      </c>
      <c r="AX217">
        <v>31029201</v>
      </c>
      <c r="AY217">
        <v>1</v>
      </c>
      <c r="AZ217">
        <v>0</v>
      </c>
      <c r="BA217">
        <v>241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X217">
        <f>Y217*Source!I153</f>
        <v>2.1389999999999999E-2</v>
      </c>
      <c r="CY217">
        <f>AD217</f>
        <v>0</v>
      </c>
      <c r="CZ217">
        <f>AH217</f>
        <v>0</v>
      </c>
      <c r="DA217">
        <f>AL217</f>
        <v>1</v>
      </c>
      <c r="DB217">
        <f>ROUND((ROUND(AT217*CZ217,2)*ROUND((1.25*1.15),7)),6)</f>
        <v>0</v>
      </c>
      <c r="DC217">
        <f>ROUND((ROUND(AT217*AG217,2)*ROUND((1.25*1.15),7)),6)</f>
        <v>0</v>
      </c>
    </row>
    <row r="218" spans="1:107">
      <c r="A218">
        <f>ROW(Source!A153)</f>
        <v>153</v>
      </c>
      <c r="B218">
        <v>31028412</v>
      </c>
      <c r="C218">
        <v>31029191</v>
      </c>
      <c r="D218">
        <v>29147732</v>
      </c>
      <c r="E218">
        <v>1</v>
      </c>
      <c r="F218">
        <v>1</v>
      </c>
      <c r="G218">
        <v>1</v>
      </c>
      <c r="H218">
        <v>2</v>
      </c>
      <c r="I218" t="s">
        <v>846</v>
      </c>
      <c r="J218" t="s">
        <v>847</v>
      </c>
      <c r="K218" t="s">
        <v>848</v>
      </c>
      <c r="L218">
        <v>1368</v>
      </c>
      <c r="N218">
        <v>1011</v>
      </c>
      <c r="O218" t="s">
        <v>780</v>
      </c>
      <c r="P218" t="s">
        <v>780</v>
      </c>
      <c r="Q218">
        <v>1</v>
      </c>
      <c r="W218">
        <v>0</v>
      </c>
      <c r="X218">
        <v>-1205898307</v>
      </c>
      <c r="Y218">
        <v>4.3124999999999997E-2</v>
      </c>
      <c r="AA218">
        <v>0</v>
      </c>
      <c r="AB218">
        <v>235.69</v>
      </c>
      <c r="AC218">
        <v>315.58999999999997</v>
      </c>
      <c r="AD218">
        <v>0</v>
      </c>
      <c r="AE218">
        <v>0</v>
      </c>
      <c r="AF218">
        <v>30.85</v>
      </c>
      <c r="AG218">
        <v>13.03</v>
      </c>
      <c r="AH218">
        <v>0</v>
      </c>
      <c r="AI218">
        <v>1</v>
      </c>
      <c r="AJ218">
        <v>7.64</v>
      </c>
      <c r="AK218">
        <v>24.22</v>
      </c>
      <c r="AL218">
        <v>1</v>
      </c>
      <c r="AN218">
        <v>0</v>
      </c>
      <c r="AO218">
        <v>1</v>
      </c>
      <c r="AP218">
        <v>1</v>
      </c>
      <c r="AQ218">
        <v>0</v>
      </c>
      <c r="AR218">
        <v>0</v>
      </c>
      <c r="AS218" t="s">
        <v>6</v>
      </c>
      <c r="AT218">
        <v>0.03</v>
      </c>
      <c r="AU218" t="s">
        <v>126</v>
      </c>
      <c r="AV218">
        <v>0</v>
      </c>
      <c r="AW218">
        <v>2</v>
      </c>
      <c r="AX218">
        <v>31029202</v>
      </c>
      <c r="AY218">
        <v>1</v>
      </c>
      <c r="AZ218">
        <v>0</v>
      </c>
      <c r="BA218">
        <v>242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X218">
        <f>Y218*Source!I153</f>
        <v>2.1389999999999999E-2</v>
      </c>
      <c r="CY218">
        <f>AB218</f>
        <v>235.69</v>
      </c>
      <c r="CZ218">
        <f>AF218</f>
        <v>30.85</v>
      </c>
      <c r="DA218">
        <f>AJ218</f>
        <v>7.64</v>
      </c>
      <c r="DB218">
        <f>ROUND((ROUND(AT218*CZ218,2)*ROUND((1.25*1.15),7)),6)</f>
        <v>1.336875</v>
      </c>
      <c r="DC218">
        <f>ROUND((ROUND(AT218*AG218,2)*ROUND((1.25*1.15),7)),6)</f>
        <v>0.56062500000000004</v>
      </c>
    </row>
    <row r="219" spans="1:107">
      <c r="A219">
        <f>ROW(Source!A153)</f>
        <v>153</v>
      </c>
      <c r="B219">
        <v>31028412</v>
      </c>
      <c r="C219">
        <v>31029191</v>
      </c>
      <c r="D219">
        <v>29149520</v>
      </c>
      <c r="E219">
        <v>1</v>
      </c>
      <c r="F219">
        <v>1</v>
      </c>
      <c r="G219">
        <v>1</v>
      </c>
      <c r="H219">
        <v>2</v>
      </c>
      <c r="I219" t="s">
        <v>790</v>
      </c>
      <c r="J219" t="s">
        <v>791</v>
      </c>
      <c r="K219" t="s">
        <v>792</v>
      </c>
      <c r="L219">
        <v>1368</v>
      </c>
      <c r="N219">
        <v>1011</v>
      </c>
      <c r="O219" t="s">
        <v>780</v>
      </c>
      <c r="P219" t="s">
        <v>780</v>
      </c>
      <c r="Q219">
        <v>1</v>
      </c>
      <c r="W219">
        <v>0</v>
      </c>
      <c r="X219">
        <v>-1931461795</v>
      </c>
      <c r="Y219">
        <v>0.31624999999999998</v>
      </c>
      <c r="AA219">
        <v>0</v>
      </c>
      <c r="AB219">
        <v>699.98</v>
      </c>
      <c r="AC219">
        <v>0</v>
      </c>
      <c r="AD219">
        <v>0</v>
      </c>
      <c r="AE219">
        <v>0</v>
      </c>
      <c r="AF219">
        <v>91.62</v>
      </c>
      <c r="AG219">
        <v>0</v>
      </c>
      <c r="AH219">
        <v>0</v>
      </c>
      <c r="AI219">
        <v>1</v>
      </c>
      <c r="AJ219">
        <v>7.64</v>
      </c>
      <c r="AK219">
        <v>24.22</v>
      </c>
      <c r="AL219">
        <v>1</v>
      </c>
      <c r="AN219">
        <v>0</v>
      </c>
      <c r="AO219">
        <v>1</v>
      </c>
      <c r="AP219">
        <v>1</v>
      </c>
      <c r="AQ219">
        <v>0</v>
      </c>
      <c r="AR219">
        <v>0</v>
      </c>
      <c r="AS219" t="s">
        <v>6</v>
      </c>
      <c r="AT219">
        <v>0.22</v>
      </c>
      <c r="AU219" t="s">
        <v>126</v>
      </c>
      <c r="AV219">
        <v>0</v>
      </c>
      <c r="AW219">
        <v>2</v>
      </c>
      <c r="AX219">
        <v>31029203</v>
      </c>
      <c r="AY219">
        <v>1</v>
      </c>
      <c r="AZ219">
        <v>0</v>
      </c>
      <c r="BA219">
        <v>243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X219">
        <f>Y219*Source!I153</f>
        <v>0.15686</v>
      </c>
      <c r="CY219">
        <f>AB219</f>
        <v>699.98</v>
      </c>
      <c r="CZ219">
        <f>AF219</f>
        <v>91.62</v>
      </c>
      <c r="DA219">
        <f>AJ219</f>
        <v>7.64</v>
      </c>
      <c r="DB219">
        <f>ROUND((ROUND(AT219*CZ219,2)*ROUND((1.25*1.15),7)),6)</f>
        <v>28.98</v>
      </c>
      <c r="DC219">
        <f>ROUND((ROUND(AT219*AG219,2)*ROUND((1.25*1.15),7)),6)</f>
        <v>0</v>
      </c>
    </row>
    <row r="220" spans="1:107">
      <c r="A220">
        <f>ROW(Source!A153)</f>
        <v>153</v>
      </c>
      <c r="B220">
        <v>31028412</v>
      </c>
      <c r="C220">
        <v>31029191</v>
      </c>
      <c r="D220">
        <v>29151861</v>
      </c>
      <c r="E220">
        <v>1</v>
      </c>
      <c r="F220">
        <v>1</v>
      </c>
      <c r="G220">
        <v>1</v>
      </c>
      <c r="H220">
        <v>3</v>
      </c>
      <c r="I220" t="s">
        <v>835</v>
      </c>
      <c r="J220" t="s">
        <v>836</v>
      </c>
      <c r="K220" t="s">
        <v>837</v>
      </c>
      <c r="L220">
        <v>1327</v>
      </c>
      <c r="N220">
        <v>1005</v>
      </c>
      <c r="O220" t="s">
        <v>284</v>
      </c>
      <c r="P220" t="s">
        <v>284</v>
      </c>
      <c r="Q220">
        <v>1</v>
      </c>
      <c r="W220">
        <v>0</v>
      </c>
      <c r="X220">
        <v>1527270933</v>
      </c>
      <c r="Y220">
        <v>0.88</v>
      </c>
      <c r="AA220">
        <v>452.82</v>
      </c>
      <c r="AB220">
        <v>0</v>
      </c>
      <c r="AC220">
        <v>0</v>
      </c>
      <c r="AD220">
        <v>0</v>
      </c>
      <c r="AE220">
        <v>73.39</v>
      </c>
      <c r="AF220">
        <v>0</v>
      </c>
      <c r="AG220">
        <v>0</v>
      </c>
      <c r="AH220">
        <v>0</v>
      </c>
      <c r="AI220">
        <v>6.17</v>
      </c>
      <c r="AJ220">
        <v>1</v>
      </c>
      <c r="AK220">
        <v>1</v>
      </c>
      <c r="AL220">
        <v>1</v>
      </c>
      <c r="AN220">
        <v>0</v>
      </c>
      <c r="AO220">
        <v>1</v>
      </c>
      <c r="AP220">
        <v>0</v>
      </c>
      <c r="AQ220">
        <v>0</v>
      </c>
      <c r="AR220">
        <v>0</v>
      </c>
      <c r="AS220" t="s">
        <v>6</v>
      </c>
      <c r="AT220">
        <v>0.88</v>
      </c>
      <c r="AU220" t="s">
        <v>6</v>
      </c>
      <c r="AV220">
        <v>0</v>
      </c>
      <c r="AW220">
        <v>2</v>
      </c>
      <c r="AX220">
        <v>31029204</v>
      </c>
      <c r="AY220">
        <v>1</v>
      </c>
      <c r="AZ220">
        <v>0</v>
      </c>
      <c r="BA220">
        <v>244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CX220">
        <f>Y220*Source!I153</f>
        <v>0.43647999999999998</v>
      </c>
      <c r="CY220">
        <f>AA220</f>
        <v>452.82</v>
      </c>
      <c r="CZ220">
        <f>AE220</f>
        <v>73.39</v>
      </c>
      <c r="DA220">
        <f>AI220</f>
        <v>6.17</v>
      </c>
      <c r="DB220">
        <f>ROUND(ROUND(AT220*CZ220,2),6)</f>
        <v>64.58</v>
      </c>
      <c r="DC220">
        <f>ROUND(ROUND(AT220*AG220,2),6)</f>
        <v>0</v>
      </c>
    </row>
    <row r="221" spans="1:107">
      <c r="A221">
        <f>ROW(Source!A153)</f>
        <v>153</v>
      </c>
      <c r="B221">
        <v>31028412</v>
      </c>
      <c r="C221">
        <v>31029191</v>
      </c>
      <c r="D221">
        <v>29151971</v>
      </c>
      <c r="E221">
        <v>1</v>
      </c>
      <c r="F221">
        <v>1</v>
      </c>
      <c r="G221">
        <v>1</v>
      </c>
      <c r="H221">
        <v>3</v>
      </c>
      <c r="I221" t="s">
        <v>942</v>
      </c>
      <c r="J221" t="s">
        <v>943</v>
      </c>
      <c r="K221" t="s">
        <v>944</v>
      </c>
      <c r="L221">
        <v>1348</v>
      </c>
      <c r="N221">
        <v>1009</v>
      </c>
      <c r="O221" t="s">
        <v>137</v>
      </c>
      <c r="P221" t="s">
        <v>137</v>
      </c>
      <c r="Q221">
        <v>1000</v>
      </c>
      <c r="W221">
        <v>0</v>
      </c>
      <c r="X221">
        <v>-1321245919</v>
      </c>
      <c r="Y221">
        <v>9.1999999999999998E-2</v>
      </c>
      <c r="AA221">
        <v>20431.34</v>
      </c>
      <c r="AB221">
        <v>0</v>
      </c>
      <c r="AC221">
        <v>0</v>
      </c>
      <c r="AD221">
        <v>0</v>
      </c>
      <c r="AE221">
        <v>3311.4</v>
      </c>
      <c r="AF221">
        <v>0</v>
      </c>
      <c r="AG221">
        <v>0</v>
      </c>
      <c r="AH221">
        <v>0</v>
      </c>
      <c r="AI221">
        <v>6.17</v>
      </c>
      <c r="AJ221">
        <v>1</v>
      </c>
      <c r="AK221">
        <v>1</v>
      </c>
      <c r="AL221">
        <v>1</v>
      </c>
      <c r="AN221">
        <v>0</v>
      </c>
      <c r="AO221">
        <v>1</v>
      </c>
      <c r="AP221">
        <v>0</v>
      </c>
      <c r="AQ221">
        <v>0</v>
      </c>
      <c r="AR221">
        <v>0</v>
      </c>
      <c r="AS221" t="s">
        <v>6</v>
      </c>
      <c r="AT221">
        <v>9.1999999999999998E-2</v>
      </c>
      <c r="AU221" t="s">
        <v>6</v>
      </c>
      <c r="AV221">
        <v>0</v>
      </c>
      <c r="AW221">
        <v>2</v>
      </c>
      <c r="AX221">
        <v>31029205</v>
      </c>
      <c r="AY221">
        <v>1</v>
      </c>
      <c r="AZ221">
        <v>0</v>
      </c>
      <c r="BA221">
        <v>245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CX221">
        <f>Y221*Source!I153</f>
        <v>4.5631999999999999E-2</v>
      </c>
      <c r="CY221">
        <f>AA221</f>
        <v>20431.34</v>
      </c>
      <c r="CZ221">
        <f>AE221</f>
        <v>3311.4</v>
      </c>
      <c r="DA221">
        <f>AI221</f>
        <v>6.17</v>
      </c>
      <c r="DB221">
        <f>ROUND(ROUND(AT221*CZ221,2),6)</f>
        <v>304.64999999999998</v>
      </c>
      <c r="DC221">
        <f>ROUND(ROUND(AT221*AG221,2),6)</f>
        <v>0</v>
      </c>
    </row>
    <row r="222" spans="1:107">
      <c r="A222">
        <f>ROW(Source!A153)</f>
        <v>153</v>
      </c>
      <c r="B222">
        <v>31028412</v>
      </c>
      <c r="C222">
        <v>31029191</v>
      </c>
      <c r="D222">
        <v>29152014</v>
      </c>
      <c r="E222">
        <v>1</v>
      </c>
      <c r="F222">
        <v>1</v>
      </c>
      <c r="G222">
        <v>1</v>
      </c>
      <c r="H222">
        <v>3</v>
      </c>
      <c r="I222" t="s">
        <v>838</v>
      </c>
      <c r="J222" t="s">
        <v>839</v>
      </c>
      <c r="K222" t="s">
        <v>840</v>
      </c>
      <c r="L222">
        <v>1346</v>
      </c>
      <c r="N222">
        <v>1009</v>
      </c>
      <c r="O222" t="s">
        <v>118</v>
      </c>
      <c r="P222" t="s">
        <v>118</v>
      </c>
      <c r="Q222">
        <v>1</v>
      </c>
      <c r="W222">
        <v>0</v>
      </c>
      <c r="X222">
        <v>-1526040720</v>
      </c>
      <c r="Y222">
        <v>0.36</v>
      </c>
      <c r="AA222">
        <v>11.97</v>
      </c>
      <c r="AB222">
        <v>0</v>
      </c>
      <c r="AC222">
        <v>0</v>
      </c>
      <c r="AD222">
        <v>0</v>
      </c>
      <c r="AE222">
        <v>1.94</v>
      </c>
      <c r="AF222">
        <v>0</v>
      </c>
      <c r="AG222">
        <v>0</v>
      </c>
      <c r="AH222">
        <v>0</v>
      </c>
      <c r="AI222">
        <v>6.17</v>
      </c>
      <c r="AJ222">
        <v>1</v>
      </c>
      <c r="AK222">
        <v>1</v>
      </c>
      <c r="AL222">
        <v>1</v>
      </c>
      <c r="AN222">
        <v>0</v>
      </c>
      <c r="AO222">
        <v>1</v>
      </c>
      <c r="AP222">
        <v>0</v>
      </c>
      <c r="AQ222">
        <v>0</v>
      </c>
      <c r="AR222">
        <v>0</v>
      </c>
      <c r="AS222" t="s">
        <v>6</v>
      </c>
      <c r="AT222">
        <v>0.36</v>
      </c>
      <c r="AU222" t="s">
        <v>6</v>
      </c>
      <c r="AV222">
        <v>0</v>
      </c>
      <c r="AW222">
        <v>2</v>
      </c>
      <c r="AX222">
        <v>31029206</v>
      </c>
      <c r="AY222">
        <v>1</v>
      </c>
      <c r="AZ222">
        <v>0</v>
      </c>
      <c r="BA222">
        <v>246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CX222">
        <f>Y222*Source!I153</f>
        <v>0.17856</v>
      </c>
      <c r="CY222">
        <f>AA222</f>
        <v>11.97</v>
      </c>
      <c r="CZ222">
        <f>AE222</f>
        <v>1.94</v>
      </c>
      <c r="DA222">
        <f>AI222</f>
        <v>6.17</v>
      </c>
      <c r="DB222">
        <f>ROUND(ROUND(AT222*CZ222,2),6)</f>
        <v>0.7</v>
      </c>
      <c r="DC222">
        <f>ROUND(ROUND(AT222*AG222,2),6)</f>
        <v>0</v>
      </c>
    </row>
    <row r="223" spans="1:107">
      <c r="A223">
        <f>ROW(Source!A153)</f>
        <v>153</v>
      </c>
      <c r="B223">
        <v>31028412</v>
      </c>
      <c r="C223">
        <v>31029191</v>
      </c>
      <c r="D223">
        <v>29152186</v>
      </c>
      <c r="E223">
        <v>1</v>
      </c>
      <c r="F223">
        <v>1</v>
      </c>
      <c r="G223">
        <v>1</v>
      </c>
      <c r="H223">
        <v>3</v>
      </c>
      <c r="I223" t="s">
        <v>945</v>
      </c>
      <c r="J223" t="s">
        <v>946</v>
      </c>
      <c r="K223" t="s">
        <v>947</v>
      </c>
      <c r="L223">
        <v>1348</v>
      </c>
      <c r="N223">
        <v>1009</v>
      </c>
      <c r="O223" t="s">
        <v>137</v>
      </c>
      <c r="P223" t="s">
        <v>137</v>
      </c>
      <c r="Q223">
        <v>1000</v>
      </c>
      <c r="W223">
        <v>0</v>
      </c>
      <c r="X223">
        <v>-1792658963</v>
      </c>
      <c r="Y223">
        <v>6.9000000000000006E-2</v>
      </c>
      <c r="AA223">
        <v>103671.36</v>
      </c>
      <c r="AB223">
        <v>0</v>
      </c>
      <c r="AC223">
        <v>0</v>
      </c>
      <c r="AD223">
        <v>0</v>
      </c>
      <c r="AE223">
        <v>16802.490000000002</v>
      </c>
      <c r="AF223">
        <v>0</v>
      </c>
      <c r="AG223">
        <v>0</v>
      </c>
      <c r="AH223">
        <v>0</v>
      </c>
      <c r="AI223">
        <v>6.17</v>
      </c>
      <c r="AJ223">
        <v>1</v>
      </c>
      <c r="AK223">
        <v>1</v>
      </c>
      <c r="AL223">
        <v>1</v>
      </c>
      <c r="AN223">
        <v>0</v>
      </c>
      <c r="AO223">
        <v>1</v>
      </c>
      <c r="AP223">
        <v>0</v>
      </c>
      <c r="AQ223">
        <v>0</v>
      </c>
      <c r="AR223">
        <v>0</v>
      </c>
      <c r="AS223" t="s">
        <v>6</v>
      </c>
      <c r="AT223">
        <v>6.9000000000000006E-2</v>
      </c>
      <c r="AU223" t="s">
        <v>6</v>
      </c>
      <c r="AV223">
        <v>0</v>
      </c>
      <c r="AW223">
        <v>2</v>
      </c>
      <c r="AX223">
        <v>31029207</v>
      </c>
      <c r="AY223">
        <v>1</v>
      </c>
      <c r="AZ223">
        <v>0</v>
      </c>
      <c r="BA223">
        <v>247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CX223">
        <f>Y223*Source!I153</f>
        <v>3.4224000000000004E-2</v>
      </c>
      <c r="CY223">
        <f>AA223</f>
        <v>103671.36</v>
      </c>
      <c r="CZ223">
        <f>AE223</f>
        <v>16802.490000000002</v>
      </c>
      <c r="DA223">
        <f>AI223</f>
        <v>6.17</v>
      </c>
      <c r="DB223">
        <f>ROUND(ROUND(AT223*CZ223,2),6)</f>
        <v>1159.3699999999999</v>
      </c>
      <c r="DC223">
        <f>ROUND(ROUND(AT223*AG223,2),6)</f>
        <v>0</v>
      </c>
    </row>
    <row r="224" spans="1:107">
      <c r="A224">
        <f>ROW(Source!A155)</f>
        <v>155</v>
      </c>
      <c r="B224">
        <v>31028412</v>
      </c>
      <c r="C224">
        <v>31029209</v>
      </c>
      <c r="D224">
        <v>29084594</v>
      </c>
      <c r="E224">
        <v>1</v>
      </c>
      <c r="F224">
        <v>1</v>
      </c>
      <c r="G224">
        <v>1</v>
      </c>
      <c r="H224">
        <v>1</v>
      </c>
      <c r="I224" t="s">
        <v>922</v>
      </c>
      <c r="J224" t="s">
        <v>6</v>
      </c>
      <c r="K224" t="s">
        <v>923</v>
      </c>
      <c r="L224">
        <v>1369</v>
      </c>
      <c r="N224">
        <v>1013</v>
      </c>
      <c r="O224" t="s">
        <v>773</v>
      </c>
      <c r="P224" t="s">
        <v>773</v>
      </c>
      <c r="Q224">
        <v>1</v>
      </c>
      <c r="W224">
        <v>0</v>
      </c>
      <c r="X224">
        <v>-1364176711</v>
      </c>
      <c r="Y224">
        <v>191.28639999999996</v>
      </c>
      <c r="AA224">
        <v>0</v>
      </c>
      <c r="AB224">
        <v>0</v>
      </c>
      <c r="AC224">
        <v>0</v>
      </c>
      <c r="AD224">
        <v>214.59</v>
      </c>
      <c r="AE224">
        <v>0</v>
      </c>
      <c r="AF224">
        <v>0</v>
      </c>
      <c r="AG224">
        <v>0</v>
      </c>
      <c r="AH224">
        <v>8.86</v>
      </c>
      <c r="AI224">
        <v>1</v>
      </c>
      <c r="AJ224">
        <v>1</v>
      </c>
      <c r="AK224">
        <v>1</v>
      </c>
      <c r="AL224">
        <v>24.22</v>
      </c>
      <c r="AN224">
        <v>0</v>
      </c>
      <c r="AO224">
        <v>1</v>
      </c>
      <c r="AP224">
        <v>1</v>
      </c>
      <c r="AQ224">
        <v>0</v>
      </c>
      <c r="AR224">
        <v>0</v>
      </c>
      <c r="AS224" t="s">
        <v>6</v>
      </c>
      <c r="AT224">
        <v>144.63999999999999</v>
      </c>
      <c r="AU224" t="s">
        <v>127</v>
      </c>
      <c r="AV224">
        <v>1</v>
      </c>
      <c r="AW224">
        <v>2</v>
      </c>
      <c r="AX224">
        <v>31029220</v>
      </c>
      <c r="AY224">
        <v>1</v>
      </c>
      <c r="AZ224">
        <v>0</v>
      </c>
      <c r="BA224">
        <v>248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CX224">
        <f>Y224*Source!I155</f>
        <v>90.287180799999973</v>
      </c>
      <c r="CY224">
        <f>AD224</f>
        <v>214.59</v>
      </c>
      <c r="CZ224">
        <f>AH224</f>
        <v>8.86</v>
      </c>
      <c r="DA224">
        <f>AL224</f>
        <v>24.22</v>
      </c>
      <c r="DB224">
        <f>ROUND((ROUND(AT224*CZ224,2)*ROUND((1.15*1.15),7)),6)</f>
        <v>1694.796975</v>
      </c>
      <c r="DC224">
        <f>ROUND((ROUND(AT224*AG224,2)*ROUND((1.15*1.15),7)),6)</f>
        <v>0</v>
      </c>
    </row>
    <row r="225" spans="1:107">
      <c r="A225">
        <f>ROW(Source!A155)</f>
        <v>155</v>
      </c>
      <c r="B225">
        <v>31028412</v>
      </c>
      <c r="C225">
        <v>31029209</v>
      </c>
      <c r="D225">
        <v>29084573</v>
      </c>
      <c r="E225">
        <v>1</v>
      </c>
      <c r="F225">
        <v>1</v>
      </c>
      <c r="G225">
        <v>1</v>
      </c>
      <c r="H225">
        <v>1</v>
      </c>
      <c r="I225" t="s">
        <v>774</v>
      </c>
      <c r="J225" t="s">
        <v>6</v>
      </c>
      <c r="K225" t="s">
        <v>775</v>
      </c>
      <c r="L225">
        <v>608254</v>
      </c>
      <c r="N225">
        <v>1013</v>
      </c>
      <c r="O225" t="s">
        <v>776</v>
      </c>
      <c r="P225" t="s">
        <v>776</v>
      </c>
      <c r="Q225">
        <v>1</v>
      </c>
      <c r="W225">
        <v>0</v>
      </c>
      <c r="X225">
        <v>95408949</v>
      </c>
      <c r="Y225">
        <v>2.0699999999999998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1</v>
      </c>
      <c r="AJ225">
        <v>1</v>
      </c>
      <c r="AK225">
        <v>24.22</v>
      </c>
      <c r="AL225">
        <v>1</v>
      </c>
      <c r="AN225">
        <v>0</v>
      </c>
      <c r="AO225">
        <v>1</v>
      </c>
      <c r="AP225">
        <v>1</v>
      </c>
      <c r="AQ225">
        <v>0</v>
      </c>
      <c r="AR225">
        <v>0</v>
      </c>
      <c r="AS225" t="s">
        <v>6</v>
      </c>
      <c r="AT225">
        <v>1.44</v>
      </c>
      <c r="AU225" t="s">
        <v>126</v>
      </c>
      <c r="AV225">
        <v>2</v>
      </c>
      <c r="AW225">
        <v>2</v>
      </c>
      <c r="AX225">
        <v>31029221</v>
      </c>
      <c r="AY225">
        <v>1</v>
      </c>
      <c r="AZ225">
        <v>0</v>
      </c>
      <c r="BA225">
        <v>249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CX225">
        <f>Y225*Source!I155</f>
        <v>0.97703999999999991</v>
      </c>
      <c r="CY225">
        <f>AD225</f>
        <v>0</v>
      </c>
      <c r="CZ225">
        <f>AH225</f>
        <v>0</v>
      </c>
      <c r="DA225">
        <f>AL225</f>
        <v>1</v>
      </c>
      <c r="DB225">
        <f>ROUND((ROUND(AT225*CZ225,2)*ROUND((1.25*1.15),7)),6)</f>
        <v>0</v>
      </c>
      <c r="DC225">
        <f>ROUND((ROUND(AT225*AG225,2)*ROUND((1.25*1.15),7)),6)</f>
        <v>0</v>
      </c>
    </row>
    <row r="226" spans="1:107">
      <c r="A226">
        <f>ROW(Source!A155)</f>
        <v>155</v>
      </c>
      <c r="B226">
        <v>31028412</v>
      </c>
      <c r="C226">
        <v>31029209</v>
      </c>
      <c r="D226">
        <v>29147673</v>
      </c>
      <c r="E226">
        <v>1</v>
      </c>
      <c r="F226">
        <v>1</v>
      </c>
      <c r="G226">
        <v>1</v>
      </c>
      <c r="H226">
        <v>2</v>
      </c>
      <c r="I226" t="s">
        <v>924</v>
      </c>
      <c r="J226" t="s">
        <v>925</v>
      </c>
      <c r="K226" t="s">
        <v>926</v>
      </c>
      <c r="L226">
        <v>1368</v>
      </c>
      <c r="N226">
        <v>1011</v>
      </c>
      <c r="O226" t="s">
        <v>780</v>
      </c>
      <c r="P226" t="s">
        <v>780</v>
      </c>
      <c r="Q226">
        <v>1</v>
      </c>
      <c r="W226">
        <v>0</v>
      </c>
      <c r="X226">
        <v>-149788903</v>
      </c>
      <c r="Y226">
        <v>0.20125000000000001</v>
      </c>
      <c r="AA226">
        <v>0</v>
      </c>
      <c r="AB226">
        <v>748.34</v>
      </c>
      <c r="AC226">
        <v>235.18</v>
      </c>
      <c r="AD226">
        <v>0</v>
      </c>
      <c r="AE226">
        <v>0</v>
      </c>
      <c r="AF226">
        <v>97.95</v>
      </c>
      <c r="AG226">
        <v>9.7100000000000009</v>
      </c>
      <c r="AH226">
        <v>0</v>
      </c>
      <c r="AI226">
        <v>1</v>
      </c>
      <c r="AJ226">
        <v>7.64</v>
      </c>
      <c r="AK226">
        <v>24.22</v>
      </c>
      <c r="AL226">
        <v>1</v>
      </c>
      <c r="AN226">
        <v>0</v>
      </c>
      <c r="AO226">
        <v>1</v>
      </c>
      <c r="AP226">
        <v>1</v>
      </c>
      <c r="AQ226">
        <v>0</v>
      </c>
      <c r="AR226">
        <v>0</v>
      </c>
      <c r="AS226" t="s">
        <v>6</v>
      </c>
      <c r="AT226">
        <v>0.14000000000000001</v>
      </c>
      <c r="AU226" t="s">
        <v>126</v>
      </c>
      <c r="AV226">
        <v>0</v>
      </c>
      <c r="AW226">
        <v>2</v>
      </c>
      <c r="AX226">
        <v>31029222</v>
      </c>
      <c r="AY226">
        <v>1</v>
      </c>
      <c r="AZ226">
        <v>0</v>
      </c>
      <c r="BA226">
        <v>250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CX226">
        <f>Y226*Source!I155</f>
        <v>9.4990000000000005E-2</v>
      </c>
      <c r="CY226">
        <f>AB226</f>
        <v>748.34</v>
      </c>
      <c r="CZ226">
        <f>AF226</f>
        <v>97.95</v>
      </c>
      <c r="DA226">
        <f>AJ226</f>
        <v>7.64</v>
      </c>
      <c r="DB226">
        <f>ROUND((ROUND(AT226*CZ226,2)*ROUND((1.25*1.15),7)),6)</f>
        <v>19.708124999999999</v>
      </c>
      <c r="DC226">
        <f>ROUND((ROUND(AT226*AG226,2)*ROUND((1.25*1.15),7)),6)</f>
        <v>1.9550000000000001</v>
      </c>
    </row>
    <row r="227" spans="1:107">
      <c r="A227">
        <f>ROW(Source!A155)</f>
        <v>155</v>
      </c>
      <c r="B227">
        <v>31028412</v>
      </c>
      <c r="C227">
        <v>31029209</v>
      </c>
      <c r="D227">
        <v>29147732</v>
      </c>
      <c r="E227">
        <v>1</v>
      </c>
      <c r="F227">
        <v>1</v>
      </c>
      <c r="G227">
        <v>1</v>
      </c>
      <c r="H227">
        <v>2</v>
      </c>
      <c r="I227" t="s">
        <v>846</v>
      </c>
      <c r="J227" t="s">
        <v>847</v>
      </c>
      <c r="K227" t="s">
        <v>848</v>
      </c>
      <c r="L227">
        <v>1368</v>
      </c>
      <c r="N227">
        <v>1011</v>
      </c>
      <c r="O227" t="s">
        <v>780</v>
      </c>
      <c r="P227" t="s">
        <v>780</v>
      </c>
      <c r="Q227">
        <v>1</v>
      </c>
      <c r="W227">
        <v>0</v>
      </c>
      <c r="X227">
        <v>-1205898307</v>
      </c>
      <c r="Y227">
        <v>1.8687499999999999</v>
      </c>
      <c r="AA227">
        <v>0</v>
      </c>
      <c r="AB227">
        <v>235.69</v>
      </c>
      <c r="AC227">
        <v>315.58999999999997</v>
      </c>
      <c r="AD227">
        <v>0</v>
      </c>
      <c r="AE227">
        <v>0</v>
      </c>
      <c r="AF227">
        <v>30.85</v>
      </c>
      <c r="AG227">
        <v>13.03</v>
      </c>
      <c r="AH227">
        <v>0</v>
      </c>
      <c r="AI227">
        <v>1</v>
      </c>
      <c r="AJ227">
        <v>7.64</v>
      </c>
      <c r="AK227">
        <v>24.22</v>
      </c>
      <c r="AL227">
        <v>1</v>
      </c>
      <c r="AN227">
        <v>0</v>
      </c>
      <c r="AO227">
        <v>1</v>
      </c>
      <c r="AP227">
        <v>1</v>
      </c>
      <c r="AQ227">
        <v>0</v>
      </c>
      <c r="AR227">
        <v>0</v>
      </c>
      <c r="AS227" t="s">
        <v>6</v>
      </c>
      <c r="AT227">
        <v>1.3</v>
      </c>
      <c r="AU227" t="s">
        <v>126</v>
      </c>
      <c r="AV227">
        <v>0</v>
      </c>
      <c r="AW227">
        <v>2</v>
      </c>
      <c r="AX227">
        <v>31029223</v>
      </c>
      <c r="AY227">
        <v>1</v>
      </c>
      <c r="AZ227">
        <v>0</v>
      </c>
      <c r="BA227">
        <v>251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CX227">
        <f>Y227*Source!I155</f>
        <v>0.88204999999999989</v>
      </c>
      <c r="CY227">
        <f>AB227</f>
        <v>235.69</v>
      </c>
      <c r="CZ227">
        <f>AF227</f>
        <v>30.85</v>
      </c>
      <c r="DA227">
        <f>AJ227</f>
        <v>7.64</v>
      </c>
      <c r="DB227">
        <f>ROUND((ROUND(AT227*CZ227,2)*ROUND((1.25*1.15),7)),6)</f>
        <v>57.658124999999998</v>
      </c>
      <c r="DC227">
        <f>ROUND((ROUND(AT227*AG227,2)*ROUND((1.25*1.15),7)),6)</f>
        <v>24.35125</v>
      </c>
    </row>
    <row r="228" spans="1:107">
      <c r="A228">
        <f>ROW(Source!A155)</f>
        <v>155</v>
      </c>
      <c r="B228">
        <v>31028412</v>
      </c>
      <c r="C228">
        <v>31029209</v>
      </c>
      <c r="D228">
        <v>29150545</v>
      </c>
      <c r="E228">
        <v>1</v>
      </c>
      <c r="F228">
        <v>1</v>
      </c>
      <c r="G228">
        <v>1</v>
      </c>
      <c r="H228">
        <v>3</v>
      </c>
      <c r="I228" t="s">
        <v>927</v>
      </c>
      <c r="J228" t="s">
        <v>928</v>
      </c>
      <c r="K228" t="s">
        <v>929</v>
      </c>
      <c r="L228">
        <v>1348</v>
      </c>
      <c r="N228">
        <v>1009</v>
      </c>
      <c r="O228" t="s">
        <v>137</v>
      </c>
      <c r="P228" t="s">
        <v>137</v>
      </c>
      <c r="Q228">
        <v>1000</v>
      </c>
      <c r="W228">
        <v>0</v>
      </c>
      <c r="X228">
        <v>1380755080</v>
      </c>
      <c r="Y228">
        <v>2.5000000000000001E-3</v>
      </c>
      <c r="AA228">
        <v>56802.01</v>
      </c>
      <c r="AB228">
        <v>0</v>
      </c>
      <c r="AC228">
        <v>0</v>
      </c>
      <c r="AD228">
        <v>0</v>
      </c>
      <c r="AE228">
        <v>9206.16</v>
      </c>
      <c r="AF228">
        <v>0</v>
      </c>
      <c r="AG228">
        <v>0</v>
      </c>
      <c r="AH228">
        <v>0</v>
      </c>
      <c r="AI228">
        <v>6.17</v>
      </c>
      <c r="AJ228">
        <v>1</v>
      </c>
      <c r="AK228">
        <v>1</v>
      </c>
      <c r="AL228">
        <v>1</v>
      </c>
      <c r="AN228">
        <v>0</v>
      </c>
      <c r="AO228">
        <v>1</v>
      </c>
      <c r="AP228">
        <v>0</v>
      </c>
      <c r="AQ228">
        <v>0</v>
      </c>
      <c r="AR228">
        <v>0</v>
      </c>
      <c r="AS228" t="s">
        <v>6</v>
      </c>
      <c r="AT228">
        <v>2.5000000000000001E-3</v>
      </c>
      <c r="AU228" t="s">
        <v>6</v>
      </c>
      <c r="AV228">
        <v>0</v>
      </c>
      <c r="AW228">
        <v>2</v>
      </c>
      <c r="AX228">
        <v>31029224</v>
      </c>
      <c r="AY228">
        <v>1</v>
      </c>
      <c r="AZ228">
        <v>0</v>
      </c>
      <c r="BA228">
        <v>252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CX228">
        <f>Y228*Source!I155</f>
        <v>1.1800000000000001E-3</v>
      </c>
      <c r="CY228">
        <f t="shared" ref="CY228:CY233" si="41">AA228</f>
        <v>56802.01</v>
      </c>
      <c r="CZ228">
        <f t="shared" ref="CZ228:CZ233" si="42">AE228</f>
        <v>9206.16</v>
      </c>
      <c r="DA228">
        <f t="shared" ref="DA228:DA233" si="43">AI228</f>
        <v>6.17</v>
      </c>
      <c r="DB228">
        <f t="shared" ref="DB228:DB233" si="44">ROUND(ROUND(AT228*CZ228,2),6)</f>
        <v>23.02</v>
      </c>
      <c r="DC228">
        <f t="shared" ref="DC228:DC233" si="45">ROUND(ROUND(AT228*AG228,2),6)</f>
        <v>0</v>
      </c>
    </row>
    <row r="229" spans="1:107">
      <c r="A229">
        <f>ROW(Source!A155)</f>
        <v>155</v>
      </c>
      <c r="B229">
        <v>31028412</v>
      </c>
      <c r="C229">
        <v>31029209</v>
      </c>
      <c r="D229">
        <v>29151213</v>
      </c>
      <c r="E229">
        <v>1</v>
      </c>
      <c r="F229">
        <v>1</v>
      </c>
      <c r="G229">
        <v>1</v>
      </c>
      <c r="H229">
        <v>3</v>
      </c>
      <c r="I229" t="s">
        <v>930</v>
      </c>
      <c r="J229" t="s">
        <v>931</v>
      </c>
      <c r="K229" t="s">
        <v>932</v>
      </c>
      <c r="L229">
        <v>1327</v>
      </c>
      <c r="N229">
        <v>1005</v>
      </c>
      <c r="O229" t="s">
        <v>284</v>
      </c>
      <c r="P229" t="s">
        <v>284</v>
      </c>
      <c r="Q229">
        <v>1</v>
      </c>
      <c r="W229">
        <v>0</v>
      </c>
      <c r="X229">
        <v>192456891</v>
      </c>
      <c r="Y229">
        <v>108</v>
      </c>
      <c r="AA229">
        <v>57.94</v>
      </c>
      <c r="AB229">
        <v>0</v>
      </c>
      <c r="AC229">
        <v>0</v>
      </c>
      <c r="AD229">
        <v>0</v>
      </c>
      <c r="AE229">
        <v>9.39</v>
      </c>
      <c r="AF229">
        <v>0</v>
      </c>
      <c r="AG229">
        <v>0</v>
      </c>
      <c r="AH229">
        <v>0</v>
      </c>
      <c r="AI229">
        <v>6.17</v>
      </c>
      <c r="AJ229">
        <v>1</v>
      </c>
      <c r="AK229">
        <v>1</v>
      </c>
      <c r="AL229">
        <v>1</v>
      </c>
      <c r="AN229">
        <v>0</v>
      </c>
      <c r="AO229">
        <v>1</v>
      </c>
      <c r="AP229">
        <v>0</v>
      </c>
      <c r="AQ229">
        <v>0</v>
      </c>
      <c r="AR229">
        <v>0</v>
      </c>
      <c r="AS229" t="s">
        <v>6</v>
      </c>
      <c r="AT229">
        <v>108</v>
      </c>
      <c r="AU229" t="s">
        <v>6</v>
      </c>
      <c r="AV229">
        <v>0</v>
      </c>
      <c r="AW229">
        <v>2</v>
      </c>
      <c r="AX229">
        <v>31029225</v>
      </c>
      <c r="AY229">
        <v>1</v>
      </c>
      <c r="AZ229">
        <v>0</v>
      </c>
      <c r="BA229">
        <v>253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CX229">
        <f>Y229*Source!I155</f>
        <v>50.975999999999999</v>
      </c>
      <c r="CY229">
        <f t="shared" si="41"/>
        <v>57.94</v>
      </c>
      <c r="CZ229">
        <f t="shared" si="42"/>
        <v>9.39</v>
      </c>
      <c r="DA229">
        <f t="shared" si="43"/>
        <v>6.17</v>
      </c>
      <c r="DB229">
        <f t="shared" si="44"/>
        <v>1014.12</v>
      </c>
      <c r="DC229">
        <f t="shared" si="45"/>
        <v>0</v>
      </c>
    </row>
    <row r="230" spans="1:107">
      <c r="A230">
        <f>ROW(Source!A155)</f>
        <v>155</v>
      </c>
      <c r="B230">
        <v>31028412</v>
      </c>
      <c r="C230">
        <v>31029209</v>
      </c>
      <c r="D230">
        <v>29151587</v>
      </c>
      <c r="E230">
        <v>1</v>
      </c>
      <c r="F230">
        <v>1</v>
      </c>
      <c r="G230">
        <v>1</v>
      </c>
      <c r="H230">
        <v>3</v>
      </c>
      <c r="I230" t="s">
        <v>933</v>
      </c>
      <c r="J230" t="s">
        <v>934</v>
      </c>
      <c r="K230" t="s">
        <v>935</v>
      </c>
      <c r="L230">
        <v>1348</v>
      </c>
      <c r="N230">
        <v>1009</v>
      </c>
      <c r="O230" t="s">
        <v>137</v>
      </c>
      <c r="P230" t="s">
        <v>137</v>
      </c>
      <c r="Q230">
        <v>1000</v>
      </c>
      <c r="W230">
        <v>0</v>
      </c>
      <c r="X230">
        <v>-157460125</v>
      </c>
      <c r="Y230">
        <v>2E-3</v>
      </c>
      <c r="AA230">
        <v>2581.71</v>
      </c>
      <c r="AB230">
        <v>0</v>
      </c>
      <c r="AC230">
        <v>0</v>
      </c>
      <c r="AD230">
        <v>0</v>
      </c>
      <c r="AE230">
        <v>418.43</v>
      </c>
      <c r="AF230">
        <v>0</v>
      </c>
      <c r="AG230">
        <v>0</v>
      </c>
      <c r="AH230">
        <v>0</v>
      </c>
      <c r="AI230">
        <v>6.17</v>
      </c>
      <c r="AJ230">
        <v>1</v>
      </c>
      <c r="AK230">
        <v>1</v>
      </c>
      <c r="AL230">
        <v>1</v>
      </c>
      <c r="AN230">
        <v>0</v>
      </c>
      <c r="AO230">
        <v>1</v>
      </c>
      <c r="AP230">
        <v>0</v>
      </c>
      <c r="AQ230">
        <v>0</v>
      </c>
      <c r="AR230">
        <v>0</v>
      </c>
      <c r="AS230" t="s">
        <v>6</v>
      </c>
      <c r="AT230">
        <v>2E-3</v>
      </c>
      <c r="AU230" t="s">
        <v>6</v>
      </c>
      <c r="AV230">
        <v>0</v>
      </c>
      <c r="AW230">
        <v>2</v>
      </c>
      <c r="AX230">
        <v>31029226</v>
      </c>
      <c r="AY230">
        <v>1</v>
      </c>
      <c r="AZ230">
        <v>0</v>
      </c>
      <c r="BA230">
        <v>254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CX230">
        <f>Y230*Source!I155</f>
        <v>9.4399999999999996E-4</v>
      </c>
      <c r="CY230">
        <f t="shared" si="41"/>
        <v>2581.71</v>
      </c>
      <c r="CZ230">
        <f t="shared" si="42"/>
        <v>418.43</v>
      </c>
      <c r="DA230">
        <f t="shared" si="43"/>
        <v>6.17</v>
      </c>
      <c r="DB230">
        <f t="shared" si="44"/>
        <v>0.84</v>
      </c>
      <c r="DC230">
        <f t="shared" si="45"/>
        <v>0</v>
      </c>
    </row>
    <row r="231" spans="1:107">
      <c r="A231">
        <f>ROW(Source!A155)</f>
        <v>155</v>
      </c>
      <c r="B231">
        <v>31028412</v>
      </c>
      <c r="C231">
        <v>31029209</v>
      </c>
      <c r="D231">
        <v>29151964</v>
      </c>
      <c r="E231">
        <v>1</v>
      </c>
      <c r="F231">
        <v>1</v>
      </c>
      <c r="G231">
        <v>1</v>
      </c>
      <c r="H231">
        <v>3</v>
      </c>
      <c r="I231" t="s">
        <v>936</v>
      </c>
      <c r="J231" t="s">
        <v>937</v>
      </c>
      <c r="K231" t="s">
        <v>938</v>
      </c>
      <c r="L231">
        <v>1346</v>
      </c>
      <c r="N231">
        <v>1009</v>
      </c>
      <c r="O231" t="s">
        <v>118</v>
      </c>
      <c r="P231" t="s">
        <v>118</v>
      </c>
      <c r="Q231">
        <v>1</v>
      </c>
      <c r="W231">
        <v>0</v>
      </c>
      <c r="X231">
        <v>-699086074</v>
      </c>
      <c r="Y231">
        <v>12</v>
      </c>
      <c r="AA231">
        <v>60.47</v>
      </c>
      <c r="AB231">
        <v>0</v>
      </c>
      <c r="AC231">
        <v>0</v>
      </c>
      <c r="AD231">
        <v>0</v>
      </c>
      <c r="AE231">
        <v>9.8000000000000007</v>
      </c>
      <c r="AF231">
        <v>0</v>
      </c>
      <c r="AG231">
        <v>0</v>
      </c>
      <c r="AH231">
        <v>0</v>
      </c>
      <c r="AI231">
        <v>6.17</v>
      </c>
      <c r="AJ231">
        <v>1</v>
      </c>
      <c r="AK231">
        <v>1</v>
      </c>
      <c r="AL231">
        <v>1</v>
      </c>
      <c r="AN231">
        <v>0</v>
      </c>
      <c r="AO231">
        <v>1</v>
      </c>
      <c r="AP231">
        <v>0</v>
      </c>
      <c r="AQ231">
        <v>0</v>
      </c>
      <c r="AR231">
        <v>0</v>
      </c>
      <c r="AS231" t="s">
        <v>6</v>
      </c>
      <c r="AT231">
        <v>12</v>
      </c>
      <c r="AU231" t="s">
        <v>6</v>
      </c>
      <c r="AV231">
        <v>0</v>
      </c>
      <c r="AW231">
        <v>2</v>
      </c>
      <c r="AX231">
        <v>31029227</v>
      </c>
      <c r="AY231">
        <v>1</v>
      </c>
      <c r="AZ231">
        <v>0</v>
      </c>
      <c r="BA231">
        <v>255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CX231">
        <f>Y231*Source!I155</f>
        <v>5.6639999999999997</v>
      </c>
      <c r="CY231">
        <f t="shared" si="41"/>
        <v>60.47</v>
      </c>
      <c r="CZ231">
        <f t="shared" si="42"/>
        <v>9.8000000000000007</v>
      </c>
      <c r="DA231">
        <f t="shared" si="43"/>
        <v>6.17</v>
      </c>
      <c r="DB231">
        <f t="shared" si="44"/>
        <v>117.6</v>
      </c>
      <c r="DC231">
        <f t="shared" si="45"/>
        <v>0</v>
      </c>
    </row>
    <row r="232" spans="1:107">
      <c r="A232">
        <f>ROW(Source!A155)</f>
        <v>155</v>
      </c>
      <c r="B232">
        <v>31028412</v>
      </c>
      <c r="C232">
        <v>31029209</v>
      </c>
      <c r="D232">
        <v>29186569</v>
      </c>
      <c r="E232">
        <v>1</v>
      </c>
      <c r="F232">
        <v>1</v>
      </c>
      <c r="G232">
        <v>1</v>
      </c>
      <c r="H232">
        <v>3</v>
      </c>
      <c r="I232" t="s">
        <v>939</v>
      </c>
      <c r="J232" t="s">
        <v>940</v>
      </c>
      <c r="K232" t="s">
        <v>941</v>
      </c>
      <c r="L232">
        <v>1339</v>
      </c>
      <c r="N232">
        <v>1007</v>
      </c>
      <c r="O232" t="s">
        <v>109</v>
      </c>
      <c r="P232" t="s">
        <v>109</v>
      </c>
      <c r="Q232">
        <v>1</v>
      </c>
      <c r="W232">
        <v>0</v>
      </c>
      <c r="X232">
        <v>-913915397</v>
      </c>
      <c r="Y232">
        <v>3.2</v>
      </c>
      <c r="AA232">
        <v>2827.59</v>
      </c>
      <c r="AB232">
        <v>0</v>
      </c>
      <c r="AC232">
        <v>0</v>
      </c>
      <c r="AD232">
        <v>0</v>
      </c>
      <c r="AE232">
        <v>458.28</v>
      </c>
      <c r="AF232">
        <v>0</v>
      </c>
      <c r="AG232">
        <v>0</v>
      </c>
      <c r="AH232">
        <v>0</v>
      </c>
      <c r="AI232">
        <v>6.17</v>
      </c>
      <c r="AJ232">
        <v>1</v>
      </c>
      <c r="AK232">
        <v>1</v>
      </c>
      <c r="AL232">
        <v>1</v>
      </c>
      <c r="AN232">
        <v>0</v>
      </c>
      <c r="AO232">
        <v>1</v>
      </c>
      <c r="AP232">
        <v>0</v>
      </c>
      <c r="AQ232">
        <v>0</v>
      </c>
      <c r="AR232">
        <v>0</v>
      </c>
      <c r="AS232" t="s">
        <v>6</v>
      </c>
      <c r="AT232">
        <v>3.2</v>
      </c>
      <c r="AU232" t="s">
        <v>6</v>
      </c>
      <c r="AV232">
        <v>0</v>
      </c>
      <c r="AW232">
        <v>2</v>
      </c>
      <c r="AX232">
        <v>31029228</v>
      </c>
      <c r="AY232">
        <v>1</v>
      </c>
      <c r="AZ232">
        <v>0</v>
      </c>
      <c r="BA232">
        <v>256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CX232">
        <f>Y232*Source!I155</f>
        <v>1.5104</v>
      </c>
      <c r="CY232">
        <f t="shared" si="41"/>
        <v>2827.59</v>
      </c>
      <c r="CZ232">
        <f t="shared" si="42"/>
        <v>458.28</v>
      </c>
      <c r="DA232">
        <f t="shared" si="43"/>
        <v>6.17</v>
      </c>
      <c r="DB232">
        <f t="shared" si="44"/>
        <v>1466.5</v>
      </c>
      <c r="DC232">
        <f t="shared" si="45"/>
        <v>0</v>
      </c>
    </row>
    <row r="233" spans="1:107">
      <c r="A233">
        <f>ROW(Source!A155)</f>
        <v>155</v>
      </c>
      <c r="B233">
        <v>31028412</v>
      </c>
      <c r="C233">
        <v>31029209</v>
      </c>
      <c r="D233">
        <v>29195171</v>
      </c>
      <c r="E233">
        <v>1</v>
      </c>
      <c r="F233">
        <v>1</v>
      </c>
      <c r="G233">
        <v>1</v>
      </c>
      <c r="H233">
        <v>3</v>
      </c>
      <c r="I233" t="s">
        <v>830</v>
      </c>
      <c r="J233" t="s">
        <v>831</v>
      </c>
      <c r="K233" t="s">
        <v>832</v>
      </c>
      <c r="L233">
        <v>1339</v>
      </c>
      <c r="N233">
        <v>1007</v>
      </c>
      <c r="O233" t="s">
        <v>109</v>
      </c>
      <c r="P233" t="s">
        <v>109</v>
      </c>
      <c r="Q233">
        <v>1</v>
      </c>
      <c r="W233">
        <v>0</v>
      </c>
      <c r="X233">
        <v>2050165204</v>
      </c>
      <c r="Y233">
        <v>0.01</v>
      </c>
      <c r="AA233">
        <v>15.12</v>
      </c>
      <c r="AB233">
        <v>0</v>
      </c>
      <c r="AC233">
        <v>0</v>
      </c>
      <c r="AD233">
        <v>0</v>
      </c>
      <c r="AE233">
        <v>2.4500000000000002</v>
      </c>
      <c r="AF233">
        <v>0</v>
      </c>
      <c r="AG233">
        <v>0</v>
      </c>
      <c r="AH233">
        <v>0</v>
      </c>
      <c r="AI233">
        <v>6.17</v>
      </c>
      <c r="AJ233">
        <v>1</v>
      </c>
      <c r="AK233">
        <v>1</v>
      </c>
      <c r="AL233">
        <v>1</v>
      </c>
      <c r="AN233">
        <v>0</v>
      </c>
      <c r="AO233">
        <v>1</v>
      </c>
      <c r="AP233">
        <v>0</v>
      </c>
      <c r="AQ233">
        <v>0</v>
      </c>
      <c r="AR233">
        <v>0</v>
      </c>
      <c r="AS233" t="s">
        <v>6</v>
      </c>
      <c r="AT233">
        <v>0.01</v>
      </c>
      <c r="AU233" t="s">
        <v>6</v>
      </c>
      <c r="AV233">
        <v>0</v>
      </c>
      <c r="AW233">
        <v>2</v>
      </c>
      <c r="AX233">
        <v>31029229</v>
      </c>
      <c r="AY233">
        <v>1</v>
      </c>
      <c r="AZ233">
        <v>0</v>
      </c>
      <c r="BA233">
        <v>257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CX233">
        <f>Y233*Source!I155</f>
        <v>4.7200000000000002E-3</v>
      </c>
      <c r="CY233">
        <f t="shared" si="41"/>
        <v>15.12</v>
      </c>
      <c r="CZ233">
        <f t="shared" si="42"/>
        <v>2.4500000000000002</v>
      </c>
      <c r="DA233">
        <f t="shared" si="43"/>
        <v>6.17</v>
      </c>
      <c r="DB233">
        <f t="shared" si="44"/>
        <v>0.02</v>
      </c>
      <c r="DC233">
        <f t="shared" si="45"/>
        <v>0</v>
      </c>
    </row>
    <row r="234" spans="1:107">
      <c r="A234">
        <f>ROW(Source!A156)</f>
        <v>156</v>
      </c>
      <c r="B234">
        <v>31028412</v>
      </c>
      <c r="C234">
        <v>31029230</v>
      </c>
      <c r="D234">
        <v>29084596</v>
      </c>
      <c r="E234">
        <v>1</v>
      </c>
      <c r="F234">
        <v>1</v>
      </c>
      <c r="G234">
        <v>1</v>
      </c>
      <c r="H234">
        <v>1</v>
      </c>
      <c r="I234" t="s">
        <v>893</v>
      </c>
      <c r="J234" t="s">
        <v>6</v>
      </c>
      <c r="K234" t="s">
        <v>894</v>
      </c>
      <c r="L234">
        <v>1369</v>
      </c>
      <c r="N234">
        <v>1013</v>
      </c>
      <c r="O234" t="s">
        <v>773</v>
      </c>
      <c r="P234" t="s">
        <v>773</v>
      </c>
      <c r="Q234">
        <v>1</v>
      </c>
      <c r="W234">
        <v>0</v>
      </c>
      <c r="X234">
        <v>1607597053</v>
      </c>
      <c r="Y234">
        <v>21.821249999999996</v>
      </c>
      <c r="AA234">
        <v>0</v>
      </c>
      <c r="AB234">
        <v>0</v>
      </c>
      <c r="AC234">
        <v>0</v>
      </c>
      <c r="AD234">
        <v>222.34</v>
      </c>
      <c r="AE234">
        <v>0</v>
      </c>
      <c r="AF234">
        <v>0</v>
      </c>
      <c r="AG234">
        <v>0</v>
      </c>
      <c r="AH234">
        <v>9.18</v>
      </c>
      <c r="AI234">
        <v>1</v>
      </c>
      <c r="AJ234">
        <v>1</v>
      </c>
      <c r="AK234">
        <v>1</v>
      </c>
      <c r="AL234">
        <v>24.22</v>
      </c>
      <c r="AN234">
        <v>0</v>
      </c>
      <c r="AO234">
        <v>1</v>
      </c>
      <c r="AP234">
        <v>1</v>
      </c>
      <c r="AQ234">
        <v>0</v>
      </c>
      <c r="AR234">
        <v>0</v>
      </c>
      <c r="AS234" t="s">
        <v>6</v>
      </c>
      <c r="AT234">
        <v>16.5</v>
      </c>
      <c r="AU234" t="s">
        <v>127</v>
      </c>
      <c r="AV234">
        <v>1</v>
      </c>
      <c r="AW234">
        <v>2</v>
      </c>
      <c r="AX234">
        <v>31029238</v>
      </c>
      <c r="AY234">
        <v>1</v>
      </c>
      <c r="AZ234">
        <v>0</v>
      </c>
      <c r="BA234">
        <v>258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CX234">
        <f>Y234*Source!I156</f>
        <v>10.299629999999997</v>
      </c>
      <c r="CY234">
        <f>AD234</f>
        <v>222.34</v>
      </c>
      <c r="CZ234">
        <f>AH234</f>
        <v>9.18</v>
      </c>
      <c r="DA234">
        <f>AL234</f>
        <v>24.22</v>
      </c>
      <c r="DB234">
        <f>ROUND((ROUND(AT234*CZ234,2)*ROUND((1.15*1.15),7)),6)</f>
        <v>200.319075</v>
      </c>
      <c r="DC234">
        <f>ROUND((ROUND(AT234*AG234,2)*ROUND((1.15*1.15),7)),6)</f>
        <v>0</v>
      </c>
    </row>
    <row r="235" spans="1:107">
      <c r="A235">
        <f>ROW(Source!A156)</f>
        <v>156</v>
      </c>
      <c r="B235">
        <v>31028412</v>
      </c>
      <c r="C235">
        <v>31029230</v>
      </c>
      <c r="D235">
        <v>29084573</v>
      </c>
      <c r="E235">
        <v>1</v>
      </c>
      <c r="F235">
        <v>1</v>
      </c>
      <c r="G235">
        <v>1</v>
      </c>
      <c r="H235">
        <v>1</v>
      </c>
      <c r="I235" t="s">
        <v>774</v>
      </c>
      <c r="J235" t="s">
        <v>6</v>
      </c>
      <c r="K235" t="s">
        <v>775</v>
      </c>
      <c r="L235">
        <v>608254</v>
      </c>
      <c r="N235">
        <v>1013</v>
      </c>
      <c r="O235" t="s">
        <v>776</v>
      </c>
      <c r="P235" t="s">
        <v>776</v>
      </c>
      <c r="Q235">
        <v>1</v>
      </c>
      <c r="W235">
        <v>0</v>
      </c>
      <c r="X235">
        <v>95408949</v>
      </c>
      <c r="Y235">
        <v>1.4374999999999999E-2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1</v>
      </c>
      <c r="AJ235">
        <v>1</v>
      </c>
      <c r="AK235">
        <v>24.22</v>
      </c>
      <c r="AL235">
        <v>1</v>
      </c>
      <c r="AN235">
        <v>0</v>
      </c>
      <c r="AO235">
        <v>1</v>
      </c>
      <c r="AP235">
        <v>1</v>
      </c>
      <c r="AQ235">
        <v>0</v>
      </c>
      <c r="AR235">
        <v>0</v>
      </c>
      <c r="AS235" t="s">
        <v>6</v>
      </c>
      <c r="AT235">
        <v>0.01</v>
      </c>
      <c r="AU235" t="s">
        <v>126</v>
      </c>
      <c r="AV235">
        <v>2</v>
      </c>
      <c r="AW235">
        <v>2</v>
      </c>
      <c r="AX235">
        <v>31029239</v>
      </c>
      <c r="AY235">
        <v>1</v>
      </c>
      <c r="AZ235">
        <v>0</v>
      </c>
      <c r="BA235">
        <v>259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CX235">
        <f>Y235*Source!I156</f>
        <v>6.7849999999999994E-3</v>
      </c>
      <c r="CY235">
        <f>AD235</f>
        <v>0</v>
      </c>
      <c r="CZ235">
        <f>AH235</f>
        <v>0</v>
      </c>
      <c r="DA235">
        <f>AL235</f>
        <v>1</v>
      </c>
      <c r="DB235">
        <f>ROUND((ROUND(AT235*CZ235,2)*ROUND((1.25*1.15),7)),6)</f>
        <v>0</v>
      </c>
      <c r="DC235">
        <f>ROUND((ROUND(AT235*AG235,2)*ROUND((1.25*1.15),7)),6)</f>
        <v>0</v>
      </c>
    </row>
    <row r="236" spans="1:107">
      <c r="A236">
        <f>ROW(Source!A156)</f>
        <v>156</v>
      </c>
      <c r="B236">
        <v>31028412</v>
      </c>
      <c r="C236">
        <v>31029230</v>
      </c>
      <c r="D236">
        <v>29147732</v>
      </c>
      <c r="E236">
        <v>1</v>
      </c>
      <c r="F236">
        <v>1</v>
      </c>
      <c r="G236">
        <v>1</v>
      </c>
      <c r="H236">
        <v>2</v>
      </c>
      <c r="I236" t="s">
        <v>846</v>
      </c>
      <c r="J236" t="s">
        <v>847</v>
      </c>
      <c r="K236" t="s">
        <v>848</v>
      </c>
      <c r="L236">
        <v>1368</v>
      </c>
      <c r="N236">
        <v>1011</v>
      </c>
      <c r="O236" t="s">
        <v>780</v>
      </c>
      <c r="P236" t="s">
        <v>780</v>
      </c>
      <c r="Q236">
        <v>1</v>
      </c>
      <c r="W236">
        <v>0</v>
      </c>
      <c r="X236">
        <v>-1205898307</v>
      </c>
      <c r="Y236">
        <v>1.4374999999999999E-2</v>
      </c>
      <c r="AA236">
        <v>0</v>
      </c>
      <c r="AB236">
        <v>235.69</v>
      </c>
      <c r="AC236">
        <v>315.58999999999997</v>
      </c>
      <c r="AD236">
        <v>0</v>
      </c>
      <c r="AE236">
        <v>0</v>
      </c>
      <c r="AF236">
        <v>30.85</v>
      </c>
      <c r="AG236">
        <v>13.03</v>
      </c>
      <c r="AH236">
        <v>0</v>
      </c>
      <c r="AI236">
        <v>1</v>
      </c>
      <c r="AJ236">
        <v>7.64</v>
      </c>
      <c r="AK236">
        <v>24.22</v>
      </c>
      <c r="AL236">
        <v>1</v>
      </c>
      <c r="AN236">
        <v>0</v>
      </c>
      <c r="AO236">
        <v>1</v>
      </c>
      <c r="AP236">
        <v>1</v>
      </c>
      <c r="AQ236">
        <v>0</v>
      </c>
      <c r="AR236">
        <v>0</v>
      </c>
      <c r="AS236" t="s">
        <v>6</v>
      </c>
      <c r="AT236">
        <v>0.01</v>
      </c>
      <c r="AU236" t="s">
        <v>126</v>
      </c>
      <c r="AV236">
        <v>0</v>
      </c>
      <c r="AW236">
        <v>2</v>
      </c>
      <c r="AX236">
        <v>31029240</v>
      </c>
      <c r="AY236">
        <v>1</v>
      </c>
      <c r="AZ236">
        <v>0</v>
      </c>
      <c r="BA236">
        <v>260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CX236">
        <f>Y236*Source!I156</f>
        <v>6.7849999999999994E-3</v>
      </c>
      <c r="CY236">
        <f>AB236</f>
        <v>235.69</v>
      </c>
      <c r="CZ236">
        <f>AF236</f>
        <v>30.85</v>
      </c>
      <c r="DA236">
        <f>AJ236</f>
        <v>7.64</v>
      </c>
      <c r="DB236">
        <f>ROUND((ROUND(AT236*CZ236,2)*ROUND((1.25*1.15),7)),6)</f>
        <v>0.44562499999999999</v>
      </c>
      <c r="DC236">
        <f>ROUND((ROUND(AT236*AG236,2)*ROUND((1.25*1.15),7)),6)</f>
        <v>0.18687500000000001</v>
      </c>
    </row>
    <row r="237" spans="1:107">
      <c r="A237">
        <f>ROW(Source!A156)</f>
        <v>156</v>
      </c>
      <c r="B237">
        <v>31028412</v>
      </c>
      <c r="C237">
        <v>31029230</v>
      </c>
      <c r="D237">
        <v>29149520</v>
      </c>
      <c r="E237">
        <v>1</v>
      </c>
      <c r="F237">
        <v>1</v>
      </c>
      <c r="G237">
        <v>1</v>
      </c>
      <c r="H237">
        <v>2</v>
      </c>
      <c r="I237" t="s">
        <v>790</v>
      </c>
      <c r="J237" t="s">
        <v>791</v>
      </c>
      <c r="K237" t="s">
        <v>792</v>
      </c>
      <c r="L237">
        <v>1368</v>
      </c>
      <c r="N237">
        <v>1011</v>
      </c>
      <c r="O237" t="s">
        <v>780</v>
      </c>
      <c r="P237" t="s">
        <v>780</v>
      </c>
      <c r="Q237">
        <v>1</v>
      </c>
      <c r="W237">
        <v>0</v>
      </c>
      <c r="X237">
        <v>-1931461795</v>
      </c>
      <c r="Y237">
        <v>5.7499999999999996E-2</v>
      </c>
      <c r="AA237">
        <v>0</v>
      </c>
      <c r="AB237">
        <v>699.98</v>
      </c>
      <c r="AC237">
        <v>0</v>
      </c>
      <c r="AD237">
        <v>0</v>
      </c>
      <c r="AE237">
        <v>0</v>
      </c>
      <c r="AF237">
        <v>91.62</v>
      </c>
      <c r="AG237">
        <v>0</v>
      </c>
      <c r="AH237">
        <v>0</v>
      </c>
      <c r="AI237">
        <v>1</v>
      </c>
      <c r="AJ237">
        <v>7.64</v>
      </c>
      <c r="AK237">
        <v>24.22</v>
      </c>
      <c r="AL237">
        <v>1</v>
      </c>
      <c r="AN237">
        <v>0</v>
      </c>
      <c r="AO237">
        <v>1</v>
      </c>
      <c r="AP237">
        <v>1</v>
      </c>
      <c r="AQ237">
        <v>0</v>
      </c>
      <c r="AR237">
        <v>0</v>
      </c>
      <c r="AS237" t="s">
        <v>6</v>
      </c>
      <c r="AT237">
        <v>0.04</v>
      </c>
      <c r="AU237" t="s">
        <v>126</v>
      </c>
      <c r="AV237">
        <v>0</v>
      </c>
      <c r="AW237">
        <v>2</v>
      </c>
      <c r="AX237">
        <v>31029241</v>
      </c>
      <c r="AY237">
        <v>1</v>
      </c>
      <c r="AZ237">
        <v>0</v>
      </c>
      <c r="BA237">
        <v>261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CX237">
        <f>Y237*Source!I156</f>
        <v>2.7139999999999997E-2</v>
      </c>
      <c r="CY237">
        <f>AB237</f>
        <v>699.98</v>
      </c>
      <c r="CZ237">
        <f>AF237</f>
        <v>91.62</v>
      </c>
      <c r="DA237">
        <f>AJ237</f>
        <v>7.64</v>
      </c>
      <c r="DB237">
        <f>ROUND((ROUND(AT237*CZ237,2)*ROUND((1.25*1.15),7)),6)</f>
        <v>5.2612500000000004</v>
      </c>
      <c r="DC237">
        <f>ROUND((ROUND(AT237*AG237,2)*ROUND((1.25*1.15),7)),6)</f>
        <v>0</v>
      </c>
    </row>
    <row r="238" spans="1:107">
      <c r="A238">
        <f>ROW(Source!A156)</f>
        <v>156</v>
      </c>
      <c r="B238">
        <v>31028412</v>
      </c>
      <c r="C238">
        <v>31029230</v>
      </c>
      <c r="D238">
        <v>29151861</v>
      </c>
      <c r="E238">
        <v>1</v>
      </c>
      <c r="F238">
        <v>1</v>
      </c>
      <c r="G238">
        <v>1</v>
      </c>
      <c r="H238">
        <v>3</v>
      </c>
      <c r="I238" t="s">
        <v>835</v>
      </c>
      <c r="J238" t="s">
        <v>836</v>
      </c>
      <c r="K238" t="s">
        <v>837</v>
      </c>
      <c r="L238">
        <v>1327</v>
      </c>
      <c r="N238">
        <v>1005</v>
      </c>
      <c r="O238" t="s">
        <v>284</v>
      </c>
      <c r="P238" t="s">
        <v>284</v>
      </c>
      <c r="Q238">
        <v>1</v>
      </c>
      <c r="W238">
        <v>0</v>
      </c>
      <c r="X238">
        <v>1527270933</v>
      </c>
      <c r="Y238">
        <v>4.4000000000000004</v>
      </c>
      <c r="AA238">
        <v>452.82</v>
      </c>
      <c r="AB238">
        <v>0</v>
      </c>
      <c r="AC238">
        <v>0</v>
      </c>
      <c r="AD238">
        <v>0</v>
      </c>
      <c r="AE238">
        <v>73.39</v>
      </c>
      <c r="AF238">
        <v>0</v>
      </c>
      <c r="AG238">
        <v>0</v>
      </c>
      <c r="AH238">
        <v>0</v>
      </c>
      <c r="AI238">
        <v>6.17</v>
      </c>
      <c r="AJ238">
        <v>1</v>
      </c>
      <c r="AK238">
        <v>1</v>
      </c>
      <c r="AL238">
        <v>1</v>
      </c>
      <c r="AN238">
        <v>0</v>
      </c>
      <c r="AO238">
        <v>1</v>
      </c>
      <c r="AP238">
        <v>0</v>
      </c>
      <c r="AQ238">
        <v>0</v>
      </c>
      <c r="AR238">
        <v>0</v>
      </c>
      <c r="AS238" t="s">
        <v>6</v>
      </c>
      <c r="AT238">
        <v>4.4000000000000004</v>
      </c>
      <c r="AU238" t="s">
        <v>6</v>
      </c>
      <c r="AV238">
        <v>0</v>
      </c>
      <c r="AW238">
        <v>2</v>
      </c>
      <c r="AX238">
        <v>31029242</v>
      </c>
      <c r="AY238">
        <v>1</v>
      </c>
      <c r="AZ238">
        <v>0</v>
      </c>
      <c r="BA238">
        <v>262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CX238">
        <f>Y238*Source!I156</f>
        <v>2.0768</v>
      </c>
      <c r="CY238">
        <f>AA238</f>
        <v>452.82</v>
      </c>
      <c r="CZ238">
        <f>AE238</f>
        <v>73.39</v>
      </c>
      <c r="DA238">
        <f>AI238</f>
        <v>6.17</v>
      </c>
      <c r="DB238">
        <f>ROUND(ROUND(AT238*CZ238,2),6)</f>
        <v>322.92</v>
      </c>
      <c r="DC238">
        <f>ROUND(ROUND(AT238*AG238,2),6)</f>
        <v>0</v>
      </c>
    </row>
    <row r="239" spans="1:107">
      <c r="A239">
        <f>ROW(Source!A156)</f>
        <v>156</v>
      </c>
      <c r="B239">
        <v>31028412</v>
      </c>
      <c r="C239">
        <v>31029230</v>
      </c>
      <c r="D239">
        <v>29151929</v>
      </c>
      <c r="E239">
        <v>1</v>
      </c>
      <c r="F239">
        <v>1</v>
      </c>
      <c r="G239">
        <v>1</v>
      </c>
      <c r="H239">
        <v>3</v>
      </c>
      <c r="I239" t="s">
        <v>914</v>
      </c>
      <c r="J239" t="s">
        <v>915</v>
      </c>
      <c r="K239" t="s">
        <v>916</v>
      </c>
      <c r="L239">
        <v>1348</v>
      </c>
      <c r="N239">
        <v>1009</v>
      </c>
      <c r="O239" t="s">
        <v>137</v>
      </c>
      <c r="P239" t="s">
        <v>137</v>
      </c>
      <c r="Q239">
        <v>1000</v>
      </c>
      <c r="W239">
        <v>0</v>
      </c>
      <c r="X239">
        <v>-706211403</v>
      </c>
      <c r="Y239">
        <v>3.2000000000000001E-2</v>
      </c>
      <c r="AA239">
        <v>19447.53</v>
      </c>
      <c r="AB239">
        <v>0</v>
      </c>
      <c r="AC239">
        <v>0</v>
      </c>
      <c r="AD239">
        <v>0</v>
      </c>
      <c r="AE239">
        <v>3151.95</v>
      </c>
      <c r="AF239">
        <v>0</v>
      </c>
      <c r="AG239">
        <v>0</v>
      </c>
      <c r="AH239">
        <v>0</v>
      </c>
      <c r="AI239">
        <v>6.17</v>
      </c>
      <c r="AJ239">
        <v>1</v>
      </c>
      <c r="AK239">
        <v>1</v>
      </c>
      <c r="AL239">
        <v>1</v>
      </c>
      <c r="AN239">
        <v>0</v>
      </c>
      <c r="AO239">
        <v>1</v>
      </c>
      <c r="AP239">
        <v>0</v>
      </c>
      <c r="AQ239">
        <v>0</v>
      </c>
      <c r="AR239">
        <v>0</v>
      </c>
      <c r="AS239" t="s">
        <v>6</v>
      </c>
      <c r="AT239">
        <v>3.2000000000000001E-2</v>
      </c>
      <c r="AU239" t="s">
        <v>6</v>
      </c>
      <c r="AV239">
        <v>0</v>
      </c>
      <c r="AW239">
        <v>2</v>
      </c>
      <c r="AX239">
        <v>31029243</v>
      </c>
      <c r="AY239">
        <v>1</v>
      </c>
      <c r="AZ239">
        <v>0</v>
      </c>
      <c r="BA239">
        <v>263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CX239">
        <f>Y239*Source!I156</f>
        <v>1.5103999999999999E-2</v>
      </c>
      <c r="CY239">
        <f>AA239</f>
        <v>19447.53</v>
      </c>
      <c r="CZ239">
        <f>AE239</f>
        <v>3151.95</v>
      </c>
      <c r="DA239">
        <f>AI239</f>
        <v>6.17</v>
      </c>
      <c r="DB239">
        <f>ROUND(ROUND(AT239*CZ239,2),6)</f>
        <v>100.86</v>
      </c>
      <c r="DC239">
        <f>ROUND(ROUND(AT239*AG239,2),6)</f>
        <v>0</v>
      </c>
    </row>
    <row r="240" spans="1:107">
      <c r="A240">
        <f>ROW(Source!A156)</f>
        <v>156</v>
      </c>
      <c r="B240">
        <v>31028412</v>
      </c>
      <c r="C240">
        <v>31029230</v>
      </c>
      <c r="D240">
        <v>29152014</v>
      </c>
      <c r="E240">
        <v>1</v>
      </c>
      <c r="F240">
        <v>1</v>
      </c>
      <c r="G240">
        <v>1</v>
      </c>
      <c r="H240">
        <v>3</v>
      </c>
      <c r="I240" t="s">
        <v>838</v>
      </c>
      <c r="J240" t="s">
        <v>839</v>
      </c>
      <c r="K240" t="s">
        <v>840</v>
      </c>
      <c r="L240">
        <v>1346</v>
      </c>
      <c r="N240">
        <v>1009</v>
      </c>
      <c r="O240" t="s">
        <v>118</v>
      </c>
      <c r="P240" t="s">
        <v>118</v>
      </c>
      <c r="Q240">
        <v>1</v>
      </c>
      <c r="W240">
        <v>0</v>
      </c>
      <c r="X240">
        <v>-1526040720</v>
      </c>
      <c r="Y240">
        <v>0.15</v>
      </c>
      <c r="AA240">
        <v>11.97</v>
      </c>
      <c r="AB240">
        <v>0</v>
      </c>
      <c r="AC240">
        <v>0</v>
      </c>
      <c r="AD240">
        <v>0</v>
      </c>
      <c r="AE240">
        <v>1.94</v>
      </c>
      <c r="AF240">
        <v>0</v>
      </c>
      <c r="AG240">
        <v>0</v>
      </c>
      <c r="AH240">
        <v>0</v>
      </c>
      <c r="AI240">
        <v>6.17</v>
      </c>
      <c r="AJ240">
        <v>1</v>
      </c>
      <c r="AK240">
        <v>1</v>
      </c>
      <c r="AL240">
        <v>1</v>
      </c>
      <c r="AN240">
        <v>0</v>
      </c>
      <c r="AO240">
        <v>1</v>
      </c>
      <c r="AP240">
        <v>0</v>
      </c>
      <c r="AQ240">
        <v>0</v>
      </c>
      <c r="AR240">
        <v>0</v>
      </c>
      <c r="AS240" t="s">
        <v>6</v>
      </c>
      <c r="AT240">
        <v>0.15</v>
      </c>
      <c r="AU240" t="s">
        <v>6</v>
      </c>
      <c r="AV240">
        <v>0</v>
      </c>
      <c r="AW240">
        <v>2</v>
      </c>
      <c r="AX240">
        <v>31029244</v>
      </c>
      <c r="AY240">
        <v>1</v>
      </c>
      <c r="AZ240">
        <v>0</v>
      </c>
      <c r="BA240">
        <v>264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CX240">
        <f>Y240*Source!I156</f>
        <v>7.0799999999999988E-2</v>
      </c>
      <c r="CY240">
        <f>AA240</f>
        <v>11.97</v>
      </c>
      <c r="CZ240">
        <f>AE240</f>
        <v>1.94</v>
      </c>
      <c r="DA240">
        <f>AI240</f>
        <v>6.17</v>
      </c>
      <c r="DB240">
        <f>ROUND(ROUND(AT240*CZ240,2),6)</f>
        <v>0.28999999999999998</v>
      </c>
      <c r="DC240">
        <f>ROUND(ROUND(AT240*AG240,2),6)</f>
        <v>0</v>
      </c>
    </row>
    <row r="241" spans="1:107">
      <c r="A241">
        <f>ROW(Source!A157)</f>
        <v>157</v>
      </c>
      <c r="B241">
        <v>31028412</v>
      </c>
      <c r="C241">
        <v>31029245</v>
      </c>
      <c r="D241">
        <v>29084579</v>
      </c>
      <c r="E241">
        <v>1</v>
      </c>
      <c r="F241">
        <v>1</v>
      </c>
      <c r="G241">
        <v>1</v>
      </c>
      <c r="H241">
        <v>1</v>
      </c>
      <c r="I241" t="s">
        <v>849</v>
      </c>
      <c r="J241" t="s">
        <v>6</v>
      </c>
      <c r="K241" t="s">
        <v>850</v>
      </c>
      <c r="L241">
        <v>1369</v>
      </c>
      <c r="N241">
        <v>1013</v>
      </c>
      <c r="O241" t="s">
        <v>773</v>
      </c>
      <c r="P241" t="s">
        <v>773</v>
      </c>
      <c r="Q241">
        <v>1</v>
      </c>
      <c r="W241">
        <v>0</v>
      </c>
      <c r="X241">
        <v>260198247</v>
      </c>
      <c r="Y241">
        <v>118.27117499999999</v>
      </c>
      <c r="AA241">
        <v>0</v>
      </c>
      <c r="AB241">
        <v>0</v>
      </c>
      <c r="AC241">
        <v>0</v>
      </c>
      <c r="AD241">
        <v>225</v>
      </c>
      <c r="AE241">
        <v>0</v>
      </c>
      <c r="AF241">
        <v>0</v>
      </c>
      <c r="AG241">
        <v>0</v>
      </c>
      <c r="AH241">
        <v>9.2899999999999991</v>
      </c>
      <c r="AI241">
        <v>1</v>
      </c>
      <c r="AJ241">
        <v>1</v>
      </c>
      <c r="AK241">
        <v>1</v>
      </c>
      <c r="AL241">
        <v>24.22</v>
      </c>
      <c r="AN241">
        <v>0</v>
      </c>
      <c r="AO241">
        <v>1</v>
      </c>
      <c r="AP241">
        <v>1</v>
      </c>
      <c r="AQ241">
        <v>0</v>
      </c>
      <c r="AR241">
        <v>0</v>
      </c>
      <c r="AS241" t="s">
        <v>6</v>
      </c>
      <c r="AT241">
        <v>89.43</v>
      </c>
      <c r="AU241" t="s">
        <v>127</v>
      </c>
      <c r="AV241">
        <v>1</v>
      </c>
      <c r="AW241">
        <v>2</v>
      </c>
      <c r="AX241">
        <v>31029254</v>
      </c>
      <c r="AY241">
        <v>1</v>
      </c>
      <c r="AZ241">
        <v>0</v>
      </c>
      <c r="BA241">
        <v>265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CX241">
        <f>Y241*Source!I157</f>
        <v>55.823994599999992</v>
      </c>
      <c r="CY241">
        <f>AD241</f>
        <v>225</v>
      </c>
      <c r="CZ241">
        <f>AH241</f>
        <v>9.2899999999999991</v>
      </c>
      <c r="DA241">
        <f>AL241</f>
        <v>24.22</v>
      </c>
      <c r="DB241">
        <f>ROUND((ROUND(AT241*CZ241,2)*ROUND((1.15*1.15),7)),6)</f>
        <v>1098.7329999999999</v>
      </c>
      <c r="DC241">
        <f>ROUND((ROUND(AT241*AG241,2)*ROUND((1.15*1.15),7)),6)</f>
        <v>0</v>
      </c>
    </row>
    <row r="242" spans="1:107">
      <c r="A242">
        <f>ROW(Source!A157)</f>
        <v>157</v>
      </c>
      <c r="B242">
        <v>31028412</v>
      </c>
      <c r="C242">
        <v>31029245</v>
      </c>
      <c r="D242">
        <v>29084573</v>
      </c>
      <c r="E242">
        <v>1</v>
      </c>
      <c r="F242">
        <v>1</v>
      </c>
      <c r="G242">
        <v>1</v>
      </c>
      <c r="H242">
        <v>1</v>
      </c>
      <c r="I242" t="s">
        <v>774</v>
      </c>
      <c r="J242" t="s">
        <v>6</v>
      </c>
      <c r="K242" t="s">
        <v>775</v>
      </c>
      <c r="L242">
        <v>608254</v>
      </c>
      <c r="N242">
        <v>1013</v>
      </c>
      <c r="O242" t="s">
        <v>776</v>
      </c>
      <c r="P242" t="s">
        <v>776</v>
      </c>
      <c r="Q242">
        <v>1</v>
      </c>
      <c r="W242">
        <v>0</v>
      </c>
      <c r="X242">
        <v>95408949</v>
      </c>
      <c r="Y242">
        <v>4.3124999999999997E-2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1</v>
      </c>
      <c r="AJ242">
        <v>1</v>
      </c>
      <c r="AK242">
        <v>24.22</v>
      </c>
      <c r="AL242">
        <v>1</v>
      </c>
      <c r="AN242">
        <v>0</v>
      </c>
      <c r="AO242">
        <v>1</v>
      </c>
      <c r="AP242">
        <v>1</v>
      </c>
      <c r="AQ242">
        <v>0</v>
      </c>
      <c r="AR242">
        <v>0</v>
      </c>
      <c r="AS242" t="s">
        <v>6</v>
      </c>
      <c r="AT242">
        <v>0.03</v>
      </c>
      <c r="AU242" t="s">
        <v>126</v>
      </c>
      <c r="AV242">
        <v>2</v>
      </c>
      <c r="AW242">
        <v>2</v>
      </c>
      <c r="AX242">
        <v>31029255</v>
      </c>
      <c r="AY242">
        <v>1</v>
      </c>
      <c r="AZ242">
        <v>0</v>
      </c>
      <c r="BA242">
        <v>266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CX242">
        <f>Y242*Source!I157</f>
        <v>2.0354999999999998E-2</v>
      </c>
      <c r="CY242">
        <f>AD242</f>
        <v>0</v>
      </c>
      <c r="CZ242">
        <f>AH242</f>
        <v>0</v>
      </c>
      <c r="DA242">
        <f>AL242</f>
        <v>1</v>
      </c>
      <c r="DB242">
        <f>ROUND((ROUND(AT242*CZ242,2)*ROUND((1.25*1.15),7)),6)</f>
        <v>0</v>
      </c>
      <c r="DC242">
        <f>ROUND((ROUND(AT242*AG242,2)*ROUND((1.25*1.15),7)),6)</f>
        <v>0</v>
      </c>
    </row>
    <row r="243" spans="1:107">
      <c r="A243">
        <f>ROW(Source!A157)</f>
        <v>157</v>
      </c>
      <c r="B243">
        <v>31028412</v>
      </c>
      <c r="C243">
        <v>31029245</v>
      </c>
      <c r="D243">
        <v>29147732</v>
      </c>
      <c r="E243">
        <v>1</v>
      </c>
      <c r="F243">
        <v>1</v>
      </c>
      <c r="G243">
        <v>1</v>
      </c>
      <c r="H243">
        <v>2</v>
      </c>
      <c r="I243" t="s">
        <v>846</v>
      </c>
      <c r="J243" t="s">
        <v>847</v>
      </c>
      <c r="K243" t="s">
        <v>848</v>
      </c>
      <c r="L243">
        <v>1368</v>
      </c>
      <c r="N243">
        <v>1011</v>
      </c>
      <c r="O243" t="s">
        <v>780</v>
      </c>
      <c r="P243" t="s">
        <v>780</v>
      </c>
      <c r="Q243">
        <v>1</v>
      </c>
      <c r="W243">
        <v>0</v>
      </c>
      <c r="X243">
        <v>-1205898307</v>
      </c>
      <c r="Y243">
        <v>4.3124999999999997E-2</v>
      </c>
      <c r="AA243">
        <v>0</v>
      </c>
      <c r="AB243">
        <v>235.69</v>
      </c>
      <c r="AC243">
        <v>315.58999999999997</v>
      </c>
      <c r="AD243">
        <v>0</v>
      </c>
      <c r="AE243">
        <v>0</v>
      </c>
      <c r="AF243">
        <v>30.85</v>
      </c>
      <c r="AG243">
        <v>13.03</v>
      </c>
      <c r="AH243">
        <v>0</v>
      </c>
      <c r="AI243">
        <v>1</v>
      </c>
      <c r="AJ243">
        <v>7.64</v>
      </c>
      <c r="AK243">
        <v>24.22</v>
      </c>
      <c r="AL243">
        <v>1</v>
      </c>
      <c r="AN243">
        <v>0</v>
      </c>
      <c r="AO243">
        <v>1</v>
      </c>
      <c r="AP243">
        <v>1</v>
      </c>
      <c r="AQ243">
        <v>0</v>
      </c>
      <c r="AR243">
        <v>0</v>
      </c>
      <c r="AS243" t="s">
        <v>6</v>
      </c>
      <c r="AT243">
        <v>0.03</v>
      </c>
      <c r="AU243" t="s">
        <v>126</v>
      </c>
      <c r="AV243">
        <v>0</v>
      </c>
      <c r="AW243">
        <v>2</v>
      </c>
      <c r="AX243">
        <v>31029256</v>
      </c>
      <c r="AY243">
        <v>1</v>
      </c>
      <c r="AZ243">
        <v>0</v>
      </c>
      <c r="BA243">
        <v>267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CX243">
        <f>Y243*Source!I157</f>
        <v>2.0354999999999998E-2</v>
      </c>
      <c r="CY243">
        <f>AB243</f>
        <v>235.69</v>
      </c>
      <c r="CZ243">
        <f>AF243</f>
        <v>30.85</v>
      </c>
      <c r="DA243">
        <f>AJ243</f>
        <v>7.64</v>
      </c>
      <c r="DB243">
        <f>ROUND((ROUND(AT243*CZ243,2)*ROUND((1.25*1.15),7)),6)</f>
        <v>1.336875</v>
      </c>
      <c r="DC243">
        <f>ROUND((ROUND(AT243*AG243,2)*ROUND((1.25*1.15),7)),6)</f>
        <v>0.56062500000000004</v>
      </c>
    </row>
    <row r="244" spans="1:107">
      <c r="A244">
        <f>ROW(Source!A157)</f>
        <v>157</v>
      </c>
      <c r="B244">
        <v>31028412</v>
      </c>
      <c r="C244">
        <v>31029245</v>
      </c>
      <c r="D244">
        <v>29149520</v>
      </c>
      <c r="E244">
        <v>1</v>
      </c>
      <c r="F244">
        <v>1</v>
      </c>
      <c r="G244">
        <v>1</v>
      </c>
      <c r="H244">
        <v>2</v>
      </c>
      <c r="I244" t="s">
        <v>790</v>
      </c>
      <c r="J244" t="s">
        <v>791</v>
      </c>
      <c r="K244" t="s">
        <v>792</v>
      </c>
      <c r="L244">
        <v>1368</v>
      </c>
      <c r="N244">
        <v>1011</v>
      </c>
      <c r="O244" t="s">
        <v>780</v>
      </c>
      <c r="P244" t="s">
        <v>780</v>
      </c>
      <c r="Q244">
        <v>1</v>
      </c>
      <c r="W244">
        <v>0</v>
      </c>
      <c r="X244">
        <v>-1931461795</v>
      </c>
      <c r="Y244">
        <v>0.31624999999999998</v>
      </c>
      <c r="AA244">
        <v>0</v>
      </c>
      <c r="AB244">
        <v>699.98</v>
      </c>
      <c r="AC244">
        <v>0</v>
      </c>
      <c r="AD244">
        <v>0</v>
      </c>
      <c r="AE244">
        <v>0</v>
      </c>
      <c r="AF244">
        <v>91.62</v>
      </c>
      <c r="AG244">
        <v>0</v>
      </c>
      <c r="AH244">
        <v>0</v>
      </c>
      <c r="AI244">
        <v>1</v>
      </c>
      <c r="AJ244">
        <v>7.64</v>
      </c>
      <c r="AK244">
        <v>24.22</v>
      </c>
      <c r="AL244">
        <v>1</v>
      </c>
      <c r="AN244">
        <v>0</v>
      </c>
      <c r="AO244">
        <v>1</v>
      </c>
      <c r="AP244">
        <v>1</v>
      </c>
      <c r="AQ244">
        <v>0</v>
      </c>
      <c r="AR244">
        <v>0</v>
      </c>
      <c r="AS244" t="s">
        <v>6</v>
      </c>
      <c r="AT244">
        <v>0.22</v>
      </c>
      <c r="AU244" t="s">
        <v>126</v>
      </c>
      <c r="AV244">
        <v>0</v>
      </c>
      <c r="AW244">
        <v>2</v>
      </c>
      <c r="AX244">
        <v>31029257</v>
      </c>
      <c r="AY244">
        <v>1</v>
      </c>
      <c r="AZ244">
        <v>0</v>
      </c>
      <c r="BA244">
        <v>268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CX244">
        <f>Y244*Source!I157</f>
        <v>0.14926999999999999</v>
      </c>
      <c r="CY244">
        <f>AB244</f>
        <v>699.98</v>
      </c>
      <c r="CZ244">
        <f>AF244</f>
        <v>91.62</v>
      </c>
      <c r="DA244">
        <f>AJ244</f>
        <v>7.64</v>
      </c>
      <c r="DB244">
        <f>ROUND((ROUND(AT244*CZ244,2)*ROUND((1.25*1.15),7)),6)</f>
        <v>28.98</v>
      </c>
      <c r="DC244">
        <f>ROUND((ROUND(AT244*AG244,2)*ROUND((1.25*1.15),7)),6)</f>
        <v>0</v>
      </c>
    </row>
    <row r="245" spans="1:107">
      <c r="A245">
        <f>ROW(Source!A157)</f>
        <v>157</v>
      </c>
      <c r="B245">
        <v>31028412</v>
      </c>
      <c r="C245">
        <v>31029245</v>
      </c>
      <c r="D245">
        <v>29151861</v>
      </c>
      <c r="E245">
        <v>1</v>
      </c>
      <c r="F245">
        <v>1</v>
      </c>
      <c r="G245">
        <v>1</v>
      </c>
      <c r="H245">
        <v>3</v>
      </c>
      <c r="I245" t="s">
        <v>835</v>
      </c>
      <c r="J245" t="s">
        <v>836</v>
      </c>
      <c r="K245" t="s">
        <v>837</v>
      </c>
      <c r="L245">
        <v>1327</v>
      </c>
      <c r="N245">
        <v>1005</v>
      </c>
      <c r="O245" t="s">
        <v>284</v>
      </c>
      <c r="P245" t="s">
        <v>284</v>
      </c>
      <c r="Q245">
        <v>1</v>
      </c>
      <c r="W245">
        <v>0</v>
      </c>
      <c r="X245">
        <v>1527270933</v>
      </c>
      <c r="Y245">
        <v>0.88</v>
      </c>
      <c r="AA245">
        <v>452.82</v>
      </c>
      <c r="AB245">
        <v>0</v>
      </c>
      <c r="AC245">
        <v>0</v>
      </c>
      <c r="AD245">
        <v>0</v>
      </c>
      <c r="AE245">
        <v>73.39</v>
      </c>
      <c r="AF245">
        <v>0</v>
      </c>
      <c r="AG245">
        <v>0</v>
      </c>
      <c r="AH245">
        <v>0</v>
      </c>
      <c r="AI245">
        <v>6.17</v>
      </c>
      <c r="AJ245">
        <v>1</v>
      </c>
      <c r="AK245">
        <v>1</v>
      </c>
      <c r="AL245">
        <v>1</v>
      </c>
      <c r="AN245">
        <v>0</v>
      </c>
      <c r="AO245">
        <v>1</v>
      </c>
      <c r="AP245">
        <v>0</v>
      </c>
      <c r="AQ245">
        <v>0</v>
      </c>
      <c r="AR245">
        <v>0</v>
      </c>
      <c r="AS245" t="s">
        <v>6</v>
      </c>
      <c r="AT245">
        <v>0.88</v>
      </c>
      <c r="AU245" t="s">
        <v>6</v>
      </c>
      <c r="AV245">
        <v>0</v>
      </c>
      <c r="AW245">
        <v>2</v>
      </c>
      <c r="AX245">
        <v>31029258</v>
      </c>
      <c r="AY245">
        <v>1</v>
      </c>
      <c r="AZ245">
        <v>0</v>
      </c>
      <c r="BA245">
        <v>269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CX245">
        <f>Y245*Source!I157</f>
        <v>0.41536000000000001</v>
      </c>
      <c r="CY245">
        <f>AA245</f>
        <v>452.82</v>
      </c>
      <c r="CZ245">
        <f>AE245</f>
        <v>73.39</v>
      </c>
      <c r="DA245">
        <f>AI245</f>
        <v>6.17</v>
      </c>
      <c r="DB245">
        <f>ROUND(ROUND(AT245*CZ245,2),6)</f>
        <v>64.58</v>
      </c>
      <c r="DC245">
        <f>ROUND(ROUND(AT245*AG245,2),6)</f>
        <v>0</v>
      </c>
    </row>
    <row r="246" spans="1:107">
      <c r="A246">
        <f>ROW(Source!A157)</f>
        <v>157</v>
      </c>
      <c r="B246">
        <v>31028412</v>
      </c>
      <c r="C246">
        <v>31029245</v>
      </c>
      <c r="D246">
        <v>29151971</v>
      </c>
      <c r="E246">
        <v>1</v>
      </c>
      <c r="F246">
        <v>1</v>
      </c>
      <c r="G246">
        <v>1</v>
      </c>
      <c r="H246">
        <v>3</v>
      </c>
      <c r="I246" t="s">
        <v>942</v>
      </c>
      <c r="J246" t="s">
        <v>943</v>
      </c>
      <c r="K246" t="s">
        <v>944</v>
      </c>
      <c r="L246">
        <v>1348</v>
      </c>
      <c r="N246">
        <v>1009</v>
      </c>
      <c r="O246" t="s">
        <v>137</v>
      </c>
      <c r="P246" t="s">
        <v>137</v>
      </c>
      <c r="Q246">
        <v>1000</v>
      </c>
      <c r="W246">
        <v>0</v>
      </c>
      <c r="X246">
        <v>-1321245919</v>
      </c>
      <c r="Y246">
        <v>9.1999999999999998E-2</v>
      </c>
      <c r="AA246">
        <v>20431.34</v>
      </c>
      <c r="AB246">
        <v>0</v>
      </c>
      <c r="AC246">
        <v>0</v>
      </c>
      <c r="AD246">
        <v>0</v>
      </c>
      <c r="AE246">
        <v>3311.4</v>
      </c>
      <c r="AF246">
        <v>0</v>
      </c>
      <c r="AG246">
        <v>0</v>
      </c>
      <c r="AH246">
        <v>0</v>
      </c>
      <c r="AI246">
        <v>6.17</v>
      </c>
      <c r="AJ246">
        <v>1</v>
      </c>
      <c r="AK246">
        <v>1</v>
      </c>
      <c r="AL246">
        <v>1</v>
      </c>
      <c r="AN246">
        <v>0</v>
      </c>
      <c r="AO246">
        <v>1</v>
      </c>
      <c r="AP246">
        <v>0</v>
      </c>
      <c r="AQ246">
        <v>0</v>
      </c>
      <c r="AR246">
        <v>0</v>
      </c>
      <c r="AS246" t="s">
        <v>6</v>
      </c>
      <c r="AT246">
        <v>9.1999999999999998E-2</v>
      </c>
      <c r="AU246" t="s">
        <v>6</v>
      </c>
      <c r="AV246">
        <v>0</v>
      </c>
      <c r="AW246">
        <v>2</v>
      </c>
      <c r="AX246">
        <v>31029259</v>
      </c>
      <c r="AY246">
        <v>1</v>
      </c>
      <c r="AZ246">
        <v>0</v>
      </c>
      <c r="BA246">
        <v>270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CX246">
        <f>Y246*Source!I157</f>
        <v>4.3423999999999997E-2</v>
      </c>
      <c r="CY246">
        <f>AA246</f>
        <v>20431.34</v>
      </c>
      <c r="CZ246">
        <f>AE246</f>
        <v>3311.4</v>
      </c>
      <c r="DA246">
        <f>AI246</f>
        <v>6.17</v>
      </c>
      <c r="DB246">
        <f>ROUND(ROUND(AT246*CZ246,2),6)</f>
        <v>304.64999999999998</v>
      </c>
      <c r="DC246">
        <f>ROUND(ROUND(AT246*AG246,2),6)</f>
        <v>0</v>
      </c>
    </row>
    <row r="247" spans="1:107">
      <c r="A247">
        <f>ROW(Source!A157)</f>
        <v>157</v>
      </c>
      <c r="B247">
        <v>31028412</v>
      </c>
      <c r="C247">
        <v>31029245</v>
      </c>
      <c r="D247">
        <v>29152014</v>
      </c>
      <c r="E247">
        <v>1</v>
      </c>
      <c r="F247">
        <v>1</v>
      </c>
      <c r="G247">
        <v>1</v>
      </c>
      <c r="H247">
        <v>3</v>
      </c>
      <c r="I247" t="s">
        <v>838</v>
      </c>
      <c r="J247" t="s">
        <v>839</v>
      </c>
      <c r="K247" t="s">
        <v>840</v>
      </c>
      <c r="L247">
        <v>1346</v>
      </c>
      <c r="N247">
        <v>1009</v>
      </c>
      <c r="O247" t="s">
        <v>118</v>
      </c>
      <c r="P247" t="s">
        <v>118</v>
      </c>
      <c r="Q247">
        <v>1</v>
      </c>
      <c r="W247">
        <v>0</v>
      </c>
      <c r="X247">
        <v>-1526040720</v>
      </c>
      <c r="Y247">
        <v>0.36</v>
      </c>
      <c r="AA247">
        <v>11.97</v>
      </c>
      <c r="AB247">
        <v>0</v>
      </c>
      <c r="AC247">
        <v>0</v>
      </c>
      <c r="AD247">
        <v>0</v>
      </c>
      <c r="AE247">
        <v>1.94</v>
      </c>
      <c r="AF247">
        <v>0</v>
      </c>
      <c r="AG247">
        <v>0</v>
      </c>
      <c r="AH247">
        <v>0</v>
      </c>
      <c r="AI247">
        <v>6.17</v>
      </c>
      <c r="AJ247">
        <v>1</v>
      </c>
      <c r="AK247">
        <v>1</v>
      </c>
      <c r="AL247">
        <v>1</v>
      </c>
      <c r="AN247">
        <v>0</v>
      </c>
      <c r="AO247">
        <v>1</v>
      </c>
      <c r="AP247">
        <v>0</v>
      </c>
      <c r="AQ247">
        <v>0</v>
      </c>
      <c r="AR247">
        <v>0</v>
      </c>
      <c r="AS247" t="s">
        <v>6</v>
      </c>
      <c r="AT247">
        <v>0.36</v>
      </c>
      <c r="AU247" t="s">
        <v>6</v>
      </c>
      <c r="AV247">
        <v>0</v>
      </c>
      <c r="AW247">
        <v>2</v>
      </c>
      <c r="AX247">
        <v>31029260</v>
      </c>
      <c r="AY247">
        <v>1</v>
      </c>
      <c r="AZ247">
        <v>0</v>
      </c>
      <c r="BA247">
        <v>271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CX247">
        <f>Y247*Source!I157</f>
        <v>0.16991999999999999</v>
      </c>
      <c r="CY247">
        <f>AA247</f>
        <v>11.97</v>
      </c>
      <c r="CZ247">
        <f>AE247</f>
        <v>1.94</v>
      </c>
      <c r="DA247">
        <f>AI247</f>
        <v>6.17</v>
      </c>
      <c r="DB247">
        <f>ROUND(ROUND(AT247*CZ247,2),6)</f>
        <v>0.7</v>
      </c>
      <c r="DC247">
        <f>ROUND(ROUND(AT247*AG247,2),6)</f>
        <v>0</v>
      </c>
    </row>
    <row r="248" spans="1:107">
      <c r="A248">
        <f>ROW(Source!A157)</f>
        <v>157</v>
      </c>
      <c r="B248">
        <v>31028412</v>
      </c>
      <c r="C248">
        <v>31029245</v>
      </c>
      <c r="D248">
        <v>29152186</v>
      </c>
      <c r="E248">
        <v>1</v>
      </c>
      <c r="F248">
        <v>1</v>
      </c>
      <c r="G248">
        <v>1</v>
      </c>
      <c r="H248">
        <v>3</v>
      </c>
      <c r="I248" t="s">
        <v>945</v>
      </c>
      <c r="J248" t="s">
        <v>946</v>
      </c>
      <c r="K248" t="s">
        <v>947</v>
      </c>
      <c r="L248">
        <v>1348</v>
      </c>
      <c r="N248">
        <v>1009</v>
      </c>
      <c r="O248" t="s">
        <v>137</v>
      </c>
      <c r="P248" t="s">
        <v>137</v>
      </c>
      <c r="Q248">
        <v>1000</v>
      </c>
      <c r="W248">
        <v>0</v>
      </c>
      <c r="X248">
        <v>-1792658963</v>
      </c>
      <c r="Y248">
        <v>6.9000000000000006E-2</v>
      </c>
      <c r="AA248">
        <v>103671.36</v>
      </c>
      <c r="AB248">
        <v>0</v>
      </c>
      <c r="AC248">
        <v>0</v>
      </c>
      <c r="AD248">
        <v>0</v>
      </c>
      <c r="AE248">
        <v>16802.490000000002</v>
      </c>
      <c r="AF248">
        <v>0</v>
      </c>
      <c r="AG248">
        <v>0</v>
      </c>
      <c r="AH248">
        <v>0</v>
      </c>
      <c r="AI248">
        <v>6.17</v>
      </c>
      <c r="AJ248">
        <v>1</v>
      </c>
      <c r="AK248">
        <v>1</v>
      </c>
      <c r="AL248">
        <v>1</v>
      </c>
      <c r="AN248">
        <v>0</v>
      </c>
      <c r="AO248">
        <v>1</v>
      </c>
      <c r="AP248">
        <v>0</v>
      </c>
      <c r="AQ248">
        <v>0</v>
      </c>
      <c r="AR248">
        <v>0</v>
      </c>
      <c r="AS248" t="s">
        <v>6</v>
      </c>
      <c r="AT248">
        <v>6.9000000000000006E-2</v>
      </c>
      <c r="AU248" t="s">
        <v>6</v>
      </c>
      <c r="AV248">
        <v>0</v>
      </c>
      <c r="AW248">
        <v>2</v>
      </c>
      <c r="AX248">
        <v>31029261</v>
      </c>
      <c r="AY248">
        <v>1</v>
      </c>
      <c r="AZ248">
        <v>0</v>
      </c>
      <c r="BA248">
        <v>272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CX248">
        <f>Y248*Source!I157</f>
        <v>3.2568E-2</v>
      </c>
      <c r="CY248">
        <f>AA248</f>
        <v>103671.36</v>
      </c>
      <c r="CZ248">
        <f>AE248</f>
        <v>16802.490000000002</v>
      </c>
      <c r="DA248">
        <f>AI248</f>
        <v>6.17</v>
      </c>
      <c r="DB248">
        <f>ROUND(ROUND(AT248*CZ248,2),6)</f>
        <v>1159.3699999999999</v>
      </c>
      <c r="DC248">
        <f>ROUND(ROUND(AT248*AG248,2),6)</f>
        <v>0</v>
      </c>
    </row>
    <row r="249" spans="1:107">
      <c r="A249">
        <f>ROW(Source!A159)</f>
        <v>159</v>
      </c>
      <c r="B249">
        <v>31028412</v>
      </c>
      <c r="C249">
        <v>31029263</v>
      </c>
      <c r="D249">
        <v>29084594</v>
      </c>
      <c r="E249">
        <v>1</v>
      </c>
      <c r="F249">
        <v>1</v>
      </c>
      <c r="G249">
        <v>1</v>
      </c>
      <c r="H249">
        <v>1</v>
      </c>
      <c r="I249" t="s">
        <v>922</v>
      </c>
      <c r="J249" t="s">
        <v>6</v>
      </c>
      <c r="K249" t="s">
        <v>923</v>
      </c>
      <c r="L249">
        <v>1369</v>
      </c>
      <c r="N249">
        <v>1013</v>
      </c>
      <c r="O249" t="s">
        <v>773</v>
      </c>
      <c r="P249" t="s">
        <v>773</v>
      </c>
      <c r="Q249">
        <v>1</v>
      </c>
      <c r="W249">
        <v>0</v>
      </c>
      <c r="X249">
        <v>-1364176711</v>
      </c>
      <c r="Y249">
        <v>191.28639999999996</v>
      </c>
      <c r="AA249">
        <v>0</v>
      </c>
      <c r="AB249">
        <v>0</v>
      </c>
      <c r="AC249">
        <v>0</v>
      </c>
      <c r="AD249">
        <v>214.59</v>
      </c>
      <c r="AE249">
        <v>0</v>
      </c>
      <c r="AF249">
        <v>0</v>
      </c>
      <c r="AG249">
        <v>0</v>
      </c>
      <c r="AH249">
        <v>8.86</v>
      </c>
      <c r="AI249">
        <v>1</v>
      </c>
      <c r="AJ249">
        <v>1</v>
      </c>
      <c r="AK249">
        <v>1</v>
      </c>
      <c r="AL249">
        <v>24.22</v>
      </c>
      <c r="AN249">
        <v>0</v>
      </c>
      <c r="AO249">
        <v>1</v>
      </c>
      <c r="AP249">
        <v>1</v>
      </c>
      <c r="AQ249">
        <v>0</v>
      </c>
      <c r="AR249">
        <v>0</v>
      </c>
      <c r="AS249" t="s">
        <v>6</v>
      </c>
      <c r="AT249">
        <v>144.63999999999999</v>
      </c>
      <c r="AU249" t="s">
        <v>127</v>
      </c>
      <c r="AV249">
        <v>1</v>
      </c>
      <c r="AW249">
        <v>2</v>
      </c>
      <c r="AX249">
        <v>31029274</v>
      </c>
      <c r="AY249">
        <v>1</v>
      </c>
      <c r="AZ249">
        <v>0</v>
      </c>
      <c r="BA249">
        <v>273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CX249">
        <f>Y249*Source!I159</f>
        <v>90.669753599999979</v>
      </c>
      <c r="CY249">
        <f>AD249</f>
        <v>214.59</v>
      </c>
      <c r="CZ249">
        <f>AH249</f>
        <v>8.86</v>
      </c>
      <c r="DA249">
        <f>AL249</f>
        <v>24.22</v>
      </c>
      <c r="DB249">
        <f>ROUND((ROUND(AT249*CZ249,2)*ROUND((1.15*1.15),7)),6)</f>
        <v>1694.796975</v>
      </c>
      <c r="DC249">
        <f>ROUND((ROUND(AT249*AG249,2)*ROUND((1.15*1.15),7)),6)</f>
        <v>0</v>
      </c>
    </row>
    <row r="250" spans="1:107">
      <c r="A250">
        <f>ROW(Source!A159)</f>
        <v>159</v>
      </c>
      <c r="B250">
        <v>31028412</v>
      </c>
      <c r="C250">
        <v>31029263</v>
      </c>
      <c r="D250">
        <v>29084573</v>
      </c>
      <c r="E250">
        <v>1</v>
      </c>
      <c r="F250">
        <v>1</v>
      </c>
      <c r="G250">
        <v>1</v>
      </c>
      <c r="H250">
        <v>1</v>
      </c>
      <c r="I250" t="s">
        <v>774</v>
      </c>
      <c r="J250" t="s">
        <v>6</v>
      </c>
      <c r="K250" t="s">
        <v>775</v>
      </c>
      <c r="L250">
        <v>608254</v>
      </c>
      <c r="N250">
        <v>1013</v>
      </c>
      <c r="O250" t="s">
        <v>776</v>
      </c>
      <c r="P250" t="s">
        <v>776</v>
      </c>
      <c r="Q250">
        <v>1</v>
      </c>
      <c r="W250">
        <v>0</v>
      </c>
      <c r="X250">
        <v>95408949</v>
      </c>
      <c r="Y250">
        <v>2.0699999999999998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1</v>
      </c>
      <c r="AJ250">
        <v>1</v>
      </c>
      <c r="AK250">
        <v>24.22</v>
      </c>
      <c r="AL250">
        <v>1</v>
      </c>
      <c r="AN250">
        <v>0</v>
      </c>
      <c r="AO250">
        <v>1</v>
      </c>
      <c r="AP250">
        <v>1</v>
      </c>
      <c r="AQ250">
        <v>0</v>
      </c>
      <c r="AR250">
        <v>0</v>
      </c>
      <c r="AS250" t="s">
        <v>6</v>
      </c>
      <c r="AT250">
        <v>1.44</v>
      </c>
      <c r="AU250" t="s">
        <v>126</v>
      </c>
      <c r="AV250">
        <v>2</v>
      </c>
      <c r="AW250">
        <v>2</v>
      </c>
      <c r="AX250">
        <v>31029275</v>
      </c>
      <c r="AY250">
        <v>1</v>
      </c>
      <c r="AZ250">
        <v>0</v>
      </c>
      <c r="BA250">
        <v>274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CX250">
        <f>Y250*Source!I159</f>
        <v>0.98117999999999983</v>
      </c>
      <c r="CY250">
        <f>AD250</f>
        <v>0</v>
      </c>
      <c r="CZ250">
        <f>AH250</f>
        <v>0</v>
      </c>
      <c r="DA250">
        <f>AL250</f>
        <v>1</v>
      </c>
      <c r="DB250">
        <f>ROUND((ROUND(AT250*CZ250,2)*ROUND((1.25*1.15),7)),6)</f>
        <v>0</v>
      </c>
      <c r="DC250">
        <f>ROUND((ROUND(AT250*AG250,2)*ROUND((1.25*1.15),7)),6)</f>
        <v>0</v>
      </c>
    </row>
    <row r="251" spans="1:107">
      <c r="A251">
        <f>ROW(Source!A159)</f>
        <v>159</v>
      </c>
      <c r="B251">
        <v>31028412</v>
      </c>
      <c r="C251">
        <v>31029263</v>
      </c>
      <c r="D251">
        <v>29147673</v>
      </c>
      <c r="E251">
        <v>1</v>
      </c>
      <c r="F251">
        <v>1</v>
      </c>
      <c r="G251">
        <v>1</v>
      </c>
      <c r="H251">
        <v>2</v>
      </c>
      <c r="I251" t="s">
        <v>924</v>
      </c>
      <c r="J251" t="s">
        <v>925</v>
      </c>
      <c r="K251" t="s">
        <v>926</v>
      </c>
      <c r="L251">
        <v>1368</v>
      </c>
      <c r="N251">
        <v>1011</v>
      </c>
      <c r="O251" t="s">
        <v>780</v>
      </c>
      <c r="P251" t="s">
        <v>780</v>
      </c>
      <c r="Q251">
        <v>1</v>
      </c>
      <c r="W251">
        <v>0</v>
      </c>
      <c r="X251">
        <v>-149788903</v>
      </c>
      <c r="Y251">
        <v>0.20125000000000001</v>
      </c>
      <c r="AA251">
        <v>0</v>
      </c>
      <c r="AB251">
        <v>748.34</v>
      </c>
      <c r="AC251">
        <v>235.18</v>
      </c>
      <c r="AD251">
        <v>0</v>
      </c>
      <c r="AE251">
        <v>0</v>
      </c>
      <c r="AF251">
        <v>97.95</v>
      </c>
      <c r="AG251">
        <v>9.7100000000000009</v>
      </c>
      <c r="AH251">
        <v>0</v>
      </c>
      <c r="AI251">
        <v>1</v>
      </c>
      <c r="AJ251">
        <v>7.64</v>
      </c>
      <c r="AK251">
        <v>24.22</v>
      </c>
      <c r="AL251">
        <v>1</v>
      </c>
      <c r="AN251">
        <v>0</v>
      </c>
      <c r="AO251">
        <v>1</v>
      </c>
      <c r="AP251">
        <v>1</v>
      </c>
      <c r="AQ251">
        <v>0</v>
      </c>
      <c r="AR251">
        <v>0</v>
      </c>
      <c r="AS251" t="s">
        <v>6</v>
      </c>
      <c r="AT251">
        <v>0.14000000000000001</v>
      </c>
      <c r="AU251" t="s">
        <v>126</v>
      </c>
      <c r="AV251">
        <v>0</v>
      </c>
      <c r="AW251">
        <v>2</v>
      </c>
      <c r="AX251">
        <v>31029276</v>
      </c>
      <c r="AY251">
        <v>1</v>
      </c>
      <c r="AZ251">
        <v>0</v>
      </c>
      <c r="BA251">
        <v>275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CX251">
        <f>Y251*Source!I159</f>
        <v>9.5392500000000005E-2</v>
      </c>
      <c r="CY251">
        <f>AB251</f>
        <v>748.34</v>
      </c>
      <c r="CZ251">
        <f>AF251</f>
        <v>97.95</v>
      </c>
      <c r="DA251">
        <f>AJ251</f>
        <v>7.64</v>
      </c>
      <c r="DB251">
        <f>ROUND((ROUND(AT251*CZ251,2)*ROUND((1.25*1.15),7)),6)</f>
        <v>19.708124999999999</v>
      </c>
      <c r="DC251">
        <f>ROUND((ROUND(AT251*AG251,2)*ROUND((1.25*1.15),7)),6)</f>
        <v>1.9550000000000001</v>
      </c>
    </row>
    <row r="252" spans="1:107">
      <c r="A252">
        <f>ROW(Source!A159)</f>
        <v>159</v>
      </c>
      <c r="B252">
        <v>31028412</v>
      </c>
      <c r="C252">
        <v>31029263</v>
      </c>
      <c r="D252">
        <v>29147732</v>
      </c>
      <c r="E252">
        <v>1</v>
      </c>
      <c r="F252">
        <v>1</v>
      </c>
      <c r="G252">
        <v>1</v>
      </c>
      <c r="H252">
        <v>2</v>
      </c>
      <c r="I252" t="s">
        <v>846</v>
      </c>
      <c r="J252" t="s">
        <v>847</v>
      </c>
      <c r="K252" t="s">
        <v>848</v>
      </c>
      <c r="L252">
        <v>1368</v>
      </c>
      <c r="N252">
        <v>1011</v>
      </c>
      <c r="O252" t="s">
        <v>780</v>
      </c>
      <c r="P252" t="s">
        <v>780</v>
      </c>
      <c r="Q252">
        <v>1</v>
      </c>
      <c r="W252">
        <v>0</v>
      </c>
      <c r="X252">
        <v>-1205898307</v>
      </c>
      <c r="Y252">
        <v>1.8687499999999999</v>
      </c>
      <c r="AA252">
        <v>0</v>
      </c>
      <c r="AB252">
        <v>235.69</v>
      </c>
      <c r="AC252">
        <v>315.58999999999997</v>
      </c>
      <c r="AD252">
        <v>0</v>
      </c>
      <c r="AE252">
        <v>0</v>
      </c>
      <c r="AF252">
        <v>30.85</v>
      </c>
      <c r="AG252">
        <v>13.03</v>
      </c>
      <c r="AH252">
        <v>0</v>
      </c>
      <c r="AI252">
        <v>1</v>
      </c>
      <c r="AJ252">
        <v>7.64</v>
      </c>
      <c r="AK252">
        <v>24.22</v>
      </c>
      <c r="AL252">
        <v>1</v>
      </c>
      <c r="AN252">
        <v>0</v>
      </c>
      <c r="AO252">
        <v>1</v>
      </c>
      <c r="AP252">
        <v>1</v>
      </c>
      <c r="AQ252">
        <v>0</v>
      </c>
      <c r="AR252">
        <v>0</v>
      </c>
      <c r="AS252" t="s">
        <v>6</v>
      </c>
      <c r="AT252">
        <v>1.3</v>
      </c>
      <c r="AU252" t="s">
        <v>126</v>
      </c>
      <c r="AV252">
        <v>0</v>
      </c>
      <c r="AW252">
        <v>2</v>
      </c>
      <c r="AX252">
        <v>31029277</v>
      </c>
      <c r="AY252">
        <v>1</v>
      </c>
      <c r="AZ252">
        <v>0</v>
      </c>
      <c r="BA252">
        <v>276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CX252">
        <f>Y252*Source!I159</f>
        <v>0.88578749999999995</v>
      </c>
      <c r="CY252">
        <f>AB252</f>
        <v>235.69</v>
      </c>
      <c r="CZ252">
        <f>AF252</f>
        <v>30.85</v>
      </c>
      <c r="DA252">
        <f>AJ252</f>
        <v>7.64</v>
      </c>
      <c r="DB252">
        <f>ROUND((ROUND(AT252*CZ252,2)*ROUND((1.25*1.15),7)),6)</f>
        <v>57.658124999999998</v>
      </c>
      <c r="DC252">
        <f>ROUND((ROUND(AT252*AG252,2)*ROUND((1.25*1.15),7)),6)</f>
        <v>24.35125</v>
      </c>
    </row>
    <row r="253" spans="1:107">
      <c r="A253">
        <f>ROW(Source!A159)</f>
        <v>159</v>
      </c>
      <c r="B253">
        <v>31028412</v>
      </c>
      <c r="C253">
        <v>31029263</v>
      </c>
      <c r="D253">
        <v>29150545</v>
      </c>
      <c r="E253">
        <v>1</v>
      </c>
      <c r="F253">
        <v>1</v>
      </c>
      <c r="G253">
        <v>1</v>
      </c>
      <c r="H253">
        <v>3</v>
      </c>
      <c r="I253" t="s">
        <v>927</v>
      </c>
      <c r="J253" t="s">
        <v>928</v>
      </c>
      <c r="K253" t="s">
        <v>929</v>
      </c>
      <c r="L253">
        <v>1348</v>
      </c>
      <c r="N253">
        <v>1009</v>
      </c>
      <c r="O253" t="s">
        <v>137</v>
      </c>
      <c r="P253" t="s">
        <v>137</v>
      </c>
      <c r="Q253">
        <v>1000</v>
      </c>
      <c r="W253">
        <v>0</v>
      </c>
      <c r="X253">
        <v>1380755080</v>
      </c>
      <c r="Y253">
        <v>2.5000000000000001E-3</v>
      </c>
      <c r="AA253">
        <v>56802.01</v>
      </c>
      <c r="AB253">
        <v>0</v>
      </c>
      <c r="AC253">
        <v>0</v>
      </c>
      <c r="AD253">
        <v>0</v>
      </c>
      <c r="AE253">
        <v>9206.16</v>
      </c>
      <c r="AF253">
        <v>0</v>
      </c>
      <c r="AG253">
        <v>0</v>
      </c>
      <c r="AH253">
        <v>0</v>
      </c>
      <c r="AI253">
        <v>6.17</v>
      </c>
      <c r="AJ253">
        <v>1</v>
      </c>
      <c r="AK253">
        <v>1</v>
      </c>
      <c r="AL253">
        <v>1</v>
      </c>
      <c r="AN253">
        <v>0</v>
      </c>
      <c r="AO253">
        <v>1</v>
      </c>
      <c r="AP253">
        <v>0</v>
      </c>
      <c r="AQ253">
        <v>0</v>
      </c>
      <c r="AR253">
        <v>0</v>
      </c>
      <c r="AS253" t="s">
        <v>6</v>
      </c>
      <c r="AT253">
        <v>2.5000000000000001E-3</v>
      </c>
      <c r="AU253" t="s">
        <v>6</v>
      </c>
      <c r="AV253">
        <v>0</v>
      </c>
      <c r="AW253">
        <v>2</v>
      </c>
      <c r="AX253">
        <v>31029278</v>
      </c>
      <c r="AY253">
        <v>1</v>
      </c>
      <c r="AZ253">
        <v>0</v>
      </c>
      <c r="BA253">
        <v>277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CX253">
        <f>Y253*Source!I159</f>
        <v>1.1850000000000001E-3</v>
      </c>
      <c r="CY253">
        <f t="shared" ref="CY253:CY258" si="46">AA253</f>
        <v>56802.01</v>
      </c>
      <c r="CZ253">
        <f t="shared" ref="CZ253:CZ258" si="47">AE253</f>
        <v>9206.16</v>
      </c>
      <c r="DA253">
        <f t="shared" ref="DA253:DA258" si="48">AI253</f>
        <v>6.17</v>
      </c>
      <c r="DB253">
        <f t="shared" ref="DB253:DB258" si="49">ROUND(ROUND(AT253*CZ253,2),6)</f>
        <v>23.02</v>
      </c>
      <c r="DC253">
        <f t="shared" ref="DC253:DC258" si="50">ROUND(ROUND(AT253*AG253,2),6)</f>
        <v>0</v>
      </c>
    </row>
    <row r="254" spans="1:107">
      <c r="A254">
        <f>ROW(Source!A159)</f>
        <v>159</v>
      </c>
      <c r="B254">
        <v>31028412</v>
      </c>
      <c r="C254">
        <v>31029263</v>
      </c>
      <c r="D254">
        <v>29151213</v>
      </c>
      <c r="E254">
        <v>1</v>
      </c>
      <c r="F254">
        <v>1</v>
      </c>
      <c r="G254">
        <v>1</v>
      </c>
      <c r="H254">
        <v>3</v>
      </c>
      <c r="I254" t="s">
        <v>930</v>
      </c>
      <c r="J254" t="s">
        <v>931</v>
      </c>
      <c r="K254" t="s">
        <v>932</v>
      </c>
      <c r="L254">
        <v>1327</v>
      </c>
      <c r="N254">
        <v>1005</v>
      </c>
      <c r="O254" t="s">
        <v>284</v>
      </c>
      <c r="P254" t="s">
        <v>284</v>
      </c>
      <c r="Q254">
        <v>1</v>
      </c>
      <c r="W254">
        <v>0</v>
      </c>
      <c r="X254">
        <v>192456891</v>
      </c>
      <c r="Y254">
        <v>108</v>
      </c>
      <c r="AA254">
        <v>57.94</v>
      </c>
      <c r="AB254">
        <v>0</v>
      </c>
      <c r="AC254">
        <v>0</v>
      </c>
      <c r="AD254">
        <v>0</v>
      </c>
      <c r="AE254">
        <v>9.39</v>
      </c>
      <c r="AF254">
        <v>0</v>
      </c>
      <c r="AG254">
        <v>0</v>
      </c>
      <c r="AH254">
        <v>0</v>
      </c>
      <c r="AI254">
        <v>6.17</v>
      </c>
      <c r="AJ254">
        <v>1</v>
      </c>
      <c r="AK254">
        <v>1</v>
      </c>
      <c r="AL254">
        <v>1</v>
      </c>
      <c r="AN254">
        <v>0</v>
      </c>
      <c r="AO254">
        <v>1</v>
      </c>
      <c r="AP254">
        <v>0</v>
      </c>
      <c r="AQ254">
        <v>0</v>
      </c>
      <c r="AR254">
        <v>0</v>
      </c>
      <c r="AS254" t="s">
        <v>6</v>
      </c>
      <c r="AT254">
        <v>108</v>
      </c>
      <c r="AU254" t="s">
        <v>6</v>
      </c>
      <c r="AV254">
        <v>0</v>
      </c>
      <c r="AW254">
        <v>2</v>
      </c>
      <c r="AX254">
        <v>31029279</v>
      </c>
      <c r="AY254">
        <v>1</v>
      </c>
      <c r="AZ254">
        <v>0</v>
      </c>
      <c r="BA254">
        <v>278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CX254">
        <f>Y254*Source!I159</f>
        <v>51.192</v>
      </c>
      <c r="CY254">
        <f t="shared" si="46"/>
        <v>57.94</v>
      </c>
      <c r="CZ254">
        <f t="shared" si="47"/>
        <v>9.39</v>
      </c>
      <c r="DA254">
        <f t="shared" si="48"/>
        <v>6.17</v>
      </c>
      <c r="DB254">
        <f t="shared" si="49"/>
        <v>1014.12</v>
      </c>
      <c r="DC254">
        <f t="shared" si="50"/>
        <v>0</v>
      </c>
    </row>
    <row r="255" spans="1:107">
      <c r="A255">
        <f>ROW(Source!A159)</f>
        <v>159</v>
      </c>
      <c r="B255">
        <v>31028412</v>
      </c>
      <c r="C255">
        <v>31029263</v>
      </c>
      <c r="D255">
        <v>29151587</v>
      </c>
      <c r="E255">
        <v>1</v>
      </c>
      <c r="F255">
        <v>1</v>
      </c>
      <c r="G255">
        <v>1</v>
      </c>
      <c r="H255">
        <v>3</v>
      </c>
      <c r="I255" t="s">
        <v>933</v>
      </c>
      <c r="J255" t="s">
        <v>934</v>
      </c>
      <c r="K255" t="s">
        <v>935</v>
      </c>
      <c r="L255">
        <v>1348</v>
      </c>
      <c r="N255">
        <v>1009</v>
      </c>
      <c r="O255" t="s">
        <v>137</v>
      </c>
      <c r="P255" t="s">
        <v>137</v>
      </c>
      <c r="Q255">
        <v>1000</v>
      </c>
      <c r="W255">
        <v>0</v>
      </c>
      <c r="X255">
        <v>-157460125</v>
      </c>
      <c r="Y255">
        <v>2E-3</v>
      </c>
      <c r="AA255">
        <v>2581.71</v>
      </c>
      <c r="AB255">
        <v>0</v>
      </c>
      <c r="AC255">
        <v>0</v>
      </c>
      <c r="AD255">
        <v>0</v>
      </c>
      <c r="AE255">
        <v>418.43</v>
      </c>
      <c r="AF255">
        <v>0</v>
      </c>
      <c r="AG255">
        <v>0</v>
      </c>
      <c r="AH255">
        <v>0</v>
      </c>
      <c r="AI255">
        <v>6.17</v>
      </c>
      <c r="AJ255">
        <v>1</v>
      </c>
      <c r="AK255">
        <v>1</v>
      </c>
      <c r="AL255">
        <v>1</v>
      </c>
      <c r="AN255">
        <v>0</v>
      </c>
      <c r="AO255">
        <v>1</v>
      </c>
      <c r="AP255">
        <v>0</v>
      </c>
      <c r="AQ255">
        <v>0</v>
      </c>
      <c r="AR255">
        <v>0</v>
      </c>
      <c r="AS255" t="s">
        <v>6</v>
      </c>
      <c r="AT255">
        <v>2E-3</v>
      </c>
      <c r="AU255" t="s">
        <v>6</v>
      </c>
      <c r="AV255">
        <v>0</v>
      </c>
      <c r="AW255">
        <v>2</v>
      </c>
      <c r="AX255">
        <v>31029280</v>
      </c>
      <c r="AY255">
        <v>1</v>
      </c>
      <c r="AZ255">
        <v>0</v>
      </c>
      <c r="BA255">
        <v>279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CX255">
        <f>Y255*Source!I159</f>
        <v>9.4799999999999995E-4</v>
      </c>
      <c r="CY255">
        <f t="shared" si="46"/>
        <v>2581.71</v>
      </c>
      <c r="CZ255">
        <f t="shared" si="47"/>
        <v>418.43</v>
      </c>
      <c r="DA255">
        <f t="shared" si="48"/>
        <v>6.17</v>
      </c>
      <c r="DB255">
        <f t="shared" si="49"/>
        <v>0.84</v>
      </c>
      <c r="DC255">
        <f t="shared" si="50"/>
        <v>0</v>
      </c>
    </row>
    <row r="256" spans="1:107">
      <c r="A256">
        <f>ROW(Source!A159)</f>
        <v>159</v>
      </c>
      <c r="B256">
        <v>31028412</v>
      </c>
      <c r="C256">
        <v>31029263</v>
      </c>
      <c r="D256">
        <v>29151964</v>
      </c>
      <c r="E256">
        <v>1</v>
      </c>
      <c r="F256">
        <v>1</v>
      </c>
      <c r="G256">
        <v>1</v>
      </c>
      <c r="H256">
        <v>3</v>
      </c>
      <c r="I256" t="s">
        <v>936</v>
      </c>
      <c r="J256" t="s">
        <v>937</v>
      </c>
      <c r="K256" t="s">
        <v>938</v>
      </c>
      <c r="L256">
        <v>1346</v>
      </c>
      <c r="N256">
        <v>1009</v>
      </c>
      <c r="O256" t="s">
        <v>118</v>
      </c>
      <c r="P256" t="s">
        <v>118</v>
      </c>
      <c r="Q256">
        <v>1</v>
      </c>
      <c r="W256">
        <v>0</v>
      </c>
      <c r="X256">
        <v>-699086074</v>
      </c>
      <c r="Y256">
        <v>12</v>
      </c>
      <c r="AA256">
        <v>60.47</v>
      </c>
      <c r="AB256">
        <v>0</v>
      </c>
      <c r="AC256">
        <v>0</v>
      </c>
      <c r="AD256">
        <v>0</v>
      </c>
      <c r="AE256">
        <v>9.8000000000000007</v>
      </c>
      <c r="AF256">
        <v>0</v>
      </c>
      <c r="AG256">
        <v>0</v>
      </c>
      <c r="AH256">
        <v>0</v>
      </c>
      <c r="AI256">
        <v>6.17</v>
      </c>
      <c r="AJ256">
        <v>1</v>
      </c>
      <c r="AK256">
        <v>1</v>
      </c>
      <c r="AL256">
        <v>1</v>
      </c>
      <c r="AN256">
        <v>0</v>
      </c>
      <c r="AO256">
        <v>1</v>
      </c>
      <c r="AP256">
        <v>0</v>
      </c>
      <c r="AQ256">
        <v>0</v>
      </c>
      <c r="AR256">
        <v>0</v>
      </c>
      <c r="AS256" t="s">
        <v>6</v>
      </c>
      <c r="AT256">
        <v>12</v>
      </c>
      <c r="AU256" t="s">
        <v>6</v>
      </c>
      <c r="AV256">
        <v>0</v>
      </c>
      <c r="AW256">
        <v>2</v>
      </c>
      <c r="AX256">
        <v>31029281</v>
      </c>
      <c r="AY256">
        <v>1</v>
      </c>
      <c r="AZ256">
        <v>0</v>
      </c>
      <c r="BA256">
        <v>280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CX256">
        <f>Y256*Source!I159</f>
        <v>5.6879999999999997</v>
      </c>
      <c r="CY256">
        <f t="shared" si="46"/>
        <v>60.47</v>
      </c>
      <c r="CZ256">
        <f t="shared" si="47"/>
        <v>9.8000000000000007</v>
      </c>
      <c r="DA256">
        <f t="shared" si="48"/>
        <v>6.17</v>
      </c>
      <c r="DB256">
        <f t="shared" si="49"/>
        <v>117.6</v>
      </c>
      <c r="DC256">
        <f t="shared" si="50"/>
        <v>0</v>
      </c>
    </row>
    <row r="257" spans="1:107">
      <c r="A257">
        <f>ROW(Source!A159)</f>
        <v>159</v>
      </c>
      <c r="B257">
        <v>31028412</v>
      </c>
      <c r="C257">
        <v>31029263</v>
      </c>
      <c r="D257">
        <v>29186569</v>
      </c>
      <c r="E257">
        <v>1</v>
      </c>
      <c r="F257">
        <v>1</v>
      </c>
      <c r="G257">
        <v>1</v>
      </c>
      <c r="H257">
        <v>3</v>
      </c>
      <c r="I257" t="s">
        <v>939</v>
      </c>
      <c r="J257" t="s">
        <v>940</v>
      </c>
      <c r="K257" t="s">
        <v>941</v>
      </c>
      <c r="L257">
        <v>1339</v>
      </c>
      <c r="N257">
        <v>1007</v>
      </c>
      <c r="O257" t="s">
        <v>109</v>
      </c>
      <c r="P257" t="s">
        <v>109</v>
      </c>
      <c r="Q257">
        <v>1</v>
      </c>
      <c r="W257">
        <v>0</v>
      </c>
      <c r="X257">
        <v>-913915397</v>
      </c>
      <c r="Y257">
        <v>3.2</v>
      </c>
      <c r="AA257">
        <v>2827.59</v>
      </c>
      <c r="AB257">
        <v>0</v>
      </c>
      <c r="AC257">
        <v>0</v>
      </c>
      <c r="AD257">
        <v>0</v>
      </c>
      <c r="AE257">
        <v>458.28</v>
      </c>
      <c r="AF257">
        <v>0</v>
      </c>
      <c r="AG257">
        <v>0</v>
      </c>
      <c r="AH257">
        <v>0</v>
      </c>
      <c r="AI257">
        <v>6.17</v>
      </c>
      <c r="AJ257">
        <v>1</v>
      </c>
      <c r="AK257">
        <v>1</v>
      </c>
      <c r="AL257">
        <v>1</v>
      </c>
      <c r="AN257">
        <v>0</v>
      </c>
      <c r="AO257">
        <v>1</v>
      </c>
      <c r="AP257">
        <v>0</v>
      </c>
      <c r="AQ257">
        <v>0</v>
      </c>
      <c r="AR257">
        <v>0</v>
      </c>
      <c r="AS257" t="s">
        <v>6</v>
      </c>
      <c r="AT257">
        <v>3.2</v>
      </c>
      <c r="AU257" t="s">
        <v>6</v>
      </c>
      <c r="AV257">
        <v>0</v>
      </c>
      <c r="AW257">
        <v>2</v>
      </c>
      <c r="AX257">
        <v>31029282</v>
      </c>
      <c r="AY257">
        <v>1</v>
      </c>
      <c r="AZ257">
        <v>0</v>
      </c>
      <c r="BA257">
        <v>281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CX257">
        <f>Y257*Source!I159</f>
        <v>1.5167999999999999</v>
      </c>
      <c r="CY257">
        <f t="shared" si="46"/>
        <v>2827.59</v>
      </c>
      <c r="CZ257">
        <f t="shared" si="47"/>
        <v>458.28</v>
      </c>
      <c r="DA257">
        <f t="shared" si="48"/>
        <v>6.17</v>
      </c>
      <c r="DB257">
        <f t="shared" si="49"/>
        <v>1466.5</v>
      </c>
      <c r="DC257">
        <f t="shared" si="50"/>
        <v>0</v>
      </c>
    </row>
    <row r="258" spans="1:107">
      <c r="A258">
        <f>ROW(Source!A159)</f>
        <v>159</v>
      </c>
      <c r="B258">
        <v>31028412</v>
      </c>
      <c r="C258">
        <v>31029263</v>
      </c>
      <c r="D258">
        <v>29195171</v>
      </c>
      <c r="E258">
        <v>1</v>
      </c>
      <c r="F258">
        <v>1</v>
      </c>
      <c r="G258">
        <v>1</v>
      </c>
      <c r="H258">
        <v>3</v>
      </c>
      <c r="I258" t="s">
        <v>830</v>
      </c>
      <c r="J258" t="s">
        <v>831</v>
      </c>
      <c r="K258" t="s">
        <v>832</v>
      </c>
      <c r="L258">
        <v>1339</v>
      </c>
      <c r="N258">
        <v>1007</v>
      </c>
      <c r="O258" t="s">
        <v>109</v>
      </c>
      <c r="P258" t="s">
        <v>109</v>
      </c>
      <c r="Q258">
        <v>1</v>
      </c>
      <c r="W258">
        <v>0</v>
      </c>
      <c r="X258">
        <v>2050165204</v>
      </c>
      <c r="Y258">
        <v>0.01</v>
      </c>
      <c r="AA258">
        <v>15.12</v>
      </c>
      <c r="AB258">
        <v>0</v>
      </c>
      <c r="AC258">
        <v>0</v>
      </c>
      <c r="AD258">
        <v>0</v>
      </c>
      <c r="AE258">
        <v>2.4500000000000002</v>
      </c>
      <c r="AF258">
        <v>0</v>
      </c>
      <c r="AG258">
        <v>0</v>
      </c>
      <c r="AH258">
        <v>0</v>
      </c>
      <c r="AI258">
        <v>6.17</v>
      </c>
      <c r="AJ258">
        <v>1</v>
      </c>
      <c r="AK258">
        <v>1</v>
      </c>
      <c r="AL258">
        <v>1</v>
      </c>
      <c r="AN258">
        <v>0</v>
      </c>
      <c r="AO258">
        <v>1</v>
      </c>
      <c r="AP258">
        <v>0</v>
      </c>
      <c r="AQ258">
        <v>0</v>
      </c>
      <c r="AR258">
        <v>0</v>
      </c>
      <c r="AS258" t="s">
        <v>6</v>
      </c>
      <c r="AT258">
        <v>0.01</v>
      </c>
      <c r="AU258" t="s">
        <v>6</v>
      </c>
      <c r="AV258">
        <v>0</v>
      </c>
      <c r="AW258">
        <v>2</v>
      </c>
      <c r="AX258">
        <v>31029283</v>
      </c>
      <c r="AY258">
        <v>1</v>
      </c>
      <c r="AZ258">
        <v>0</v>
      </c>
      <c r="BA258">
        <v>282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CX258">
        <f>Y258*Source!I159</f>
        <v>4.7400000000000003E-3</v>
      </c>
      <c r="CY258">
        <f t="shared" si="46"/>
        <v>15.12</v>
      </c>
      <c r="CZ258">
        <f t="shared" si="47"/>
        <v>2.4500000000000002</v>
      </c>
      <c r="DA258">
        <f t="shared" si="48"/>
        <v>6.17</v>
      </c>
      <c r="DB258">
        <f t="shared" si="49"/>
        <v>0.02</v>
      </c>
      <c r="DC258">
        <f t="shared" si="50"/>
        <v>0</v>
      </c>
    </row>
    <row r="259" spans="1:107">
      <c r="A259">
        <f>ROW(Source!A160)</f>
        <v>160</v>
      </c>
      <c r="B259">
        <v>31028412</v>
      </c>
      <c r="C259">
        <v>31029284</v>
      </c>
      <c r="D259">
        <v>29084596</v>
      </c>
      <c r="E259">
        <v>1</v>
      </c>
      <c r="F259">
        <v>1</v>
      </c>
      <c r="G259">
        <v>1</v>
      </c>
      <c r="H259">
        <v>1</v>
      </c>
      <c r="I259" t="s">
        <v>893</v>
      </c>
      <c r="J259" t="s">
        <v>6</v>
      </c>
      <c r="K259" t="s">
        <v>894</v>
      </c>
      <c r="L259">
        <v>1369</v>
      </c>
      <c r="N259">
        <v>1013</v>
      </c>
      <c r="O259" t="s">
        <v>773</v>
      </c>
      <c r="P259" t="s">
        <v>773</v>
      </c>
      <c r="Q259">
        <v>1</v>
      </c>
      <c r="W259">
        <v>0</v>
      </c>
      <c r="X259">
        <v>1607597053</v>
      </c>
      <c r="Y259">
        <v>21.821249999999996</v>
      </c>
      <c r="AA259">
        <v>0</v>
      </c>
      <c r="AB259">
        <v>0</v>
      </c>
      <c r="AC259">
        <v>0</v>
      </c>
      <c r="AD259">
        <v>222.34</v>
      </c>
      <c r="AE259">
        <v>0</v>
      </c>
      <c r="AF259">
        <v>0</v>
      </c>
      <c r="AG259">
        <v>0</v>
      </c>
      <c r="AH259">
        <v>9.18</v>
      </c>
      <c r="AI259">
        <v>1</v>
      </c>
      <c r="AJ259">
        <v>1</v>
      </c>
      <c r="AK259">
        <v>1</v>
      </c>
      <c r="AL259">
        <v>24.22</v>
      </c>
      <c r="AN259">
        <v>0</v>
      </c>
      <c r="AO259">
        <v>1</v>
      </c>
      <c r="AP259">
        <v>1</v>
      </c>
      <c r="AQ259">
        <v>0</v>
      </c>
      <c r="AR259">
        <v>0</v>
      </c>
      <c r="AS259" t="s">
        <v>6</v>
      </c>
      <c r="AT259">
        <v>16.5</v>
      </c>
      <c r="AU259" t="s">
        <v>127</v>
      </c>
      <c r="AV259">
        <v>1</v>
      </c>
      <c r="AW259">
        <v>2</v>
      </c>
      <c r="AX259">
        <v>31029292</v>
      </c>
      <c r="AY259">
        <v>1</v>
      </c>
      <c r="AZ259">
        <v>0</v>
      </c>
      <c r="BA259">
        <v>283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CX259">
        <f>Y259*Source!I160</f>
        <v>10.343272499999998</v>
      </c>
      <c r="CY259">
        <f>AD259</f>
        <v>222.34</v>
      </c>
      <c r="CZ259">
        <f>AH259</f>
        <v>9.18</v>
      </c>
      <c r="DA259">
        <f>AL259</f>
        <v>24.22</v>
      </c>
      <c r="DB259">
        <f>ROUND((ROUND(AT259*CZ259,2)*ROUND((1.15*1.15),7)),6)</f>
        <v>200.319075</v>
      </c>
      <c r="DC259">
        <f>ROUND((ROUND(AT259*AG259,2)*ROUND((1.15*1.15),7)),6)</f>
        <v>0</v>
      </c>
    </row>
    <row r="260" spans="1:107">
      <c r="A260">
        <f>ROW(Source!A160)</f>
        <v>160</v>
      </c>
      <c r="B260">
        <v>31028412</v>
      </c>
      <c r="C260">
        <v>31029284</v>
      </c>
      <c r="D260">
        <v>29084573</v>
      </c>
      <c r="E260">
        <v>1</v>
      </c>
      <c r="F260">
        <v>1</v>
      </c>
      <c r="G260">
        <v>1</v>
      </c>
      <c r="H260">
        <v>1</v>
      </c>
      <c r="I260" t="s">
        <v>774</v>
      </c>
      <c r="J260" t="s">
        <v>6</v>
      </c>
      <c r="K260" t="s">
        <v>775</v>
      </c>
      <c r="L260">
        <v>608254</v>
      </c>
      <c r="N260">
        <v>1013</v>
      </c>
      <c r="O260" t="s">
        <v>776</v>
      </c>
      <c r="P260" t="s">
        <v>776</v>
      </c>
      <c r="Q260">
        <v>1</v>
      </c>
      <c r="W260">
        <v>0</v>
      </c>
      <c r="X260">
        <v>95408949</v>
      </c>
      <c r="Y260">
        <v>1.4374999999999999E-2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1</v>
      </c>
      <c r="AJ260">
        <v>1</v>
      </c>
      <c r="AK260">
        <v>24.22</v>
      </c>
      <c r="AL260">
        <v>1</v>
      </c>
      <c r="AN260">
        <v>0</v>
      </c>
      <c r="AO260">
        <v>1</v>
      </c>
      <c r="AP260">
        <v>1</v>
      </c>
      <c r="AQ260">
        <v>0</v>
      </c>
      <c r="AR260">
        <v>0</v>
      </c>
      <c r="AS260" t="s">
        <v>6</v>
      </c>
      <c r="AT260">
        <v>0.01</v>
      </c>
      <c r="AU260" t="s">
        <v>126</v>
      </c>
      <c r="AV260">
        <v>2</v>
      </c>
      <c r="AW260">
        <v>2</v>
      </c>
      <c r="AX260">
        <v>31029293</v>
      </c>
      <c r="AY260">
        <v>1</v>
      </c>
      <c r="AZ260">
        <v>0</v>
      </c>
      <c r="BA260">
        <v>284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CX260">
        <f>Y260*Source!I160</f>
        <v>6.8137499999999995E-3</v>
      </c>
      <c r="CY260">
        <f>AD260</f>
        <v>0</v>
      </c>
      <c r="CZ260">
        <f>AH260</f>
        <v>0</v>
      </c>
      <c r="DA260">
        <f>AL260</f>
        <v>1</v>
      </c>
      <c r="DB260">
        <f>ROUND((ROUND(AT260*CZ260,2)*ROUND((1.25*1.15),7)),6)</f>
        <v>0</v>
      </c>
      <c r="DC260">
        <f>ROUND((ROUND(AT260*AG260,2)*ROUND((1.25*1.15),7)),6)</f>
        <v>0</v>
      </c>
    </row>
    <row r="261" spans="1:107">
      <c r="A261">
        <f>ROW(Source!A160)</f>
        <v>160</v>
      </c>
      <c r="B261">
        <v>31028412</v>
      </c>
      <c r="C261">
        <v>31029284</v>
      </c>
      <c r="D261">
        <v>29147732</v>
      </c>
      <c r="E261">
        <v>1</v>
      </c>
      <c r="F261">
        <v>1</v>
      </c>
      <c r="G261">
        <v>1</v>
      </c>
      <c r="H261">
        <v>2</v>
      </c>
      <c r="I261" t="s">
        <v>846</v>
      </c>
      <c r="J261" t="s">
        <v>847</v>
      </c>
      <c r="K261" t="s">
        <v>848</v>
      </c>
      <c r="L261">
        <v>1368</v>
      </c>
      <c r="N261">
        <v>1011</v>
      </c>
      <c r="O261" t="s">
        <v>780</v>
      </c>
      <c r="P261" t="s">
        <v>780</v>
      </c>
      <c r="Q261">
        <v>1</v>
      </c>
      <c r="W261">
        <v>0</v>
      </c>
      <c r="X261">
        <v>-1205898307</v>
      </c>
      <c r="Y261">
        <v>1.4374999999999999E-2</v>
      </c>
      <c r="AA261">
        <v>0</v>
      </c>
      <c r="AB261">
        <v>235.69</v>
      </c>
      <c r="AC261">
        <v>315.58999999999997</v>
      </c>
      <c r="AD261">
        <v>0</v>
      </c>
      <c r="AE261">
        <v>0</v>
      </c>
      <c r="AF261">
        <v>30.85</v>
      </c>
      <c r="AG261">
        <v>13.03</v>
      </c>
      <c r="AH261">
        <v>0</v>
      </c>
      <c r="AI261">
        <v>1</v>
      </c>
      <c r="AJ261">
        <v>7.64</v>
      </c>
      <c r="AK261">
        <v>24.22</v>
      </c>
      <c r="AL261">
        <v>1</v>
      </c>
      <c r="AN261">
        <v>0</v>
      </c>
      <c r="AO261">
        <v>1</v>
      </c>
      <c r="AP261">
        <v>1</v>
      </c>
      <c r="AQ261">
        <v>0</v>
      </c>
      <c r="AR261">
        <v>0</v>
      </c>
      <c r="AS261" t="s">
        <v>6</v>
      </c>
      <c r="AT261">
        <v>0.01</v>
      </c>
      <c r="AU261" t="s">
        <v>126</v>
      </c>
      <c r="AV261">
        <v>0</v>
      </c>
      <c r="AW261">
        <v>2</v>
      </c>
      <c r="AX261">
        <v>31029294</v>
      </c>
      <c r="AY261">
        <v>1</v>
      </c>
      <c r="AZ261">
        <v>0</v>
      </c>
      <c r="BA261">
        <v>285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CX261">
        <f>Y261*Source!I160</f>
        <v>6.8137499999999995E-3</v>
      </c>
      <c r="CY261">
        <f>AB261</f>
        <v>235.69</v>
      </c>
      <c r="CZ261">
        <f>AF261</f>
        <v>30.85</v>
      </c>
      <c r="DA261">
        <f>AJ261</f>
        <v>7.64</v>
      </c>
      <c r="DB261">
        <f>ROUND((ROUND(AT261*CZ261,2)*ROUND((1.25*1.15),7)),6)</f>
        <v>0.44562499999999999</v>
      </c>
      <c r="DC261">
        <f>ROUND((ROUND(AT261*AG261,2)*ROUND((1.25*1.15),7)),6)</f>
        <v>0.18687500000000001</v>
      </c>
    </row>
    <row r="262" spans="1:107">
      <c r="A262">
        <f>ROW(Source!A160)</f>
        <v>160</v>
      </c>
      <c r="B262">
        <v>31028412</v>
      </c>
      <c r="C262">
        <v>31029284</v>
      </c>
      <c r="D262">
        <v>29149520</v>
      </c>
      <c r="E262">
        <v>1</v>
      </c>
      <c r="F262">
        <v>1</v>
      </c>
      <c r="G262">
        <v>1</v>
      </c>
      <c r="H262">
        <v>2</v>
      </c>
      <c r="I262" t="s">
        <v>790</v>
      </c>
      <c r="J262" t="s">
        <v>791</v>
      </c>
      <c r="K262" t="s">
        <v>792</v>
      </c>
      <c r="L262">
        <v>1368</v>
      </c>
      <c r="N262">
        <v>1011</v>
      </c>
      <c r="O262" t="s">
        <v>780</v>
      </c>
      <c r="P262" t="s">
        <v>780</v>
      </c>
      <c r="Q262">
        <v>1</v>
      </c>
      <c r="W262">
        <v>0</v>
      </c>
      <c r="X262">
        <v>-1931461795</v>
      </c>
      <c r="Y262">
        <v>5.7499999999999996E-2</v>
      </c>
      <c r="AA262">
        <v>0</v>
      </c>
      <c r="AB262">
        <v>699.98</v>
      </c>
      <c r="AC262">
        <v>0</v>
      </c>
      <c r="AD262">
        <v>0</v>
      </c>
      <c r="AE262">
        <v>0</v>
      </c>
      <c r="AF262">
        <v>91.62</v>
      </c>
      <c r="AG262">
        <v>0</v>
      </c>
      <c r="AH262">
        <v>0</v>
      </c>
      <c r="AI262">
        <v>1</v>
      </c>
      <c r="AJ262">
        <v>7.64</v>
      </c>
      <c r="AK262">
        <v>24.22</v>
      </c>
      <c r="AL262">
        <v>1</v>
      </c>
      <c r="AN262">
        <v>0</v>
      </c>
      <c r="AO262">
        <v>1</v>
      </c>
      <c r="AP262">
        <v>1</v>
      </c>
      <c r="AQ262">
        <v>0</v>
      </c>
      <c r="AR262">
        <v>0</v>
      </c>
      <c r="AS262" t="s">
        <v>6</v>
      </c>
      <c r="AT262">
        <v>0.04</v>
      </c>
      <c r="AU262" t="s">
        <v>126</v>
      </c>
      <c r="AV262">
        <v>0</v>
      </c>
      <c r="AW262">
        <v>2</v>
      </c>
      <c r="AX262">
        <v>31029295</v>
      </c>
      <c r="AY262">
        <v>1</v>
      </c>
      <c r="AZ262">
        <v>0</v>
      </c>
      <c r="BA262">
        <v>286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CX262">
        <f>Y262*Source!I160</f>
        <v>2.7254999999999998E-2</v>
      </c>
      <c r="CY262">
        <f>AB262</f>
        <v>699.98</v>
      </c>
      <c r="CZ262">
        <f>AF262</f>
        <v>91.62</v>
      </c>
      <c r="DA262">
        <f>AJ262</f>
        <v>7.64</v>
      </c>
      <c r="DB262">
        <f>ROUND((ROUND(AT262*CZ262,2)*ROUND((1.25*1.15),7)),6)</f>
        <v>5.2612500000000004</v>
      </c>
      <c r="DC262">
        <f>ROUND((ROUND(AT262*AG262,2)*ROUND((1.25*1.15),7)),6)</f>
        <v>0</v>
      </c>
    </row>
    <row r="263" spans="1:107">
      <c r="A263">
        <f>ROW(Source!A160)</f>
        <v>160</v>
      </c>
      <c r="B263">
        <v>31028412</v>
      </c>
      <c r="C263">
        <v>31029284</v>
      </c>
      <c r="D263">
        <v>29151861</v>
      </c>
      <c r="E263">
        <v>1</v>
      </c>
      <c r="F263">
        <v>1</v>
      </c>
      <c r="G263">
        <v>1</v>
      </c>
      <c r="H263">
        <v>3</v>
      </c>
      <c r="I263" t="s">
        <v>835</v>
      </c>
      <c r="J263" t="s">
        <v>836</v>
      </c>
      <c r="K263" t="s">
        <v>837</v>
      </c>
      <c r="L263">
        <v>1327</v>
      </c>
      <c r="N263">
        <v>1005</v>
      </c>
      <c r="O263" t="s">
        <v>284</v>
      </c>
      <c r="P263" t="s">
        <v>284</v>
      </c>
      <c r="Q263">
        <v>1</v>
      </c>
      <c r="W263">
        <v>0</v>
      </c>
      <c r="X263">
        <v>1527270933</v>
      </c>
      <c r="Y263">
        <v>4.4000000000000004</v>
      </c>
      <c r="AA263">
        <v>452.82</v>
      </c>
      <c r="AB263">
        <v>0</v>
      </c>
      <c r="AC263">
        <v>0</v>
      </c>
      <c r="AD263">
        <v>0</v>
      </c>
      <c r="AE263">
        <v>73.39</v>
      </c>
      <c r="AF263">
        <v>0</v>
      </c>
      <c r="AG263">
        <v>0</v>
      </c>
      <c r="AH263">
        <v>0</v>
      </c>
      <c r="AI263">
        <v>6.17</v>
      </c>
      <c r="AJ263">
        <v>1</v>
      </c>
      <c r="AK263">
        <v>1</v>
      </c>
      <c r="AL263">
        <v>1</v>
      </c>
      <c r="AN263">
        <v>0</v>
      </c>
      <c r="AO263">
        <v>1</v>
      </c>
      <c r="AP263">
        <v>0</v>
      </c>
      <c r="AQ263">
        <v>0</v>
      </c>
      <c r="AR263">
        <v>0</v>
      </c>
      <c r="AS263" t="s">
        <v>6</v>
      </c>
      <c r="AT263">
        <v>4.4000000000000004</v>
      </c>
      <c r="AU263" t="s">
        <v>6</v>
      </c>
      <c r="AV263">
        <v>0</v>
      </c>
      <c r="AW263">
        <v>2</v>
      </c>
      <c r="AX263">
        <v>31029296</v>
      </c>
      <c r="AY263">
        <v>1</v>
      </c>
      <c r="AZ263">
        <v>0</v>
      </c>
      <c r="BA263">
        <v>287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CX263">
        <f>Y263*Source!I160</f>
        <v>2.0855999999999999</v>
      </c>
      <c r="CY263">
        <f>AA263</f>
        <v>452.82</v>
      </c>
      <c r="CZ263">
        <f>AE263</f>
        <v>73.39</v>
      </c>
      <c r="DA263">
        <f>AI263</f>
        <v>6.17</v>
      </c>
      <c r="DB263">
        <f>ROUND(ROUND(AT263*CZ263,2),6)</f>
        <v>322.92</v>
      </c>
      <c r="DC263">
        <f>ROUND(ROUND(AT263*AG263,2),6)</f>
        <v>0</v>
      </c>
    </row>
    <row r="264" spans="1:107">
      <c r="A264">
        <f>ROW(Source!A160)</f>
        <v>160</v>
      </c>
      <c r="B264">
        <v>31028412</v>
      </c>
      <c r="C264">
        <v>31029284</v>
      </c>
      <c r="D264">
        <v>29151929</v>
      </c>
      <c r="E264">
        <v>1</v>
      </c>
      <c r="F264">
        <v>1</v>
      </c>
      <c r="G264">
        <v>1</v>
      </c>
      <c r="H264">
        <v>3</v>
      </c>
      <c r="I264" t="s">
        <v>914</v>
      </c>
      <c r="J264" t="s">
        <v>915</v>
      </c>
      <c r="K264" t="s">
        <v>916</v>
      </c>
      <c r="L264">
        <v>1348</v>
      </c>
      <c r="N264">
        <v>1009</v>
      </c>
      <c r="O264" t="s">
        <v>137</v>
      </c>
      <c r="P264" t="s">
        <v>137</v>
      </c>
      <c r="Q264">
        <v>1000</v>
      </c>
      <c r="W264">
        <v>0</v>
      </c>
      <c r="X264">
        <v>-706211403</v>
      </c>
      <c r="Y264">
        <v>3.2000000000000001E-2</v>
      </c>
      <c r="AA264">
        <v>19447.53</v>
      </c>
      <c r="AB264">
        <v>0</v>
      </c>
      <c r="AC264">
        <v>0</v>
      </c>
      <c r="AD264">
        <v>0</v>
      </c>
      <c r="AE264">
        <v>3151.95</v>
      </c>
      <c r="AF264">
        <v>0</v>
      </c>
      <c r="AG264">
        <v>0</v>
      </c>
      <c r="AH264">
        <v>0</v>
      </c>
      <c r="AI264">
        <v>6.17</v>
      </c>
      <c r="AJ264">
        <v>1</v>
      </c>
      <c r="AK264">
        <v>1</v>
      </c>
      <c r="AL264">
        <v>1</v>
      </c>
      <c r="AN264">
        <v>0</v>
      </c>
      <c r="AO264">
        <v>1</v>
      </c>
      <c r="AP264">
        <v>0</v>
      </c>
      <c r="AQ264">
        <v>0</v>
      </c>
      <c r="AR264">
        <v>0</v>
      </c>
      <c r="AS264" t="s">
        <v>6</v>
      </c>
      <c r="AT264">
        <v>3.2000000000000001E-2</v>
      </c>
      <c r="AU264" t="s">
        <v>6</v>
      </c>
      <c r="AV264">
        <v>0</v>
      </c>
      <c r="AW264">
        <v>2</v>
      </c>
      <c r="AX264">
        <v>31029297</v>
      </c>
      <c r="AY264">
        <v>1</v>
      </c>
      <c r="AZ264">
        <v>0</v>
      </c>
      <c r="BA264">
        <v>288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CX264">
        <f>Y264*Source!I160</f>
        <v>1.5167999999999999E-2</v>
      </c>
      <c r="CY264">
        <f>AA264</f>
        <v>19447.53</v>
      </c>
      <c r="CZ264">
        <f>AE264</f>
        <v>3151.95</v>
      </c>
      <c r="DA264">
        <f>AI264</f>
        <v>6.17</v>
      </c>
      <c r="DB264">
        <f>ROUND(ROUND(AT264*CZ264,2),6)</f>
        <v>100.86</v>
      </c>
      <c r="DC264">
        <f>ROUND(ROUND(AT264*AG264,2),6)</f>
        <v>0</v>
      </c>
    </row>
    <row r="265" spans="1:107">
      <c r="A265">
        <f>ROW(Source!A160)</f>
        <v>160</v>
      </c>
      <c r="B265">
        <v>31028412</v>
      </c>
      <c r="C265">
        <v>31029284</v>
      </c>
      <c r="D265">
        <v>29152014</v>
      </c>
      <c r="E265">
        <v>1</v>
      </c>
      <c r="F265">
        <v>1</v>
      </c>
      <c r="G265">
        <v>1</v>
      </c>
      <c r="H265">
        <v>3</v>
      </c>
      <c r="I265" t="s">
        <v>838</v>
      </c>
      <c r="J265" t="s">
        <v>839</v>
      </c>
      <c r="K265" t="s">
        <v>840</v>
      </c>
      <c r="L265">
        <v>1346</v>
      </c>
      <c r="N265">
        <v>1009</v>
      </c>
      <c r="O265" t="s">
        <v>118</v>
      </c>
      <c r="P265" t="s">
        <v>118</v>
      </c>
      <c r="Q265">
        <v>1</v>
      </c>
      <c r="W265">
        <v>0</v>
      </c>
      <c r="X265">
        <v>-1526040720</v>
      </c>
      <c r="Y265">
        <v>0.15</v>
      </c>
      <c r="AA265">
        <v>11.97</v>
      </c>
      <c r="AB265">
        <v>0</v>
      </c>
      <c r="AC265">
        <v>0</v>
      </c>
      <c r="AD265">
        <v>0</v>
      </c>
      <c r="AE265">
        <v>1.94</v>
      </c>
      <c r="AF265">
        <v>0</v>
      </c>
      <c r="AG265">
        <v>0</v>
      </c>
      <c r="AH265">
        <v>0</v>
      </c>
      <c r="AI265">
        <v>6.17</v>
      </c>
      <c r="AJ265">
        <v>1</v>
      </c>
      <c r="AK265">
        <v>1</v>
      </c>
      <c r="AL265">
        <v>1</v>
      </c>
      <c r="AN265">
        <v>0</v>
      </c>
      <c r="AO265">
        <v>1</v>
      </c>
      <c r="AP265">
        <v>0</v>
      </c>
      <c r="AQ265">
        <v>0</v>
      </c>
      <c r="AR265">
        <v>0</v>
      </c>
      <c r="AS265" t="s">
        <v>6</v>
      </c>
      <c r="AT265">
        <v>0.15</v>
      </c>
      <c r="AU265" t="s">
        <v>6</v>
      </c>
      <c r="AV265">
        <v>0</v>
      </c>
      <c r="AW265">
        <v>2</v>
      </c>
      <c r="AX265">
        <v>31029298</v>
      </c>
      <c r="AY265">
        <v>1</v>
      </c>
      <c r="AZ265">
        <v>0</v>
      </c>
      <c r="BA265">
        <v>289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CX265">
        <f>Y265*Source!I160</f>
        <v>7.1099999999999997E-2</v>
      </c>
      <c r="CY265">
        <f>AA265</f>
        <v>11.97</v>
      </c>
      <c r="CZ265">
        <f>AE265</f>
        <v>1.94</v>
      </c>
      <c r="DA265">
        <f>AI265</f>
        <v>6.17</v>
      </c>
      <c r="DB265">
        <f>ROUND(ROUND(AT265*CZ265,2),6)</f>
        <v>0.28999999999999998</v>
      </c>
      <c r="DC265">
        <f>ROUND(ROUND(AT265*AG265,2),6)</f>
        <v>0</v>
      </c>
    </row>
    <row r="266" spans="1:107">
      <c r="A266">
        <f>ROW(Source!A161)</f>
        <v>161</v>
      </c>
      <c r="B266">
        <v>31028412</v>
      </c>
      <c r="C266">
        <v>31029299</v>
      </c>
      <c r="D266">
        <v>29084579</v>
      </c>
      <c r="E266">
        <v>1</v>
      </c>
      <c r="F266">
        <v>1</v>
      </c>
      <c r="G266">
        <v>1</v>
      </c>
      <c r="H266">
        <v>1</v>
      </c>
      <c r="I266" t="s">
        <v>849</v>
      </c>
      <c r="J266" t="s">
        <v>6</v>
      </c>
      <c r="K266" t="s">
        <v>850</v>
      </c>
      <c r="L266">
        <v>1369</v>
      </c>
      <c r="N266">
        <v>1013</v>
      </c>
      <c r="O266" t="s">
        <v>773</v>
      </c>
      <c r="P266" t="s">
        <v>773</v>
      </c>
      <c r="Q266">
        <v>1</v>
      </c>
      <c r="W266">
        <v>0</v>
      </c>
      <c r="X266">
        <v>260198247</v>
      </c>
      <c r="Y266">
        <v>118.27117499999999</v>
      </c>
      <c r="AA266">
        <v>0</v>
      </c>
      <c r="AB266">
        <v>0</v>
      </c>
      <c r="AC266">
        <v>0</v>
      </c>
      <c r="AD266">
        <v>225</v>
      </c>
      <c r="AE266">
        <v>0</v>
      </c>
      <c r="AF266">
        <v>0</v>
      </c>
      <c r="AG266">
        <v>0</v>
      </c>
      <c r="AH266">
        <v>9.2899999999999991</v>
      </c>
      <c r="AI266">
        <v>1</v>
      </c>
      <c r="AJ266">
        <v>1</v>
      </c>
      <c r="AK266">
        <v>1</v>
      </c>
      <c r="AL266">
        <v>24.22</v>
      </c>
      <c r="AN266">
        <v>0</v>
      </c>
      <c r="AO266">
        <v>1</v>
      </c>
      <c r="AP266">
        <v>1</v>
      </c>
      <c r="AQ266">
        <v>0</v>
      </c>
      <c r="AR266">
        <v>0</v>
      </c>
      <c r="AS266" t="s">
        <v>6</v>
      </c>
      <c r="AT266">
        <v>89.43</v>
      </c>
      <c r="AU266" t="s">
        <v>127</v>
      </c>
      <c r="AV266">
        <v>1</v>
      </c>
      <c r="AW266">
        <v>2</v>
      </c>
      <c r="AX266">
        <v>31029308</v>
      </c>
      <c r="AY266">
        <v>1</v>
      </c>
      <c r="AZ266">
        <v>0</v>
      </c>
      <c r="BA266">
        <v>290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CX266">
        <f>Y266*Source!I161</f>
        <v>56.060536949999992</v>
      </c>
      <c r="CY266">
        <f>AD266</f>
        <v>225</v>
      </c>
      <c r="CZ266">
        <f>AH266</f>
        <v>9.2899999999999991</v>
      </c>
      <c r="DA266">
        <f>AL266</f>
        <v>24.22</v>
      </c>
      <c r="DB266">
        <f>ROUND((ROUND(AT266*CZ266,2)*ROUND((1.15*1.15),7)),6)</f>
        <v>1098.7329999999999</v>
      </c>
      <c r="DC266">
        <f>ROUND((ROUND(AT266*AG266,2)*ROUND((1.15*1.15),7)),6)</f>
        <v>0</v>
      </c>
    </row>
    <row r="267" spans="1:107">
      <c r="A267">
        <f>ROW(Source!A161)</f>
        <v>161</v>
      </c>
      <c r="B267">
        <v>31028412</v>
      </c>
      <c r="C267">
        <v>31029299</v>
      </c>
      <c r="D267">
        <v>29084573</v>
      </c>
      <c r="E267">
        <v>1</v>
      </c>
      <c r="F267">
        <v>1</v>
      </c>
      <c r="G267">
        <v>1</v>
      </c>
      <c r="H267">
        <v>1</v>
      </c>
      <c r="I267" t="s">
        <v>774</v>
      </c>
      <c r="J267" t="s">
        <v>6</v>
      </c>
      <c r="K267" t="s">
        <v>775</v>
      </c>
      <c r="L267">
        <v>608254</v>
      </c>
      <c r="N267">
        <v>1013</v>
      </c>
      <c r="O267" t="s">
        <v>776</v>
      </c>
      <c r="P267" t="s">
        <v>776</v>
      </c>
      <c r="Q267">
        <v>1</v>
      </c>
      <c r="W267">
        <v>0</v>
      </c>
      <c r="X267">
        <v>95408949</v>
      </c>
      <c r="Y267">
        <v>4.3124999999999997E-2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1</v>
      </c>
      <c r="AJ267">
        <v>1</v>
      </c>
      <c r="AK267">
        <v>24.22</v>
      </c>
      <c r="AL267">
        <v>1</v>
      </c>
      <c r="AN267">
        <v>0</v>
      </c>
      <c r="AO267">
        <v>1</v>
      </c>
      <c r="AP267">
        <v>1</v>
      </c>
      <c r="AQ267">
        <v>0</v>
      </c>
      <c r="AR267">
        <v>0</v>
      </c>
      <c r="AS267" t="s">
        <v>6</v>
      </c>
      <c r="AT267">
        <v>0.03</v>
      </c>
      <c r="AU267" t="s">
        <v>126</v>
      </c>
      <c r="AV267">
        <v>2</v>
      </c>
      <c r="AW267">
        <v>2</v>
      </c>
      <c r="AX267">
        <v>31029309</v>
      </c>
      <c r="AY267">
        <v>1</v>
      </c>
      <c r="AZ267">
        <v>0</v>
      </c>
      <c r="BA267">
        <v>291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CX267">
        <f>Y267*Source!I161</f>
        <v>2.0441249999999998E-2</v>
      </c>
      <c r="CY267">
        <f>AD267</f>
        <v>0</v>
      </c>
      <c r="CZ267">
        <f>AH267</f>
        <v>0</v>
      </c>
      <c r="DA267">
        <f>AL267</f>
        <v>1</v>
      </c>
      <c r="DB267">
        <f>ROUND((ROUND(AT267*CZ267,2)*ROUND((1.25*1.15),7)),6)</f>
        <v>0</v>
      </c>
      <c r="DC267">
        <f>ROUND((ROUND(AT267*AG267,2)*ROUND((1.25*1.15),7)),6)</f>
        <v>0</v>
      </c>
    </row>
    <row r="268" spans="1:107">
      <c r="A268">
        <f>ROW(Source!A161)</f>
        <v>161</v>
      </c>
      <c r="B268">
        <v>31028412</v>
      </c>
      <c r="C268">
        <v>31029299</v>
      </c>
      <c r="D268">
        <v>29147732</v>
      </c>
      <c r="E268">
        <v>1</v>
      </c>
      <c r="F268">
        <v>1</v>
      </c>
      <c r="G268">
        <v>1</v>
      </c>
      <c r="H268">
        <v>2</v>
      </c>
      <c r="I268" t="s">
        <v>846</v>
      </c>
      <c r="J268" t="s">
        <v>847</v>
      </c>
      <c r="K268" t="s">
        <v>848</v>
      </c>
      <c r="L268">
        <v>1368</v>
      </c>
      <c r="N268">
        <v>1011</v>
      </c>
      <c r="O268" t="s">
        <v>780</v>
      </c>
      <c r="P268" t="s">
        <v>780</v>
      </c>
      <c r="Q268">
        <v>1</v>
      </c>
      <c r="W268">
        <v>0</v>
      </c>
      <c r="X268">
        <v>-1205898307</v>
      </c>
      <c r="Y268">
        <v>4.3124999999999997E-2</v>
      </c>
      <c r="AA268">
        <v>0</v>
      </c>
      <c r="AB268">
        <v>235.69</v>
      </c>
      <c r="AC268">
        <v>315.58999999999997</v>
      </c>
      <c r="AD268">
        <v>0</v>
      </c>
      <c r="AE268">
        <v>0</v>
      </c>
      <c r="AF268">
        <v>30.85</v>
      </c>
      <c r="AG268">
        <v>13.03</v>
      </c>
      <c r="AH268">
        <v>0</v>
      </c>
      <c r="AI268">
        <v>1</v>
      </c>
      <c r="AJ268">
        <v>7.64</v>
      </c>
      <c r="AK268">
        <v>24.22</v>
      </c>
      <c r="AL268">
        <v>1</v>
      </c>
      <c r="AN268">
        <v>0</v>
      </c>
      <c r="AO268">
        <v>1</v>
      </c>
      <c r="AP268">
        <v>1</v>
      </c>
      <c r="AQ268">
        <v>0</v>
      </c>
      <c r="AR268">
        <v>0</v>
      </c>
      <c r="AS268" t="s">
        <v>6</v>
      </c>
      <c r="AT268">
        <v>0.03</v>
      </c>
      <c r="AU268" t="s">
        <v>126</v>
      </c>
      <c r="AV268">
        <v>0</v>
      </c>
      <c r="AW268">
        <v>2</v>
      </c>
      <c r="AX268">
        <v>31029310</v>
      </c>
      <c r="AY268">
        <v>1</v>
      </c>
      <c r="AZ268">
        <v>0</v>
      </c>
      <c r="BA268">
        <v>292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CX268">
        <f>Y268*Source!I161</f>
        <v>2.0441249999999998E-2</v>
      </c>
      <c r="CY268">
        <f>AB268</f>
        <v>235.69</v>
      </c>
      <c r="CZ268">
        <f>AF268</f>
        <v>30.85</v>
      </c>
      <c r="DA268">
        <f>AJ268</f>
        <v>7.64</v>
      </c>
      <c r="DB268">
        <f>ROUND((ROUND(AT268*CZ268,2)*ROUND((1.25*1.15),7)),6)</f>
        <v>1.336875</v>
      </c>
      <c r="DC268">
        <f>ROUND((ROUND(AT268*AG268,2)*ROUND((1.25*1.15),7)),6)</f>
        <v>0.56062500000000004</v>
      </c>
    </row>
    <row r="269" spans="1:107">
      <c r="A269">
        <f>ROW(Source!A161)</f>
        <v>161</v>
      </c>
      <c r="B269">
        <v>31028412</v>
      </c>
      <c r="C269">
        <v>31029299</v>
      </c>
      <c r="D269">
        <v>29149520</v>
      </c>
      <c r="E269">
        <v>1</v>
      </c>
      <c r="F269">
        <v>1</v>
      </c>
      <c r="G269">
        <v>1</v>
      </c>
      <c r="H269">
        <v>2</v>
      </c>
      <c r="I269" t="s">
        <v>790</v>
      </c>
      <c r="J269" t="s">
        <v>791</v>
      </c>
      <c r="K269" t="s">
        <v>792</v>
      </c>
      <c r="L269">
        <v>1368</v>
      </c>
      <c r="N269">
        <v>1011</v>
      </c>
      <c r="O269" t="s">
        <v>780</v>
      </c>
      <c r="P269" t="s">
        <v>780</v>
      </c>
      <c r="Q269">
        <v>1</v>
      </c>
      <c r="W269">
        <v>0</v>
      </c>
      <c r="X269">
        <v>-1931461795</v>
      </c>
      <c r="Y269">
        <v>0.31624999999999998</v>
      </c>
      <c r="AA269">
        <v>0</v>
      </c>
      <c r="AB269">
        <v>699.98</v>
      </c>
      <c r="AC269">
        <v>0</v>
      </c>
      <c r="AD269">
        <v>0</v>
      </c>
      <c r="AE269">
        <v>0</v>
      </c>
      <c r="AF269">
        <v>91.62</v>
      </c>
      <c r="AG269">
        <v>0</v>
      </c>
      <c r="AH269">
        <v>0</v>
      </c>
      <c r="AI269">
        <v>1</v>
      </c>
      <c r="AJ269">
        <v>7.64</v>
      </c>
      <c r="AK269">
        <v>24.22</v>
      </c>
      <c r="AL269">
        <v>1</v>
      </c>
      <c r="AN269">
        <v>0</v>
      </c>
      <c r="AO269">
        <v>1</v>
      </c>
      <c r="AP269">
        <v>1</v>
      </c>
      <c r="AQ269">
        <v>0</v>
      </c>
      <c r="AR269">
        <v>0</v>
      </c>
      <c r="AS269" t="s">
        <v>6</v>
      </c>
      <c r="AT269">
        <v>0.22</v>
      </c>
      <c r="AU269" t="s">
        <v>126</v>
      </c>
      <c r="AV269">
        <v>0</v>
      </c>
      <c r="AW269">
        <v>2</v>
      </c>
      <c r="AX269">
        <v>31029311</v>
      </c>
      <c r="AY269">
        <v>1</v>
      </c>
      <c r="AZ269">
        <v>0</v>
      </c>
      <c r="BA269">
        <v>293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CX269">
        <f>Y269*Source!I161</f>
        <v>0.14990249999999999</v>
      </c>
      <c r="CY269">
        <f>AB269</f>
        <v>699.98</v>
      </c>
      <c r="CZ269">
        <f>AF269</f>
        <v>91.62</v>
      </c>
      <c r="DA269">
        <f>AJ269</f>
        <v>7.64</v>
      </c>
      <c r="DB269">
        <f>ROUND((ROUND(AT269*CZ269,2)*ROUND((1.25*1.15),7)),6)</f>
        <v>28.98</v>
      </c>
      <c r="DC269">
        <f>ROUND((ROUND(AT269*AG269,2)*ROUND((1.25*1.15),7)),6)</f>
        <v>0</v>
      </c>
    </row>
    <row r="270" spans="1:107">
      <c r="A270">
        <f>ROW(Source!A161)</f>
        <v>161</v>
      </c>
      <c r="B270">
        <v>31028412</v>
      </c>
      <c r="C270">
        <v>31029299</v>
      </c>
      <c r="D270">
        <v>29151861</v>
      </c>
      <c r="E270">
        <v>1</v>
      </c>
      <c r="F270">
        <v>1</v>
      </c>
      <c r="G270">
        <v>1</v>
      </c>
      <c r="H270">
        <v>3</v>
      </c>
      <c r="I270" t="s">
        <v>835</v>
      </c>
      <c r="J270" t="s">
        <v>836</v>
      </c>
      <c r="K270" t="s">
        <v>837</v>
      </c>
      <c r="L270">
        <v>1327</v>
      </c>
      <c r="N270">
        <v>1005</v>
      </c>
      <c r="O270" t="s">
        <v>284</v>
      </c>
      <c r="P270" t="s">
        <v>284</v>
      </c>
      <c r="Q270">
        <v>1</v>
      </c>
      <c r="W270">
        <v>0</v>
      </c>
      <c r="X270">
        <v>1527270933</v>
      </c>
      <c r="Y270">
        <v>0.88</v>
      </c>
      <c r="AA270">
        <v>452.82</v>
      </c>
      <c r="AB270">
        <v>0</v>
      </c>
      <c r="AC270">
        <v>0</v>
      </c>
      <c r="AD270">
        <v>0</v>
      </c>
      <c r="AE270">
        <v>73.39</v>
      </c>
      <c r="AF270">
        <v>0</v>
      </c>
      <c r="AG270">
        <v>0</v>
      </c>
      <c r="AH270">
        <v>0</v>
      </c>
      <c r="AI270">
        <v>6.17</v>
      </c>
      <c r="AJ270">
        <v>1</v>
      </c>
      <c r="AK270">
        <v>1</v>
      </c>
      <c r="AL270">
        <v>1</v>
      </c>
      <c r="AN270">
        <v>0</v>
      </c>
      <c r="AO270">
        <v>1</v>
      </c>
      <c r="AP270">
        <v>0</v>
      </c>
      <c r="AQ270">
        <v>0</v>
      </c>
      <c r="AR270">
        <v>0</v>
      </c>
      <c r="AS270" t="s">
        <v>6</v>
      </c>
      <c r="AT270">
        <v>0.88</v>
      </c>
      <c r="AU270" t="s">
        <v>6</v>
      </c>
      <c r="AV270">
        <v>0</v>
      </c>
      <c r="AW270">
        <v>2</v>
      </c>
      <c r="AX270">
        <v>31029312</v>
      </c>
      <c r="AY270">
        <v>1</v>
      </c>
      <c r="AZ270">
        <v>0</v>
      </c>
      <c r="BA270">
        <v>294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CX270">
        <f>Y270*Source!I161</f>
        <v>0.41711999999999999</v>
      </c>
      <c r="CY270">
        <f>AA270</f>
        <v>452.82</v>
      </c>
      <c r="CZ270">
        <f>AE270</f>
        <v>73.39</v>
      </c>
      <c r="DA270">
        <f>AI270</f>
        <v>6.17</v>
      </c>
      <c r="DB270">
        <f>ROUND(ROUND(AT270*CZ270,2),6)</f>
        <v>64.58</v>
      </c>
      <c r="DC270">
        <f>ROUND(ROUND(AT270*AG270,2),6)</f>
        <v>0</v>
      </c>
    </row>
    <row r="271" spans="1:107">
      <c r="A271">
        <f>ROW(Source!A161)</f>
        <v>161</v>
      </c>
      <c r="B271">
        <v>31028412</v>
      </c>
      <c r="C271">
        <v>31029299</v>
      </c>
      <c r="D271">
        <v>29151971</v>
      </c>
      <c r="E271">
        <v>1</v>
      </c>
      <c r="F271">
        <v>1</v>
      </c>
      <c r="G271">
        <v>1</v>
      </c>
      <c r="H271">
        <v>3</v>
      </c>
      <c r="I271" t="s">
        <v>942</v>
      </c>
      <c r="J271" t="s">
        <v>943</v>
      </c>
      <c r="K271" t="s">
        <v>944</v>
      </c>
      <c r="L271">
        <v>1348</v>
      </c>
      <c r="N271">
        <v>1009</v>
      </c>
      <c r="O271" t="s">
        <v>137</v>
      </c>
      <c r="P271" t="s">
        <v>137</v>
      </c>
      <c r="Q271">
        <v>1000</v>
      </c>
      <c r="W271">
        <v>0</v>
      </c>
      <c r="X271">
        <v>-1321245919</v>
      </c>
      <c r="Y271">
        <v>9.1999999999999998E-2</v>
      </c>
      <c r="AA271">
        <v>20431.34</v>
      </c>
      <c r="AB271">
        <v>0</v>
      </c>
      <c r="AC271">
        <v>0</v>
      </c>
      <c r="AD271">
        <v>0</v>
      </c>
      <c r="AE271">
        <v>3311.4</v>
      </c>
      <c r="AF271">
        <v>0</v>
      </c>
      <c r="AG271">
        <v>0</v>
      </c>
      <c r="AH271">
        <v>0</v>
      </c>
      <c r="AI271">
        <v>6.17</v>
      </c>
      <c r="AJ271">
        <v>1</v>
      </c>
      <c r="AK271">
        <v>1</v>
      </c>
      <c r="AL271">
        <v>1</v>
      </c>
      <c r="AN271">
        <v>0</v>
      </c>
      <c r="AO271">
        <v>1</v>
      </c>
      <c r="AP271">
        <v>0</v>
      </c>
      <c r="AQ271">
        <v>0</v>
      </c>
      <c r="AR271">
        <v>0</v>
      </c>
      <c r="AS271" t="s">
        <v>6</v>
      </c>
      <c r="AT271">
        <v>9.1999999999999998E-2</v>
      </c>
      <c r="AU271" t="s">
        <v>6</v>
      </c>
      <c r="AV271">
        <v>0</v>
      </c>
      <c r="AW271">
        <v>2</v>
      </c>
      <c r="AX271">
        <v>31029313</v>
      </c>
      <c r="AY271">
        <v>1</v>
      </c>
      <c r="AZ271">
        <v>0</v>
      </c>
      <c r="BA271">
        <v>295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CX271">
        <f>Y271*Source!I161</f>
        <v>4.3607999999999994E-2</v>
      </c>
      <c r="CY271">
        <f>AA271</f>
        <v>20431.34</v>
      </c>
      <c r="CZ271">
        <f>AE271</f>
        <v>3311.4</v>
      </c>
      <c r="DA271">
        <f>AI271</f>
        <v>6.17</v>
      </c>
      <c r="DB271">
        <f>ROUND(ROUND(AT271*CZ271,2),6)</f>
        <v>304.64999999999998</v>
      </c>
      <c r="DC271">
        <f>ROUND(ROUND(AT271*AG271,2),6)</f>
        <v>0</v>
      </c>
    </row>
    <row r="272" spans="1:107">
      <c r="A272">
        <f>ROW(Source!A161)</f>
        <v>161</v>
      </c>
      <c r="B272">
        <v>31028412</v>
      </c>
      <c r="C272">
        <v>31029299</v>
      </c>
      <c r="D272">
        <v>29152014</v>
      </c>
      <c r="E272">
        <v>1</v>
      </c>
      <c r="F272">
        <v>1</v>
      </c>
      <c r="G272">
        <v>1</v>
      </c>
      <c r="H272">
        <v>3</v>
      </c>
      <c r="I272" t="s">
        <v>838</v>
      </c>
      <c r="J272" t="s">
        <v>839</v>
      </c>
      <c r="K272" t="s">
        <v>840</v>
      </c>
      <c r="L272">
        <v>1346</v>
      </c>
      <c r="N272">
        <v>1009</v>
      </c>
      <c r="O272" t="s">
        <v>118</v>
      </c>
      <c r="P272" t="s">
        <v>118</v>
      </c>
      <c r="Q272">
        <v>1</v>
      </c>
      <c r="W272">
        <v>0</v>
      </c>
      <c r="X272">
        <v>-1526040720</v>
      </c>
      <c r="Y272">
        <v>0.36</v>
      </c>
      <c r="AA272">
        <v>11.97</v>
      </c>
      <c r="AB272">
        <v>0</v>
      </c>
      <c r="AC272">
        <v>0</v>
      </c>
      <c r="AD272">
        <v>0</v>
      </c>
      <c r="AE272">
        <v>1.94</v>
      </c>
      <c r="AF272">
        <v>0</v>
      </c>
      <c r="AG272">
        <v>0</v>
      </c>
      <c r="AH272">
        <v>0</v>
      </c>
      <c r="AI272">
        <v>6.17</v>
      </c>
      <c r="AJ272">
        <v>1</v>
      </c>
      <c r="AK272">
        <v>1</v>
      </c>
      <c r="AL272">
        <v>1</v>
      </c>
      <c r="AN272">
        <v>0</v>
      </c>
      <c r="AO272">
        <v>1</v>
      </c>
      <c r="AP272">
        <v>0</v>
      </c>
      <c r="AQ272">
        <v>0</v>
      </c>
      <c r="AR272">
        <v>0</v>
      </c>
      <c r="AS272" t="s">
        <v>6</v>
      </c>
      <c r="AT272">
        <v>0.36</v>
      </c>
      <c r="AU272" t="s">
        <v>6</v>
      </c>
      <c r="AV272">
        <v>0</v>
      </c>
      <c r="AW272">
        <v>2</v>
      </c>
      <c r="AX272">
        <v>31029314</v>
      </c>
      <c r="AY272">
        <v>1</v>
      </c>
      <c r="AZ272">
        <v>0</v>
      </c>
      <c r="BA272">
        <v>296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CX272">
        <f>Y272*Source!I161</f>
        <v>0.17063999999999999</v>
      </c>
      <c r="CY272">
        <f>AA272</f>
        <v>11.97</v>
      </c>
      <c r="CZ272">
        <f>AE272</f>
        <v>1.94</v>
      </c>
      <c r="DA272">
        <f>AI272</f>
        <v>6.17</v>
      </c>
      <c r="DB272">
        <f>ROUND(ROUND(AT272*CZ272,2),6)</f>
        <v>0.7</v>
      </c>
      <c r="DC272">
        <f>ROUND(ROUND(AT272*AG272,2),6)</f>
        <v>0</v>
      </c>
    </row>
    <row r="273" spans="1:107">
      <c r="A273">
        <f>ROW(Source!A161)</f>
        <v>161</v>
      </c>
      <c r="B273">
        <v>31028412</v>
      </c>
      <c r="C273">
        <v>31029299</v>
      </c>
      <c r="D273">
        <v>29152186</v>
      </c>
      <c r="E273">
        <v>1</v>
      </c>
      <c r="F273">
        <v>1</v>
      </c>
      <c r="G273">
        <v>1</v>
      </c>
      <c r="H273">
        <v>3</v>
      </c>
      <c r="I273" t="s">
        <v>945</v>
      </c>
      <c r="J273" t="s">
        <v>946</v>
      </c>
      <c r="K273" t="s">
        <v>947</v>
      </c>
      <c r="L273">
        <v>1348</v>
      </c>
      <c r="N273">
        <v>1009</v>
      </c>
      <c r="O273" t="s">
        <v>137</v>
      </c>
      <c r="P273" t="s">
        <v>137</v>
      </c>
      <c r="Q273">
        <v>1000</v>
      </c>
      <c r="W273">
        <v>0</v>
      </c>
      <c r="X273">
        <v>-1792658963</v>
      </c>
      <c r="Y273">
        <v>6.9000000000000006E-2</v>
      </c>
      <c r="AA273">
        <v>103671.36</v>
      </c>
      <c r="AB273">
        <v>0</v>
      </c>
      <c r="AC273">
        <v>0</v>
      </c>
      <c r="AD273">
        <v>0</v>
      </c>
      <c r="AE273">
        <v>16802.490000000002</v>
      </c>
      <c r="AF273">
        <v>0</v>
      </c>
      <c r="AG273">
        <v>0</v>
      </c>
      <c r="AH273">
        <v>0</v>
      </c>
      <c r="AI273">
        <v>6.17</v>
      </c>
      <c r="AJ273">
        <v>1</v>
      </c>
      <c r="AK273">
        <v>1</v>
      </c>
      <c r="AL273">
        <v>1</v>
      </c>
      <c r="AN273">
        <v>0</v>
      </c>
      <c r="AO273">
        <v>1</v>
      </c>
      <c r="AP273">
        <v>0</v>
      </c>
      <c r="AQ273">
        <v>0</v>
      </c>
      <c r="AR273">
        <v>0</v>
      </c>
      <c r="AS273" t="s">
        <v>6</v>
      </c>
      <c r="AT273">
        <v>6.9000000000000006E-2</v>
      </c>
      <c r="AU273" t="s">
        <v>6</v>
      </c>
      <c r="AV273">
        <v>0</v>
      </c>
      <c r="AW273">
        <v>2</v>
      </c>
      <c r="AX273">
        <v>31029315</v>
      </c>
      <c r="AY273">
        <v>1</v>
      </c>
      <c r="AZ273">
        <v>0</v>
      </c>
      <c r="BA273">
        <v>297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CX273">
        <f>Y273*Source!I161</f>
        <v>3.2705999999999999E-2</v>
      </c>
      <c r="CY273">
        <f>AA273</f>
        <v>103671.36</v>
      </c>
      <c r="CZ273">
        <f>AE273</f>
        <v>16802.490000000002</v>
      </c>
      <c r="DA273">
        <f>AI273</f>
        <v>6.17</v>
      </c>
      <c r="DB273">
        <f>ROUND(ROUND(AT273*CZ273,2),6)</f>
        <v>1159.3699999999999</v>
      </c>
      <c r="DC273">
        <f>ROUND(ROUND(AT273*AG273,2),6)</f>
        <v>0</v>
      </c>
    </row>
    <row r="274" spans="1:107">
      <c r="A274">
        <f>ROW(Source!A163)</f>
        <v>163</v>
      </c>
      <c r="B274">
        <v>31028412</v>
      </c>
      <c r="C274">
        <v>31029317</v>
      </c>
      <c r="D274">
        <v>29084594</v>
      </c>
      <c r="E274">
        <v>1</v>
      </c>
      <c r="F274">
        <v>1</v>
      </c>
      <c r="G274">
        <v>1</v>
      </c>
      <c r="H274">
        <v>1</v>
      </c>
      <c r="I274" t="s">
        <v>922</v>
      </c>
      <c r="J274" t="s">
        <v>6</v>
      </c>
      <c r="K274" t="s">
        <v>923</v>
      </c>
      <c r="L274">
        <v>1369</v>
      </c>
      <c r="N274">
        <v>1013</v>
      </c>
      <c r="O274" t="s">
        <v>773</v>
      </c>
      <c r="P274" t="s">
        <v>773</v>
      </c>
      <c r="Q274">
        <v>1</v>
      </c>
      <c r="W274">
        <v>0</v>
      </c>
      <c r="X274">
        <v>-1364176711</v>
      </c>
      <c r="Y274">
        <v>171.85887499999995</v>
      </c>
      <c r="AA274">
        <v>0</v>
      </c>
      <c r="AB274">
        <v>0</v>
      </c>
      <c r="AC274">
        <v>0</v>
      </c>
      <c r="AD274">
        <v>214.59</v>
      </c>
      <c r="AE274">
        <v>0</v>
      </c>
      <c r="AF274">
        <v>0</v>
      </c>
      <c r="AG274">
        <v>0</v>
      </c>
      <c r="AH274">
        <v>8.86</v>
      </c>
      <c r="AI274">
        <v>1</v>
      </c>
      <c r="AJ274">
        <v>1</v>
      </c>
      <c r="AK274">
        <v>1</v>
      </c>
      <c r="AL274">
        <v>24.22</v>
      </c>
      <c r="AN274">
        <v>0</v>
      </c>
      <c r="AO274">
        <v>1</v>
      </c>
      <c r="AP274">
        <v>1</v>
      </c>
      <c r="AQ274">
        <v>0</v>
      </c>
      <c r="AR274">
        <v>0</v>
      </c>
      <c r="AS274" t="s">
        <v>6</v>
      </c>
      <c r="AT274">
        <v>129.94999999999999</v>
      </c>
      <c r="AU274" t="s">
        <v>127</v>
      </c>
      <c r="AV274">
        <v>1</v>
      </c>
      <c r="AW274">
        <v>2</v>
      </c>
      <c r="AX274">
        <v>31029328</v>
      </c>
      <c r="AY274">
        <v>1</v>
      </c>
      <c r="AZ274">
        <v>0</v>
      </c>
      <c r="BA274">
        <v>298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CX274">
        <f>Y274*Source!I163</f>
        <v>242.66473149999993</v>
      </c>
      <c r="CY274">
        <f>AD274</f>
        <v>214.59</v>
      </c>
      <c r="CZ274">
        <f>AH274</f>
        <v>8.86</v>
      </c>
      <c r="DA274">
        <f>AL274</f>
        <v>24.22</v>
      </c>
      <c r="DB274">
        <f>ROUND((ROUND(AT274*CZ274,2)*ROUND((1.15*1.15),7)),6)</f>
        <v>1522.6736000000001</v>
      </c>
      <c r="DC274">
        <f>ROUND((ROUND(AT274*AG274,2)*ROUND((1.15*1.15),7)),6)</f>
        <v>0</v>
      </c>
    </row>
    <row r="275" spans="1:107">
      <c r="A275">
        <f>ROW(Source!A163)</f>
        <v>163</v>
      </c>
      <c r="B275">
        <v>31028412</v>
      </c>
      <c r="C275">
        <v>31029317</v>
      </c>
      <c r="D275">
        <v>29084573</v>
      </c>
      <c r="E275">
        <v>1</v>
      </c>
      <c r="F275">
        <v>1</v>
      </c>
      <c r="G275">
        <v>1</v>
      </c>
      <c r="H275">
        <v>1</v>
      </c>
      <c r="I275" t="s">
        <v>774</v>
      </c>
      <c r="J275" t="s">
        <v>6</v>
      </c>
      <c r="K275" t="s">
        <v>775</v>
      </c>
      <c r="L275">
        <v>608254</v>
      </c>
      <c r="N275">
        <v>1013</v>
      </c>
      <c r="O275" t="s">
        <v>776</v>
      </c>
      <c r="P275" t="s">
        <v>776</v>
      </c>
      <c r="Q275">
        <v>1</v>
      </c>
      <c r="W275">
        <v>0</v>
      </c>
      <c r="X275">
        <v>95408949</v>
      </c>
      <c r="Y275">
        <v>2.0699999999999998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1</v>
      </c>
      <c r="AJ275">
        <v>1</v>
      </c>
      <c r="AK275">
        <v>24.22</v>
      </c>
      <c r="AL275">
        <v>1</v>
      </c>
      <c r="AN275">
        <v>0</v>
      </c>
      <c r="AO275">
        <v>1</v>
      </c>
      <c r="AP275">
        <v>1</v>
      </c>
      <c r="AQ275">
        <v>0</v>
      </c>
      <c r="AR275">
        <v>0</v>
      </c>
      <c r="AS275" t="s">
        <v>6</v>
      </c>
      <c r="AT275">
        <v>1.44</v>
      </c>
      <c r="AU275" t="s">
        <v>126</v>
      </c>
      <c r="AV275">
        <v>2</v>
      </c>
      <c r="AW275">
        <v>2</v>
      </c>
      <c r="AX275">
        <v>31029329</v>
      </c>
      <c r="AY275">
        <v>1</v>
      </c>
      <c r="AZ275">
        <v>0</v>
      </c>
      <c r="BA275">
        <v>299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CX275">
        <f>Y275*Source!I163</f>
        <v>2.9228399999999994</v>
      </c>
      <c r="CY275">
        <f>AD275</f>
        <v>0</v>
      </c>
      <c r="CZ275">
        <f>AH275</f>
        <v>0</v>
      </c>
      <c r="DA275">
        <f>AL275</f>
        <v>1</v>
      </c>
      <c r="DB275">
        <f>ROUND((ROUND(AT275*CZ275,2)*ROUND((1.25*1.15),7)),6)</f>
        <v>0</v>
      </c>
      <c r="DC275">
        <f>ROUND((ROUND(AT275*AG275,2)*ROUND((1.25*1.15),7)),6)</f>
        <v>0</v>
      </c>
    </row>
    <row r="276" spans="1:107">
      <c r="A276">
        <f>ROW(Source!A163)</f>
        <v>163</v>
      </c>
      <c r="B276">
        <v>31028412</v>
      </c>
      <c r="C276">
        <v>31029317</v>
      </c>
      <c r="D276">
        <v>29147673</v>
      </c>
      <c r="E276">
        <v>1</v>
      </c>
      <c r="F276">
        <v>1</v>
      </c>
      <c r="G276">
        <v>1</v>
      </c>
      <c r="H276">
        <v>2</v>
      </c>
      <c r="I276" t="s">
        <v>924</v>
      </c>
      <c r="J276" t="s">
        <v>925</v>
      </c>
      <c r="K276" t="s">
        <v>926</v>
      </c>
      <c r="L276">
        <v>1368</v>
      </c>
      <c r="N276">
        <v>1011</v>
      </c>
      <c r="O276" t="s">
        <v>780</v>
      </c>
      <c r="P276" t="s">
        <v>780</v>
      </c>
      <c r="Q276">
        <v>1</v>
      </c>
      <c r="W276">
        <v>0</v>
      </c>
      <c r="X276">
        <v>-149788903</v>
      </c>
      <c r="Y276">
        <v>0.20125000000000001</v>
      </c>
      <c r="AA276">
        <v>0</v>
      </c>
      <c r="AB276">
        <v>748.34</v>
      </c>
      <c r="AC276">
        <v>235.18</v>
      </c>
      <c r="AD276">
        <v>0</v>
      </c>
      <c r="AE276">
        <v>0</v>
      </c>
      <c r="AF276">
        <v>97.95</v>
      </c>
      <c r="AG276">
        <v>9.7100000000000009</v>
      </c>
      <c r="AH276">
        <v>0</v>
      </c>
      <c r="AI276">
        <v>1</v>
      </c>
      <c r="AJ276">
        <v>7.64</v>
      </c>
      <c r="AK276">
        <v>24.22</v>
      </c>
      <c r="AL276">
        <v>1</v>
      </c>
      <c r="AN276">
        <v>0</v>
      </c>
      <c r="AO276">
        <v>1</v>
      </c>
      <c r="AP276">
        <v>1</v>
      </c>
      <c r="AQ276">
        <v>0</v>
      </c>
      <c r="AR276">
        <v>0</v>
      </c>
      <c r="AS276" t="s">
        <v>6</v>
      </c>
      <c r="AT276">
        <v>0.14000000000000001</v>
      </c>
      <c r="AU276" t="s">
        <v>126</v>
      </c>
      <c r="AV276">
        <v>0</v>
      </c>
      <c r="AW276">
        <v>2</v>
      </c>
      <c r="AX276">
        <v>31029330</v>
      </c>
      <c r="AY276">
        <v>1</v>
      </c>
      <c r="AZ276">
        <v>0</v>
      </c>
      <c r="BA276">
        <v>300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CX276">
        <f>Y276*Source!I163</f>
        <v>0.284165</v>
      </c>
      <c r="CY276">
        <f>AB276</f>
        <v>748.34</v>
      </c>
      <c r="CZ276">
        <f>AF276</f>
        <v>97.95</v>
      </c>
      <c r="DA276">
        <f>AJ276</f>
        <v>7.64</v>
      </c>
      <c r="DB276">
        <f>ROUND((ROUND(AT276*CZ276,2)*ROUND((1.25*1.15),7)),6)</f>
        <v>19.708124999999999</v>
      </c>
      <c r="DC276">
        <f>ROUND((ROUND(AT276*AG276,2)*ROUND((1.25*1.15),7)),6)</f>
        <v>1.9550000000000001</v>
      </c>
    </row>
    <row r="277" spans="1:107">
      <c r="A277">
        <f>ROW(Source!A163)</f>
        <v>163</v>
      </c>
      <c r="B277">
        <v>31028412</v>
      </c>
      <c r="C277">
        <v>31029317</v>
      </c>
      <c r="D277">
        <v>29147732</v>
      </c>
      <c r="E277">
        <v>1</v>
      </c>
      <c r="F277">
        <v>1</v>
      </c>
      <c r="G277">
        <v>1</v>
      </c>
      <c r="H277">
        <v>2</v>
      </c>
      <c r="I277" t="s">
        <v>846</v>
      </c>
      <c r="J277" t="s">
        <v>847</v>
      </c>
      <c r="K277" t="s">
        <v>848</v>
      </c>
      <c r="L277">
        <v>1368</v>
      </c>
      <c r="N277">
        <v>1011</v>
      </c>
      <c r="O277" t="s">
        <v>780</v>
      </c>
      <c r="P277" t="s">
        <v>780</v>
      </c>
      <c r="Q277">
        <v>1</v>
      </c>
      <c r="W277">
        <v>0</v>
      </c>
      <c r="X277">
        <v>-1205898307</v>
      </c>
      <c r="Y277">
        <v>1.8687499999999999</v>
      </c>
      <c r="AA277">
        <v>0</v>
      </c>
      <c r="AB277">
        <v>235.69</v>
      </c>
      <c r="AC277">
        <v>315.58999999999997</v>
      </c>
      <c r="AD277">
        <v>0</v>
      </c>
      <c r="AE277">
        <v>0</v>
      </c>
      <c r="AF277">
        <v>30.85</v>
      </c>
      <c r="AG277">
        <v>13.03</v>
      </c>
      <c r="AH277">
        <v>0</v>
      </c>
      <c r="AI277">
        <v>1</v>
      </c>
      <c r="AJ277">
        <v>7.64</v>
      </c>
      <c r="AK277">
        <v>24.22</v>
      </c>
      <c r="AL277">
        <v>1</v>
      </c>
      <c r="AN277">
        <v>0</v>
      </c>
      <c r="AO277">
        <v>1</v>
      </c>
      <c r="AP277">
        <v>1</v>
      </c>
      <c r="AQ277">
        <v>0</v>
      </c>
      <c r="AR277">
        <v>0</v>
      </c>
      <c r="AS277" t="s">
        <v>6</v>
      </c>
      <c r="AT277">
        <v>1.3</v>
      </c>
      <c r="AU277" t="s">
        <v>126</v>
      </c>
      <c r="AV277">
        <v>0</v>
      </c>
      <c r="AW277">
        <v>2</v>
      </c>
      <c r="AX277">
        <v>31029331</v>
      </c>
      <c r="AY277">
        <v>1</v>
      </c>
      <c r="AZ277">
        <v>0</v>
      </c>
      <c r="BA277">
        <v>301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CX277">
        <f>Y277*Source!I163</f>
        <v>2.6386749999999997</v>
      </c>
      <c r="CY277">
        <f>AB277</f>
        <v>235.69</v>
      </c>
      <c r="CZ277">
        <f>AF277</f>
        <v>30.85</v>
      </c>
      <c r="DA277">
        <f>AJ277</f>
        <v>7.64</v>
      </c>
      <c r="DB277">
        <f>ROUND((ROUND(AT277*CZ277,2)*ROUND((1.25*1.15),7)),6)</f>
        <v>57.658124999999998</v>
      </c>
      <c r="DC277">
        <f>ROUND((ROUND(AT277*AG277,2)*ROUND((1.25*1.15),7)),6)</f>
        <v>24.35125</v>
      </c>
    </row>
    <row r="278" spans="1:107">
      <c r="A278">
        <f>ROW(Source!A163)</f>
        <v>163</v>
      </c>
      <c r="B278">
        <v>31028412</v>
      </c>
      <c r="C278">
        <v>31029317</v>
      </c>
      <c r="D278">
        <v>29150545</v>
      </c>
      <c r="E278">
        <v>1</v>
      </c>
      <c r="F278">
        <v>1</v>
      </c>
      <c r="G278">
        <v>1</v>
      </c>
      <c r="H278">
        <v>3</v>
      </c>
      <c r="I278" t="s">
        <v>927</v>
      </c>
      <c r="J278" t="s">
        <v>928</v>
      </c>
      <c r="K278" t="s">
        <v>929</v>
      </c>
      <c r="L278">
        <v>1348</v>
      </c>
      <c r="N278">
        <v>1009</v>
      </c>
      <c r="O278" t="s">
        <v>137</v>
      </c>
      <c r="P278" t="s">
        <v>137</v>
      </c>
      <c r="Q278">
        <v>1000</v>
      </c>
      <c r="W278">
        <v>0</v>
      </c>
      <c r="X278">
        <v>1380755080</v>
      </c>
      <c r="Y278">
        <v>2.5000000000000001E-3</v>
      </c>
      <c r="AA278">
        <v>56802.01</v>
      </c>
      <c r="AB278">
        <v>0</v>
      </c>
      <c r="AC278">
        <v>0</v>
      </c>
      <c r="AD278">
        <v>0</v>
      </c>
      <c r="AE278">
        <v>9206.16</v>
      </c>
      <c r="AF278">
        <v>0</v>
      </c>
      <c r="AG278">
        <v>0</v>
      </c>
      <c r="AH278">
        <v>0</v>
      </c>
      <c r="AI278">
        <v>6.17</v>
      </c>
      <c r="AJ278">
        <v>1</v>
      </c>
      <c r="AK278">
        <v>1</v>
      </c>
      <c r="AL278">
        <v>1</v>
      </c>
      <c r="AN278">
        <v>0</v>
      </c>
      <c r="AO278">
        <v>1</v>
      </c>
      <c r="AP278">
        <v>0</v>
      </c>
      <c r="AQ278">
        <v>0</v>
      </c>
      <c r="AR278">
        <v>0</v>
      </c>
      <c r="AS278" t="s">
        <v>6</v>
      </c>
      <c r="AT278">
        <v>2.5000000000000001E-3</v>
      </c>
      <c r="AU278" t="s">
        <v>6</v>
      </c>
      <c r="AV278">
        <v>0</v>
      </c>
      <c r="AW278">
        <v>2</v>
      </c>
      <c r="AX278">
        <v>31029332</v>
      </c>
      <c r="AY278">
        <v>1</v>
      </c>
      <c r="AZ278">
        <v>0</v>
      </c>
      <c r="BA278">
        <v>302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CX278">
        <f>Y278*Source!I163</f>
        <v>3.5299999999999997E-3</v>
      </c>
      <c r="CY278">
        <f t="shared" ref="CY278:CY283" si="51">AA278</f>
        <v>56802.01</v>
      </c>
      <c r="CZ278">
        <f t="shared" ref="CZ278:CZ283" si="52">AE278</f>
        <v>9206.16</v>
      </c>
      <c r="DA278">
        <f t="shared" ref="DA278:DA283" si="53">AI278</f>
        <v>6.17</v>
      </c>
      <c r="DB278">
        <f t="shared" ref="DB278:DB283" si="54">ROUND(ROUND(AT278*CZ278,2),6)</f>
        <v>23.02</v>
      </c>
      <c r="DC278">
        <f t="shared" ref="DC278:DC283" si="55">ROUND(ROUND(AT278*AG278,2),6)</f>
        <v>0</v>
      </c>
    </row>
    <row r="279" spans="1:107">
      <c r="A279">
        <f>ROW(Source!A163)</f>
        <v>163</v>
      </c>
      <c r="B279">
        <v>31028412</v>
      </c>
      <c r="C279">
        <v>31029317</v>
      </c>
      <c r="D279">
        <v>29151213</v>
      </c>
      <c r="E279">
        <v>1</v>
      </c>
      <c r="F279">
        <v>1</v>
      </c>
      <c r="G279">
        <v>1</v>
      </c>
      <c r="H279">
        <v>3</v>
      </c>
      <c r="I279" t="s">
        <v>930</v>
      </c>
      <c r="J279" t="s">
        <v>931</v>
      </c>
      <c r="K279" t="s">
        <v>932</v>
      </c>
      <c r="L279">
        <v>1327</v>
      </c>
      <c r="N279">
        <v>1005</v>
      </c>
      <c r="O279" t="s">
        <v>284</v>
      </c>
      <c r="P279" t="s">
        <v>284</v>
      </c>
      <c r="Q279">
        <v>1</v>
      </c>
      <c r="W279">
        <v>0</v>
      </c>
      <c r="X279">
        <v>192456891</v>
      </c>
      <c r="Y279">
        <v>108</v>
      </c>
      <c r="AA279">
        <v>57.94</v>
      </c>
      <c r="AB279">
        <v>0</v>
      </c>
      <c r="AC279">
        <v>0</v>
      </c>
      <c r="AD279">
        <v>0</v>
      </c>
      <c r="AE279">
        <v>9.39</v>
      </c>
      <c r="AF279">
        <v>0</v>
      </c>
      <c r="AG279">
        <v>0</v>
      </c>
      <c r="AH279">
        <v>0</v>
      </c>
      <c r="AI279">
        <v>6.17</v>
      </c>
      <c r="AJ279">
        <v>1</v>
      </c>
      <c r="AK279">
        <v>1</v>
      </c>
      <c r="AL279">
        <v>1</v>
      </c>
      <c r="AN279">
        <v>0</v>
      </c>
      <c r="AO279">
        <v>1</v>
      </c>
      <c r="AP279">
        <v>0</v>
      </c>
      <c r="AQ279">
        <v>0</v>
      </c>
      <c r="AR279">
        <v>0</v>
      </c>
      <c r="AS279" t="s">
        <v>6</v>
      </c>
      <c r="AT279">
        <v>108</v>
      </c>
      <c r="AU279" t="s">
        <v>6</v>
      </c>
      <c r="AV279">
        <v>0</v>
      </c>
      <c r="AW279">
        <v>2</v>
      </c>
      <c r="AX279">
        <v>31029333</v>
      </c>
      <c r="AY279">
        <v>1</v>
      </c>
      <c r="AZ279">
        <v>0</v>
      </c>
      <c r="BA279">
        <v>303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CX279">
        <f>Y279*Source!I163</f>
        <v>152.49599999999998</v>
      </c>
      <c r="CY279">
        <f t="shared" si="51"/>
        <v>57.94</v>
      </c>
      <c r="CZ279">
        <f t="shared" si="52"/>
        <v>9.39</v>
      </c>
      <c r="DA279">
        <f t="shared" si="53"/>
        <v>6.17</v>
      </c>
      <c r="DB279">
        <f t="shared" si="54"/>
        <v>1014.12</v>
      </c>
      <c r="DC279">
        <f t="shared" si="55"/>
        <v>0</v>
      </c>
    </row>
    <row r="280" spans="1:107">
      <c r="A280">
        <f>ROW(Source!A163)</f>
        <v>163</v>
      </c>
      <c r="B280">
        <v>31028412</v>
      </c>
      <c r="C280">
        <v>31029317</v>
      </c>
      <c r="D280">
        <v>29151587</v>
      </c>
      <c r="E280">
        <v>1</v>
      </c>
      <c r="F280">
        <v>1</v>
      </c>
      <c r="G280">
        <v>1</v>
      </c>
      <c r="H280">
        <v>3</v>
      </c>
      <c r="I280" t="s">
        <v>933</v>
      </c>
      <c r="J280" t="s">
        <v>934</v>
      </c>
      <c r="K280" t="s">
        <v>935</v>
      </c>
      <c r="L280">
        <v>1348</v>
      </c>
      <c r="N280">
        <v>1009</v>
      </c>
      <c r="O280" t="s">
        <v>137</v>
      </c>
      <c r="P280" t="s">
        <v>137</v>
      </c>
      <c r="Q280">
        <v>1000</v>
      </c>
      <c r="W280">
        <v>0</v>
      </c>
      <c r="X280">
        <v>-157460125</v>
      </c>
      <c r="Y280">
        <v>1.2999999999999999E-2</v>
      </c>
      <c r="AA280">
        <v>2581.71</v>
      </c>
      <c r="AB280">
        <v>0</v>
      </c>
      <c r="AC280">
        <v>0</v>
      </c>
      <c r="AD280">
        <v>0</v>
      </c>
      <c r="AE280">
        <v>418.43</v>
      </c>
      <c r="AF280">
        <v>0</v>
      </c>
      <c r="AG280">
        <v>0</v>
      </c>
      <c r="AH280">
        <v>0</v>
      </c>
      <c r="AI280">
        <v>6.17</v>
      </c>
      <c r="AJ280">
        <v>1</v>
      </c>
      <c r="AK280">
        <v>1</v>
      </c>
      <c r="AL280">
        <v>1</v>
      </c>
      <c r="AN280">
        <v>0</v>
      </c>
      <c r="AO280">
        <v>1</v>
      </c>
      <c r="AP280">
        <v>0</v>
      </c>
      <c r="AQ280">
        <v>0</v>
      </c>
      <c r="AR280">
        <v>0</v>
      </c>
      <c r="AS280" t="s">
        <v>6</v>
      </c>
      <c r="AT280">
        <v>1.2999999999999999E-2</v>
      </c>
      <c r="AU280" t="s">
        <v>6</v>
      </c>
      <c r="AV280">
        <v>0</v>
      </c>
      <c r="AW280">
        <v>2</v>
      </c>
      <c r="AX280">
        <v>31029334</v>
      </c>
      <c r="AY280">
        <v>1</v>
      </c>
      <c r="AZ280">
        <v>0</v>
      </c>
      <c r="BA280">
        <v>304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CX280">
        <f>Y280*Source!I163</f>
        <v>1.8355999999999997E-2</v>
      </c>
      <c r="CY280">
        <f t="shared" si="51"/>
        <v>2581.71</v>
      </c>
      <c r="CZ280">
        <f t="shared" si="52"/>
        <v>418.43</v>
      </c>
      <c r="DA280">
        <f t="shared" si="53"/>
        <v>6.17</v>
      </c>
      <c r="DB280">
        <f t="shared" si="54"/>
        <v>5.44</v>
      </c>
      <c r="DC280">
        <f t="shared" si="55"/>
        <v>0</v>
      </c>
    </row>
    <row r="281" spans="1:107">
      <c r="A281">
        <f>ROW(Source!A163)</f>
        <v>163</v>
      </c>
      <c r="B281">
        <v>31028412</v>
      </c>
      <c r="C281">
        <v>31029317</v>
      </c>
      <c r="D281">
        <v>29151964</v>
      </c>
      <c r="E281">
        <v>1</v>
      </c>
      <c r="F281">
        <v>1</v>
      </c>
      <c r="G281">
        <v>1</v>
      </c>
      <c r="H281">
        <v>3</v>
      </c>
      <c r="I281" t="s">
        <v>936</v>
      </c>
      <c r="J281" t="s">
        <v>937</v>
      </c>
      <c r="K281" t="s">
        <v>938</v>
      </c>
      <c r="L281">
        <v>1346</v>
      </c>
      <c r="N281">
        <v>1009</v>
      </c>
      <c r="O281" t="s">
        <v>118</v>
      </c>
      <c r="P281" t="s">
        <v>118</v>
      </c>
      <c r="Q281">
        <v>1</v>
      </c>
      <c r="W281">
        <v>0</v>
      </c>
      <c r="X281">
        <v>-699086074</v>
      </c>
      <c r="Y281">
        <v>12</v>
      </c>
      <c r="AA281">
        <v>60.47</v>
      </c>
      <c r="AB281">
        <v>0</v>
      </c>
      <c r="AC281">
        <v>0</v>
      </c>
      <c r="AD281">
        <v>0</v>
      </c>
      <c r="AE281">
        <v>9.8000000000000007</v>
      </c>
      <c r="AF281">
        <v>0</v>
      </c>
      <c r="AG281">
        <v>0</v>
      </c>
      <c r="AH281">
        <v>0</v>
      </c>
      <c r="AI281">
        <v>6.17</v>
      </c>
      <c r="AJ281">
        <v>1</v>
      </c>
      <c r="AK281">
        <v>1</v>
      </c>
      <c r="AL281">
        <v>1</v>
      </c>
      <c r="AN281">
        <v>0</v>
      </c>
      <c r="AO281">
        <v>1</v>
      </c>
      <c r="AP281">
        <v>0</v>
      </c>
      <c r="AQ281">
        <v>0</v>
      </c>
      <c r="AR281">
        <v>0</v>
      </c>
      <c r="AS281" t="s">
        <v>6</v>
      </c>
      <c r="AT281">
        <v>12</v>
      </c>
      <c r="AU281" t="s">
        <v>6</v>
      </c>
      <c r="AV281">
        <v>0</v>
      </c>
      <c r="AW281">
        <v>2</v>
      </c>
      <c r="AX281">
        <v>31029335</v>
      </c>
      <c r="AY281">
        <v>1</v>
      </c>
      <c r="AZ281">
        <v>0</v>
      </c>
      <c r="BA281">
        <v>305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CX281">
        <f>Y281*Source!I163</f>
        <v>16.943999999999999</v>
      </c>
      <c r="CY281">
        <f t="shared" si="51"/>
        <v>60.47</v>
      </c>
      <c r="CZ281">
        <f t="shared" si="52"/>
        <v>9.8000000000000007</v>
      </c>
      <c r="DA281">
        <f t="shared" si="53"/>
        <v>6.17</v>
      </c>
      <c r="DB281">
        <f t="shared" si="54"/>
        <v>117.6</v>
      </c>
      <c r="DC281">
        <f t="shared" si="55"/>
        <v>0</v>
      </c>
    </row>
    <row r="282" spans="1:107">
      <c r="A282">
        <f>ROW(Source!A163)</f>
        <v>163</v>
      </c>
      <c r="B282">
        <v>31028412</v>
      </c>
      <c r="C282">
        <v>31029317</v>
      </c>
      <c r="D282">
        <v>29186569</v>
      </c>
      <c r="E282">
        <v>1</v>
      </c>
      <c r="F282">
        <v>1</v>
      </c>
      <c r="G282">
        <v>1</v>
      </c>
      <c r="H282">
        <v>3</v>
      </c>
      <c r="I282" t="s">
        <v>939</v>
      </c>
      <c r="J282" t="s">
        <v>940</v>
      </c>
      <c r="K282" t="s">
        <v>941</v>
      </c>
      <c r="L282">
        <v>1339</v>
      </c>
      <c r="N282">
        <v>1007</v>
      </c>
      <c r="O282" t="s">
        <v>109</v>
      </c>
      <c r="P282" t="s">
        <v>109</v>
      </c>
      <c r="Q282">
        <v>1</v>
      </c>
      <c r="W282">
        <v>0</v>
      </c>
      <c r="X282">
        <v>-913915397</v>
      </c>
      <c r="Y282">
        <v>3.1</v>
      </c>
      <c r="AA282">
        <v>2827.59</v>
      </c>
      <c r="AB282">
        <v>0</v>
      </c>
      <c r="AC282">
        <v>0</v>
      </c>
      <c r="AD282">
        <v>0</v>
      </c>
      <c r="AE282">
        <v>458.28</v>
      </c>
      <c r="AF282">
        <v>0</v>
      </c>
      <c r="AG282">
        <v>0</v>
      </c>
      <c r="AH282">
        <v>0</v>
      </c>
      <c r="AI282">
        <v>6.17</v>
      </c>
      <c r="AJ282">
        <v>1</v>
      </c>
      <c r="AK282">
        <v>1</v>
      </c>
      <c r="AL282">
        <v>1</v>
      </c>
      <c r="AN282">
        <v>0</v>
      </c>
      <c r="AO282">
        <v>1</v>
      </c>
      <c r="AP282">
        <v>0</v>
      </c>
      <c r="AQ282">
        <v>0</v>
      </c>
      <c r="AR282">
        <v>0</v>
      </c>
      <c r="AS282" t="s">
        <v>6</v>
      </c>
      <c r="AT282">
        <v>3.1</v>
      </c>
      <c r="AU282" t="s">
        <v>6</v>
      </c>
      <c r="AV282">
        <v>0</v>
      </c>
      <c r="AW282">
        <v>2</v>
      </c>
      <c r="AX282">
        <v>31029336</v>
      </c>
      <c r="AY282">
        <v>1</v>
      </c>
      <c r="AZ282">
        <v>0</v>
      </c>
      <c r="BA282">
        <v>306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CX282">
        <f>Y282*Source!I163</f>
        <v>4.3772000000000002</v>
      </c>
      <c r="CY282">
        <f t="shared" si="51"/>
        <v>2827.59</v>
      </c>
      <c r="CZ282">
        <f t="shared" si="52"/>
        <v>458.28</v>
      </c>
      <c r="DA282">
        <f t="shared" si="53"/>
        <v>6.17</v>
      </c>
      <c r="DB282">
        <f t="shared" si="54"/>
        <v>1420.67</v>
      </c>
      <c r="DC282">
        <f t="shared" si="55"/>
        <v>0</v>
      </c>
    </row>
    <row r="283" spans="1:107">
      <c r="A283">
        <f>ROW(Source!A163)</f>
        <v>163</v>
      </c>
      <c r="B283">
        <v>31028412</v>
      </c>
      <c r="C283">
        <v>31029317</v>
      </c>
      <c r="D283">
        <v>29195171</v>
      </c>
      <c r="E283">
        <v>1</v>
      </c>
      <c r="F283">
        <v>1</v>
      </c>
      <c r="G283">
        <v>1</v>
      </c>
      <c r="H283">
        <v>3</v>
      </c>
      <c r="I283" t="s">
        <v>830</v>
      </c>
      <c r="J283" t="s">
        <v>831</v>
      </c>
      <c r="K283" t="s">
        <v>832</v>
      </c>
      <c r="L283">
        <v>1339</v>
      </c>
      <c r="N283">
        <v>1007</v>
      </c>
      <c r="O283" t="s">
        <v>109</v>
      </c>
      <c r="P283" t="s">
        <v>109</v>
      </c>
      <c r="Q283">
        <v>1</v>
      </c>
      <c r="W283">
        <v>0</v>
      </c>
      <c r="X283">
        <v>2050165204</v>
      </c>
      <c r="Y283">
        <v>0.01</v>
      </c>
      <c r="AA283">
        <v>15.12</v>
      </c>
      <c r="AB283">
        <v>0</v>
      </c>
      <c r="AC283">
        <v>0</v>
      </c>
      <c r="AD283">
        <v>0</v>
      </c>
      <c r="AE283">
        <v>2.4500000000000002</v>
      </c>
      <c r="AF283">
        <v>0</v>
      </c>
      <c r="AG283">
        <v>0</v>
      </c>
      <c r="AH283">
        <v>0</v>
      </c>
      <c r="AI283">
        <v>6.17</v>
      </c>
      <c r="AJ283">
        <v>1</v>
      </c>
      <c r="AK283">
        <v>1</v>
      </c>
      <c r="AL283">
        <v>1</v>
      </c>
      <c r="AN283">
        <v>0</v>
      </c>
      <c r="AO283">
        <v>1</v>
      </c>
      <c r="AP283">
        <v>0</v>
      </c>
      <c r="AQ283">
        <v>0</v>
      </c>
      <c r="AR283">
        <v>0</v>
      </c>
      <c r="AS283" t="s">
        <v>6</v>
      </c>
      <c r="AT283">
        <v>0.01</v>
      </c>
      <c r="AU283" t="s">
        <v>6</v>
      </c>
      <c r="AV283">
        <v>0</v>
      </c>
      <c r="AW283">
        <v>2</v>
      </c>
      <c r="AX283">
        <v>31029337</v>
      </c>
      <c r="AY283">
        <v>1</v>
      </c>
      <c r="AZ283">
        <v>0</v>
      </c>
      <c r="BA283">
        <v>307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CX283">
        <f>Y283*Source!I163</f>
        <v>1.4119999999999999E-2</v>
      </c>
      <c r="CY283">
        <f t="shared" si="51"/>
        <v>15.12</v>
      </c>
      <c r="CZ283">
        <f t="shared" si="52"/>
        <v>2.4500000000000002</v>
      </c>
      <c r="DA283">
        <f t="shared" si="53"/>
        <v>6.17</v>
      </c>
      <c r="DB283">
        <f t="shared" si="54"/>
        <v>0.02</v>
      </c>
      <c r="DC283">
        <f t="shared" si="55"/>
        <v>0</v>
      </c>
    </row>
    <row r="284" spans="1:107">
      <c r="A284">
        <f>ROW(Source!A164)</f>
        <v>164</v>
      </c>
      <c r="B284">
        <v>31028412</v>
      </c>
      <c r="C284">
        <v>31029338</v>
      </c>
      <c r="D284">
        <v>29084596</v>
      </c>
      <c r="E284">
        <v>1</v>
      </c>
      <c r="F284">
        <v>1</v>
      </c>
      <c r="G284">
        <v>1</v>
      </c>
      <c r="H284">
        <v>1</v>
      </c>
      <c r="I284" t="s">
        <v>893</v>
      </c>
      <c r="J284" t="s">
        <v>6</v>
      </c>
      <c r="K284" t="s">
        <v>894</v>
      </c>
      <c r="L284">
        <v>1369</v>
      </c>
      <c r="N284">
        <v>1013</v>
      </c>
      <c r="O284" t="s">
        <v>773</v>
      </c>
      <c r="P284" t="s">
        <v>773</v>
      </c>
      <c r="Q284">
        <v>1</v>
      </c>
      <c r="W284">
        <v>0</v>
      </c>
      <c r="X284">
        <v>1607597053</v>
      </c>
      <c r="Y284">
        <v>15.856774999999997</v>
      </c>
      <c r="AA284">
        <v>0</v>
      </c>
      <c r="AB284">
        <v>0</v>
      </c>
      <c r="AC284">
        <v>0</v>
      </c>
      <c r="AD284">
        <v>222.34</v>
      </c>
      <c r="AE284">
        <v>0</v>
      </c>
      <c r="AF284">
        <v>0</v>
      </c>
      <c r="AG284">
        <v>0</v>
      </c>
      <c r="AH284">
        <v>9.18</v>
      </c>
      <c r="AI284">
        <v>1</v>
      </c>
      <c r="AJ284">
        <v>1</v>
      </c>
      <c r="AK284">
        <v>1</v>
      </c>
      <c r="AL284">
        <v>24.22</v>
      </c>
      <c r="AN284">
        <v>0</v>
      </c>
      <c r="AO284">
        <v>1</v>
      </c>
      <c r="AP284">
        <v>1</v>
      </c>
      <c r="AQ284">
        <v>0</v>
      </c>
      <c r="AR284">
        <v>0</v>
      </c>
      <c r="AS284" t="s">
        <v>6</v>
      </c>
      <c r="AT284">
        <v>11.99</v>
      </c>
      <c r="AU284" t="s">
        <v>127</v>
      </c>
      <c r="AV284">
        <v>1</v>
      </c>
      <c r="AW284">
        <v>2</v>
      </c>
      <c r="AX284">
        <v>31029346</v>
      </c>
      <c r="AY284">
        <v>1</v>
      </c>
      <c r="AZ284">
        <v>0</v>
      </c>
      <c r="BA284">
        <v>308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CX284">
        <f>Y284*Source!I164</f>
        <v>7.4843977999999982</v>
      </c>
      <c r="CY284">
        <f>AD284</f>
        <v>222.34</v>
      </c>
      <c r="CZ284">
        <f>AH284</f>
        <v>9.18</v>
      </c>
      <c r="DA284">
        <f>AL284</f>
        <v>24.22</v>
      </c>
      <c r="DB284">
        <f>ROUND((ROUND(AT284*CZ284,2)*ROUND((1.15*1.15),7)),6)</f>
        <v>145.56757500000001</v>
      </c>
      <c r="DC284">
        <f>ROUND((ROUND(AT284*AG284,2)*ROUND((1.15*1.15),7)),6)</f>
        <v>0</v>
      </c>
    </row>
    <row r="285" spans="1:107">
      <c r="A285">
        <f>ROW(Source!A164)</f>
        <v>164</v>
      </c>
      <c r="B285">
        <v>31028412</v>
      </c>
      <c r="C285">
        <v>31029338</v>
      </c>
      <c r="D285">
        <v>29084573</v>
      </c>
      <c r="E285">
        <v>1</v>
      </c>
      <c r="F285">
        <v>1</v>
      </c>
      <c r="G285">
        <v>1</v>
      </c>
      <c r="H285">
        <v>1</v>
      </c>
      <c r="I285" t="s">
        <v>774</v>
      </c>
      <c r="J285" t="s">
        <v>6</v>
      </c>
      <c r="K285" t="s">
        <v>775</v>
      </c>
      <c r="L285">
        <v>608254</v>
      </c>
      <c r="N285">
        <v>1013</v>
      </c>
      <c r="O285" t="s">
        <v>776</v>
      </c>
      <c r="P285" t="s">
        <v>776</v>
      </c>
      <c r="Q285">
        <v>1</v>
      </c>
      <c r="W285">
        <v>0</v>
      </c>
      <c r="X285">
        <v>95408949</v>
      </c>
      <c r="Y285">
        <v>1.4374999999999999E-2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1</v>
      </c>
      <c r="AJ285">
        <v>1</v>
      </c>
      <c r="AK285">
        <v>24.22</v>
      </c>
      <c r="AL285">
        <v>1</v>
      </c>
      <c r="AN285">
        <v>0</v>
      </c>
      <c r="AO285">
        <v>1</v>
      </c>
      <c r="AP285">
        <v>1</v>
      </c>
      <c r="AQ285">
        <v>0</v>
      </c>
      <c r="AR285">
        <v>0</v>
      </c>
      <c r="AS285" t="s">
        <v>6</v>
      </c>
      <c r="AT285">
        <v>0.01</v>
      </c>
      <c r="AU285" t="s">
        <v>126</v>
      </c>
      <c r="AV285">
        <v>2</v>
      </c>
      <c r="AW285">
        <v>2</v>
      </c>
      <c r="AX285">
        <v>31029347</v>
      </c>
      <c r="AY285">
        <v>1</v>
      </c>
      <c r="AZ285">
        <v>0</v>
      </c>
      <c r="BA285">
        <v>309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CX285">
        <f>Y285*Source!I164</f>
        <v>6.7849999999999994E-3</v>
      </c>
      <c r="CY285">
        <f>AD285</f>
        <v>0</v>
      </c>
      <c r="CZ285">
        <f>AH285</f>
        <v>0</v>
      </c>
      <c r="DA285">
        <f>AL285</f>
        <v>1</v>
      </c>
      <c r="DB285">
        <f>ROUND((ROUND(AT285*CZ285,2)*ROUND((1.25*1.15),7)),6)</f>
        <v>0</v>
      </c>
      <c r="DC285">
        <f>ROUND((ROUND(AT285*AG285,2)*ROUND((1.25*1.15),7)),6)</f>
        <v>0</v>
      </c>
    </row>
    <row r="286" spans="1:107">
      <c r="A286">
        <f>ROW(Source!A164)</f>
        <v>164</v>
      </c>
      <c r="B286">
        <v>31028412</v>
      </c>
      <c r="C286">
        <v>31029338</v>
      </c>
      <c r="D286">
        <v>29147732</v>
      </c>
      <c r="E286">
        <v>1</v>
      </c>
      <c r="F286">
        <v>1</v>
      </c>
      <c r="G286">
        <v>1</v>
      </c>
      <c r="H286">
        <v>2</v>
      </c>
      <c r="I286" t="s">
        <v>846</v>
      </c>
      <c r="J286" t="s">
        <v>847</v>
      </c>
      <c r="K286" t="s">
        <v>848</v>
      </c>
      <c r="L286">
        <v>1368</v>
      </c>
      <c r="N286">
        <v>1011</v>
      </c>
      <c r="O286" t="s">
        <v>780</v>
      </c>
      <c r="P286" t="s">
        <v>780</v>
      </c>
      <c r="Q286">
        <v>1</v>
      </c>
      <c r="W286">
        <v>0</v>
      </c>
      <c r="X286">
        <v>-1205898307</v>
      </c>
      <c r="Y286">
        <v>1.4374999999999999E-2</v>
      </c>
      <c r="AA286">
        <v>0</v>
      </c>
      <c r="AB286">
        <v>235.69</v>
      </c>
      <c r="AC286">
        <v>315.58999999999997</v>
      </c>
      <c r="AD286">
        <v>0</v>
      </c>
      <c r="AE286">
        <v>0</v>
      </c>
      <c r="AF286">
        <v>30.85</v>
      </c>
      <c r="AG286">
        <v>13.03</v>
      </c>
      <c r="AH286">
        <v>0</v>
      </c>
      <c r="AI286">
        <v>1</v>
      </c>
      <c r="AJ286">
        <v>7.64</v>
      </c>
      <c r="AK286">
        <v>24.22</v>
      </c>
      <c r="AL286">
        <v>1</v>
      </c>
      <c r="AN286">
        <v>0</v>
      </c>
      <c r="AO286">
        <v>1</v>
      </c>
      <c r="AP286">
        <v>1</v>
      </c>
      <c r="AQ286">
        <v>0</v>
      </c>
      <c r="AR286">
        <v>0</v>
      </c>
      <c r="AS286" t="s">
        <v>6</v>
      </c>
      <c r="AT286">
        <v>0.01</v>
      </c>
      <c r="AU286" t="s">
        <v>126</v>
      </c>
      <c r="AV286">
        <v>0</v>
      </c>
      <c r="AW286">
        <v>2</v>
      </c>
      <c r="AX286">
        <v>31029348</v>
      </c>
      <c r="AY286">
        <v>1</v>
      </c>
      <c r="AZ286">
        <v>0</v>
      </c>
      <c r="BA286">
        <v>310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CX286">
        <f>Y286*Source!I164</f>
        <v>6.7849999999999994E-3</v>
      </c>
      <c r="CY286">
        <f>AB286</f>
        <v>235.69</v>
      </c>
      <c r="CZ286">
        <f>AF286</f>
        <v>30.85</v>
      </c>
      <c r="DA286">
        <f>AJ286</f>
        <v>7.64</v>
      </c>
      <c r="DB286">
        <f>ROUND((ROUND(AT286*CZ286,2)*ROUND((1.25*1.15),7)),6)</f>
        <v>0.44562499999999999</v>
      </c>
      <c r="DC286">
        <f>ROUND((ROUND(AT286*AG286,2)*ROUND((1.25*1.15),7)),6)</f>
        <v>0.18687500000000001</v>
      </c>
    </row>
    <row r="287" spans="1:107">
      <c r="A287">
        <f>ROW(Source!A164)</f>
        <v>164</v>
      </c>
      <c r="B287">
        <v>31028412</v>
      </c>
      <c r="C287">
        <v>31029338</v>
      </c>
      <c r="D287">
        <v>29149520</v>
      </c>
      <c r="E287">
        <v>1</v>
      </c>
      <c r="F287">
        <v>1</v>
      </c>
      <c r="G287">
        <v>1</v>
      </c>
      <c r="H287">
        <v>2</v>
      </c>
      <c r="I287" t="s">
        <v>790</v>
      </c>
      <c r="J287" t="s">
        <v>791</v>
      </c>
      <c r="K287" t="s">
        <v>792</v>
      </c>
      <c r="L287">
        <v>1368</v>
      </c>
      <c r="N287">
        <v>1011</v>
      </c>
      <c r="O287" t="s">
        <v>780</v>
      </c>
      <c r="P287" t="s">
        <v>780</v>
      </c>
      <c r="Q287">
        <v>1</v>
      </c>
      <c r="W287">
        <v>0</v>
      </c>
      <c r="X287">
        <v>-1931461795</v>
      </c>
      <c r="Y287">
        <v>4.3124999999999997E-2</v>
      </c>
      <c r="AA287">
        <v>0</v>
      </c>
      <c r="AB287">
        <v>699.98</v>
      </c>
      <c r="AC287">
        <v>0</v>
      </c>
      <c r="AD287">
        <v>0</v>
      </c>
      <c r="AE287">
        <v>0</v>
      </c>
      <c r="AF287">
        <v>91.62</v>
      </c>
      <c r="AG287">
        <v>0</v>
      </c>
      <c r="AH287">
        <v>0</v>
      </c>
      <c r="AI287">
        <v>1</v>
      </c>
      <c r="AJ287">
        <v>7.64</v>
      </c>
      <c r="AK287">
        <v>24.22</v>
      </c>
      <c r="AL287">
        <v>1</v>
      </c>
      <c r="AN287">
        <v>0</v>
      </c>
      <c r="AO287">
        <v>1</v>
      </c>
      <c r="AP287">
        <v>1</v>
      </c>
      <c r="AQ287">
        <v>0</v>
      </c>
      <c r="AR287">
        <v>0</v>
      </c>
      <c r="AS287" t="s">
        <v>6</v>
      </c>
      <c r="AT287">
        <v>0.03</v>
      </c>
      <c r="AU287" t="s">
        <v>126</v>
      </c>
      <c r="AV287">
        <v>0</v>
      </c>
      <c r="AW287">
        <v>2</v>
      </c>
      <c r="AX287">
        <v>31029349</v>
      </c>
      <c r="AY287">
        <v>1</v>
      </c>
      <c r="AZ287">
        <v>0</v>
      </c>
      <c r="BA287">
        <v>311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CX287">
        <f>Y287*Source!I164</f>
        <v>2.0354999999999998E-2</v>
      </c>
      <c r="CY287">
        <f>AB287</f>
        <v>699.98</v>
      </c>
      <c r="CZ287">
        <f>AF287</f>
        <v>91.62</v>
      </c>
      <c r="DA287">
        <f>AJ287</f>
        <v>7.64</v>
      </c>
      <c r="DB287">
        <f>ROUND((ROUND(AT287*CZ287,2)*ROUND((1.25*1.15),7)),6)</f>
        <v>3.953125</v>
      </c>
      <c r="DC287">
        <f>ROUND((ROUND(AT287*AG287,2)*ROUND((1.25*1.15),7)),6)</f>
        <v>0</v>
      </c>
    </row>
    <row r="288" spans="1:107">
      <c r="A288">
        <f>ROW(Source!A164)</f>
        <v>164</v>
      </c>
      <c r="B288">
        <v>31028412</v>
      </c>
      <c r="C288">
        <v>31029338</v>
      </c>
      <c r="D288">
        <v>29151861</v>
      </c>
      <c r="E288">
        <v>1</v>
      </c>
      <c r="F288">
        <v>1</v>
      </c>
      <c r="G288">
        <v>1</v>
      </c>
      <c r="H288">
        <v>3</v>
      </c>
      <c r="I288" t="s">
        <v>835</v>
      </c>
      <c r="J288" t="s">
        <v>836</v>
      </c>
      <c r="K288" t="s">
        <v>837</v>
      </c>
      <c r="L288">
        <v>1327</v>
      </c>
      <c r="N288">
        <v>1005</v>
      </c>
      <c r="O288" t="s">
        <v>284</v>
      </c>
      <c r="P288" t="s">
        <v>284</v>
      </c>
      <c r="Q288">
        <v>1</v>
      </c>
      <c r="W288">
        <v>0</v>
      </c>
      <c r="X288">
        <v>1527270933</v>
      </c>
      <c r="Y288">
        <v>4.4000000000000004</v>
      </c>
      <c r="AA288">
        <v>452.82</v>
      </c>
      <c r="AB288">
        <v>0</v>
      </c>
      <c r="AC288">
        <v>0</v>
      </c>
      <c r="AD288">
        <v>0</v>
      </c>
      <c r="AE288">
        <v>73.39</v>
      </c>
      <c r="AF288">
        <v>0</v>
      </c>
      <c r="AG288">
        <v>0</v>
      </c>
      <c r="AH288">
        <v>0</v>
      </c>
      <c r="AI288">
        <v>6.17</v>
      </c>
      <c r="AJ288">
        <v>1</v>
      </c>
      <c r="AK288">
        <v>1</v>
      </c>
      <c r="AL288">
        <v>1</v>
      </c>
      <c r="AN288">
        <v>0</v>
      </c>
      <c r="AO288">
        <v>1</v>
      </c>
      <c r="AP288">
        <v>0</v>
      </c>
      <c r="AQ288">
        <v>0</v>
      </c>
      <c r="AR288">
        <v>0</v>
      </c>
      <c r="AS288" t="s">
        <v>6</v>
      </c>
      <c r="AT288">
        <v>4.4000000000000004</v>
      </c>
      <c r="AU288" t="s">
        <v>6</v>
      </c>
      <c r="AV288">
        <v>0</v>
      </c>
      <c r="AW288">
        <v>2</v>
      </c>
      <c r="AX288">
        <v>31029350</v>
      </c>
      <c r="AY288">
        <v>1</v>
      </c>
      <c r="AZ288">
        <v>0</v>
      </c>
      <c r="BA288">
        <v>312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CX288">
        <f>Y288*Source!I164</f>
        <v>2.0768</v>
      </c>
      <c r="CY288">
        <f>AA288</f>
        <v>452.82</v>
      </c>
      <c r="CZ288">
        <f>AE288</f>
        <v>73.39</v>
      </c>
      <c r="DA288">
        <f>AI288</f>
        <v>6.17</v>
      </c>
      <c r="DB288">
        <f>ROUND(ROUND(AT288*CZ288,2),6)</f>
        <v>322.92</v>
      </c>
      <c r="DC288">
        <f>ROUND(ROUND(AT288*AG288,2),6)</f>
        <v>0</v>
      </c>
    </row>
    <row r="289" spans="1:107">
      <c r="A289">
        <f>ROW(Source!A164)</f>
        <v>164</v>
      </c>
      <c r="B289">
        <v>31028412</v>
      </c>
      <c r="C289">
        <v>31029338</v>
      </c>
      <c r="D289">
        <v>29151929</v>
      </c>
      <c r="E289">
        <v>1</v>
      </c>
      <c r="F289">
        <v>1</v>
      </c>
      <c r="G289">
        <v>1</v>
      </c>
      <c r="H289">
        <v>3</v>
      </c>
      <c r="I289" t="s">
        <v>914</v>
      </c>
      <c r="J289" t="s">
        <v>915</v>
      </c>
      <c r="K289" t="s">
        <v>916</v>
      </c>
      <c r="L289">
        <v>1348</v>
      </c>
      <c r="N289">
        <v>1009</v>
      </c>
      <c r="O289" t="s">
        <v>137</v>
      </c>
      <c r="P289" t="s">
        <v>137</v>
      </c>
      <c r="Q289">
        <v>1000</v>
      </c>
      <c r="W289">
        <v>0</v>
      </c>
      <c r="X289">
        <v>-706211403</v>
      </c>
      <c r="Y289">
        <v>2.9000000000000001E-2</v>
      </c>
      <c r="AA289">
        <v>19447.53</v>
      </c>
      <c r="AB289">
        <v>0</v>
      </c>
      <c r="AC289">
        <v>0</v>
      </c>
      <c r="AD289">
        <v>0</v>
      </c>
      <c r="AE289">
        <v>3151.95</v>
      </c>
      <c r="AF289">
        <v>0</v>
      </c>
      <c r="AG289">
        <v>0</v>
      </c>
      <c r="AH289">
        <v>0</v>
      </c>
      <c r="AI289">
        <v>6.17</v>
      </c>
      <c r="AJ289">
        <v>1</v>
      </c>
      <c r="AK289">
        <v>1</v>
      </c>
      <c r="AL289">
        <v>1</v>
      </c>
      <c r="AN289">
        <v>0</v>
      </c>
      <c r="AO289">
        <v>1</v>
      </c>
      <c r="AP289">
        <v>0</v>
      </c>
      <c r="AQ289">
        <v>0</v>
      </c>
      <c r="AR289">
        <v>0</v>
      </c>
      <c r="AS289" t="s">
        <v>6</v>
      </c>
      <c r="AT289">
        <v>2.9000000000000001E-2</v>
      </c>
      <c r="AU289" t="s">
        <v>6</v>
      </c>
      <c r="AV289">
        <v>0</v>
      </c>
      <c r="AW289">
        <v>2</v>
      </c>
      <c r="AX289">
        <v>31029351</v>
      </c>
      <c r="AY289">
        <v>1</v>
      </c>
      <c r="AZ289">
        <v>0</v>
      </c>
      <c r="BA289">
        <v>313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CX289">
        <f>Y289*Source!I164</f>
        <v>1.3688000000000001E-2</v>
      </c>
      <c r="CY289">
        <f>AA289</f>
        <v>19447.53</v>
      </c>
      <c r="CZ289">
        <f>AE289</f>
        <v>3151.95</v>
      </c>
      <c r="DA289">
        <f>AI289</f>
        <v>6.17</v>
      </c>
      <c r="DB289">
        <f>ROUND(ROUND(AT289*CZ289,2),6)</f>
        <v>91.41</v>
      </c>
      <c r="DC289">
        <f>ROUND(ROUND(AT289*AG289,2),6)</f>
        <v>0</v>
      </c>
    </row>
    <row r="290" spans="1:107">
      <c r="A290">
        <f>ROW(Source!A164)</f>
        <v>164</v>
      </c>
      <c r="B290">
        <v>31028412</v>
      </c>
      <c r="C290">
        <v>31029338</v>
      </c>
      <c r="D290">
        <v>29152014</v>
      </c>
      <c r="E290">
        <v>1</v>
      </c>
      <c r="F290">
        <v>1</v>
      </c>
      <c r="G290">
        <v>1</v>
      </c>
      <c r="H290">
        <v>3</v>
      </c>
      <c r="I290" t="s">
        <v>838</v>
      </c>
      <c r="J290" t="s">
        <v>839</v>
      </c>
      <c r="K290" t="s">
        <v>840</v>
      </c>
      <c r="L290">
        <v>1346</v>
      </c>
      <c r="N290">
        <v>1009</v>
      </c>
      <c r="O290" t="s">
        <v>118</v>
      </c>
      <c r="P290" t="s">
        <v>118</v>
      </c>
      <c r="Q290">
        <v>1</v>
      </c>
      <c r="W290">
        <v>0</v>
      </c>
      <c r="X290">
        <v>-1526040720</v>
      </c>
      <c r="Y290">
        <v>0.15</v>
      </c>
      <c r="AA290">
        <v>11.97</v>
      </c>
      <c r="AB290">
        <v>0</v>
      </c>
      <c r="AC290">
        <v>0</v>
      </c>
      <c r="AD290">
        <v>0</v>
      </c>
      <c r="AE290">
        <v>1.94</v>
      </c>
      <c r="AF290">
        <v>0</v>
      </c>
      <c r="AG290">
        <v>0</v>
      </c>
      <c r="AH290">
        <v>0</v>
      </c>
      <c r="AI290">
        <v>6.17</v>
      </c>
      <c r="AJ290">
        <v>1</v>
      </c>
      <c r="AK290">
        <v>1</v>
      </c>
      <c r="AL290">
        <v>1</v>
      </c>
      <c r="AN290">
        <v>0</v>
      </c>
      <c r="AO290">
        <v>1</v>
      </c>
      <c r="AP290">
        <v>0</v>
      </c>
      <c r="AQ290">
        <v>0</v>
      </c>
      <c r="AR290">
        <v>0</v>
      </c>
      <c r="AS290" t="s">
        <v>6</v>
      </c>
      <c r="AT290">
        <v>0.15</v>
      </c>
      <c r="AU290" t="s">
        <v>6</v>
      </c>
      <c r="AV290">
        <v>0</v>
      </c>
      <c r="AW290">
        <v>2</v>
      </c>
      <c r="AX290">
        <v>31029352</v>
      </c>
      <c r="AY290">
        <v>1</v>
      </c>
      <c r="AZ290">
        <v>0</v>
      </c>
      <c r="BA290">
        <v>314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CX290">
        <f>Y290*Source!I164</f>
        <v>7.0799999999999988E-2</v>
      </c>
      <c r="CY290">
        <f>AA290</f>
        <v>11.97</v>
      </c>
      <c r="CZ290">
        <f>AE290</f>
        <v>1.94</v>
      </c>
      <c r="DA290">
        <f>AI290</f>
        <v>6.17</v>
      </c>
      <c r="DB290">
        <f>ROUND(ROUND(AT290*CZ290,2),6)</f>
        <v>0.28999999999999998</v>
      </c>
      <c r="DC290">
        <f>ROUND(ROUND(AT290*AG290,2),6)</f>
        <v>0</v>
      </c>
    </row>
    <row r="291" spans="1:107">
      <c r="A291">
        <f>ROW(Source!A165)</f>
        <v>165</v>
      </c>
      <c r="B291">
        <v>31028412</v>
      </c>
      <c r="C291">
        <v>31029353</v>
      </c>
      <c r="D291">
        <v>29084594</v>
      </c>
      <c r="E291">
        <v>1</v>
      </c>
      <c r="F291">
        <v>1</v>
      </c>
      <c r="G291">
        <v>1</v>
      </c>
      <c r="H291">
        <v>1</v>
      </c>
      <c r="I291" t="s">
        <v>922</v>
      </c>
      <c r="J291" t="s">
        <v>6</v>
      </c>
      <c r="K291" t="s">
        <v>923</v>
      </c>
      <c r="L291">
        <v>1369</v>
      </c>
      <c r="N291">
        <v>1013</v>
      </c>
      <c r="O291" t="s">
        <v>773</v>
      </c>
      <c r="P291" t="s">
        <v>773</v>
      </c>
      <c r="Q291">
        <v>1</v>
      </c>
      <c r="W291">
        <v>0</v>
      </c>
      <c r="X291">
        <v>-1364176711</v>
      </c>
      <c r="Y291">
        <v>211.16357499999995</v>
      </c>
      <c r="AA291">
        <v>0</v>
      </c>
      <c r="AB291">
        <v>0</v>
      </c>
      <c r="AC291">
        <v>0</v>
      </c>
      <c r="AD291">
        <v>214.59</v>
      </c>
      <c r="AE291">
        <v>0</v>
      </c>
      <c r="AF291">
        <v>0</v>
      </c>
      <c r="AG291">
        <v>0</v>
      </c>
      <c r="AH291">
        <v>8.86</v>
      </c>
      <c r="AI291">
        <v>1</v>
      </c>
      <c r="AJ291">
        <v>1</v>
      </c>
      <c r="AK291">
        <v>1</v>
      </c>
      <c r="AL291">
        <v>24.22</v>
      </c>
      <c r="AN291">
        <v>0</v>
      </c>
      <c r="AO291">
        <v>1</v>
      </c>
      <c r="AP291">
        <v>1</v>
      </c>
      <c r="AQ291">
        <v>0</v>
      </c>
      <c r="AR291">
        <v>0</v>
      </c>
      <c r="AS291" t="s">
        <v>6</v>
      </c>
      <c r="AT291">
        <v>159.66999999999999</v>
      </c>
      <c r="AU291" t="s">
        <v>127</v>
      </c>
      <c r="AV291">
        <v>1</v>
      </c>
      <c r="AW291">
        <v>2</v>
      </c>
      <c r="AX291">
        <v>31029364</v>
      </c>
      <c r="AY291">
        <v>1</v>
      </c>
      <c r="AZ291">
        <v>0</v>
      </c>
      <c r="BA291">
        <v>315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CX291">
        <f>Y291*Source!I165</f>
        <v>198.49376049999995</v>
      </c>
      <c r="CY291">
        <f>AD291</f>
        <v>214.59</v>
      </c>
      <c r="CZ291">
        <f>AH291</f>
        <v>8.86</v>
      </c>
      <c r="DA291">
        <f>AL291</f>
        <v>24.22</v>
      </c>
      <c r="DB291">
        <f>ROUND((ROUND(AT291*CZ291,2)*ROUND((1.15*1.15),7)),6)</f>
        <v>1870.9142999999999</v>
      </c>
      <c r="DC291">
        <f>ROUND((ROUND(AT291*AG291,2)*ROUND((1.15*1.15),7)),6)</f>
        <v>0</v>
      </c>
    </row>
    <row r="292" spans="1:107">
      <c r="A292">
        <f>ROW(Source!A165)</f>
        <v>165</v>
      </c>
      <c r="B292">
        <v>31028412</v>
      </c>
      <c r="C292">
        <v>31029353</v>
      </c>
      <c r="D292">
        <v>29084573</v>
      </c>
      <c r="E292">
        <v>1</v>
      </c>
      <c r="F292">
        <v>1</v>
      </c>
      <c r="G292">
        <v>1</v>
      </c>
      <c r="H292">
        <v>1</v>
      </c>
      <c r="I292" t="s">
        <v>774</v>
      </c>
      <c r="J292" t="s">
        <v>6</v>
      </c>
      <c r="K292" t="s">
        <v>775</v>
      </c>
      <c r="L292">
        <v>608254</v>
      </c>
      <c r="N292">
        <v>1013</v>
      </c>
      <c r="O292" t="s">
        <v>776</v>
      </c>
      <c r="P292" t="s">
        <v>776</v>
      </c>
      <c r="Q292">
        <v>1</v>
      </c>
      <c r="W292">
        <v>0</v>
      </c>
      <c r="X292">
        <v>95408949</v>
      </c>
      <c r="Y292">
        <v>2.3718749999999997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1</v>
      </c>
      <c r="AJ292">
        <v>1</v>
      </c>
      <c r="AK292">
        <v>24.22</v>
      </c>
      <c r="AL292">
        <v>1</v>
      </c>
      <c r="AN292">
        <v>0</v>
      </c>
      <c r="AO292">
        <v>1</v>
      </c>
      <c r="AP292">
        <v>1</v>
      </c>
      <c r="AQ292">
        <v>0</v>
      </c>
      <c r="AR292">
        <v>0</v>
      </c>
      <c r="AS292" t="s">
        <v>6</v>
      </c>
      <c r="AT292">
        <v>1.65</v>
      </c>
      <c r="AU292" t="s">
        <v>126</v>
      </c>
      <c r="AV292">
        <v>2</v>
      </c>
      <c r="AW292">
        <v>2</v>
      </c>
      <c r="AX292">
        <v>31029365</v>
      </c>
      <c r="AY292">
        <v>1</v>
      </c>
      <c r="AZ292">
        <v>0</v>
      </c>
      <c r="BA292">
        <v>316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CX292">
        <f>Y292*Source!I165</f>
        <v>2.2295624999999997</v>
      </c>
      <c r="CY292">
        <f>AD292</f>
        <v>0</v>
      </c>
      <c r="CZ292">
        <f>AH292</f>
        <v>0</v>
      </c>
      <c r="DA292">
        <f>AL292</f>
        <v>1</v>
      </c>
      <c r="DB292">
        <f>ROUND((ROUND(AT292*CZ292,2)*ROUND((1.25*1.15),7)),6)</f>
        <v>0</v>
      </c>
      <c r="DC292">
        <f>ROUND((ROUND(AT292*AG292,2)*ROUND((1.25*1.15),7)),6)</f>
        <v>0</v>
      </c>
    </row>
    <row r="293" spans="1:107">
      <c r="A293">
        <f>ROW(Source!A165)</f>
        <v>165</v>
      </c>
      <c r="B293">
        <v>31028412</v>
      </c>
      <c r="C293">
        <v>31029353</v>
      </c>
      <c r="D293">
        <v>29147673</v>
      </c>
      <c r="E293">
        <v>1</v>
      </c>
      <c r="F293">
        <v>1</v>
      </c>
      <c r="G293">
        <v>1</v>
      </c>
      <c r="H293">
        <v>2</v>
      </c>
      <c r="I293" t="s">
        <v>924</v>
      </c>
      <c r="J293" t="s">
        <v>925</v>
      </c>
      <c r="K293" t="s">
        <v>926</v>
      </c>
      <c r="L293">
        <v>1368</v>
      </c>
      <c r="N293">
        <v>1011</v>
      </c>
      <c r="O293" t="s">
        <v>780</v>
      </c>
      <c r="P293" t="s">
        <v>780</v>
      </c>
      <c r="Q293">
        <v>1</v>
      </c>
      <c r="W293">
        <v>0</v>
      </c>
      <c r="X293">
        <v>-149788903</v>
      </c>
      <c r="Y293">
        <v>0.11499999999999999</v>
      </c>
      <c r="AA293">
        <v>0</v>
      </c>
      <c r="AB293">
        <v>748.34</v>
      </c>
      <c r="AC293">
        <v>235.18</v>
      </c>
      <c r="AD293">
        <v>0</v>
      </c>
      <c r="AE293">
        <v>0</v>
      </c>
      <c r="AF293">
        <v>97.95</v>
      </c>
      <c r="AG293">
        <v>9.7100000000000009</v>
      </c>
      <c r="AH293">
        <v>0</v>
      </c>
      <c r="AI293">
        <v>1</v>
      </c>
      <c r="AJ293">
        <v>7.64</v>
      </c>
      <c r="AK293">
        <v>24.22</v>
      </c>
      <c r="AL293">
        <v>1</v>
      </c>
      <c r="AN293">
        <v>0</v>
      </c>
      <c r="AO293">
        <v>1</v>
      </c>
      <c r="AP293">
        <v>1</v>
      </c>
      <c r="AQ293">
        <v>0</v>
      </c>
      <c r="AR293">
        <v>0</v>
      </c>
      <c r="AS293" t="s">
        <v>6</v>
      </c>
      <c r="AT293">
        <v>0.08</v>
      </c>
      <c r="AU293" t="s">
        <v>126</v>
      </c>
      <c r="AV293">
        <v>0</v>
      </c>
      <c r="AW293">
        <v>2</v>
      </c>
      <c r="AX293">
        <v>31029366</v>
      </c>
      <c r="AY293">
        <v>1</v>
      </c>
      <c r="AZ293">
        <v>0</v>
      </c>
      <c r="BA293">
        <v>317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CX293">
        <f>Y293*Source!I165</f>
        <v>0.10809999999999999</v>
      </c>
      <c r="CY293">
        <f>AB293</f>
        <v>748.34</v>
      </c>
      <c r="CZ293">
        <f>AF293</f>
        <v>97.95</v>
      </c>
      <c r="DA293">
        <f>AJ293</f>
        <v>7.64</v>
      </c>
      <c r="DB293">
        <f>ROUND((ROUND(AT293*CZ293,2)*ROUND((1.25*1.15),7)),6)</f>
        <v>11.27</v>
      </c>
      <c r="DC293">
        <f>ROUND((ROUND(AT293*AG293,2)*ROUND((1.25*1.15),7)),6)</f>
        <v>1.1212500000000001</v>
      </c>
    </row>
    <row r="294" spans="1:107">
      <c r="A294">
        <f>ROW(Source!A165)</f>
        <v>165</v>
      </c>
      <c r="B294">
        <v>31028412</v>
      </c>
      <c r="C294">
        <v>31029353</v>
      </c>
      <c r="D294">
        <v>29147732</v>
      </c>
      <c r="E294">
        <v>1</v>
      </c>
      <c r="F294">
        <v>1</v>
      </c>
      <c r="G294">
        <v>1</v>
      </c>
      <c r="H294">
        <v>2</v>
      </c>
      <c r="I294" t="s">
        <v>846</v>
      </c>
      <c r="J294" t="s">
        <v>847</v>
      </c>
      <c r="K294" t="s">
        <v>848</v>
      </c>
      <c r="L294">
        <v>1368</v>
      </c>
      <c r="N294">
        <v>1011</v>
      </c>
      <c r="O294" t="s">
        <v>780</v>
      </c>
      <c r="P294" t="s">
        <v>780</v>
      </c>
      <c r="Q294">
        <v>1</v>
      </c>
      <c r="W294">
        <v>0</v>
      </c>
      <c r="X294">
        <v>-1205898307</v>
      </c>
      <c r="Y294">
        <v>0.388125</v>
      </c>
      <c r="AA294">
        <v>0</v>
      </c>
      <c r="AB294">
        <v>235.69</v>
      </c>
      <c r="AC294">
        <v>315.58999999999997</v>
      </c>
      <c r="AD294">
        <v>0</v>
      </c>
      <c r="AE294">
        <v>0</v>
      </c>
      <c r="AF294">
        <v>30.85</v>
      </c>
      <c r="AG294">
        <v>13.03</v>
      </c>
      <c r="AH294">
        <v>0</v>
      </c>
      <c r="AI294">
        <v>1</v>
      </c>
      <c r="AJ294">
        <v>7.64</v>
      </c>
      <c r="AK294">
        <v>24.22</v>
      </c>
      <c r="AL294">
        <v>1</v>
      </c>
      <c r="AN294">
        <v>0</v>
      </c>
      <c r="AO294">
        <v>1</v>
      </c>
      <c r="AP294">
        <v>1</v>
      </c>
      <c r="AQ294">
        <v>0</v>
      </c>
      <c r="AR294">
        <v>0</v>
      </c>
      <c r="AS294" t="s">
        <v>6</v>
      </c>
      <c r="AT294">
        <v>0.27</v>
      </c>
      <c r="AU294" t="s">
        <v>126</v>
      </c>
      <c r="AV294">
        <v>0</v>
      </c>
      <c r="AW294">
        <v>2</v>
      </c>
      <c r="AX294">
        <v>31029367</v>
      </c>
      <c r="AY294">
        <v>1</v>
      </c>
      <c r="AZ294">
        <v>0</v>
      </c>
      <c r="BA294">
        <v>318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CX294">
        <f>Y294*Source!I165</f>
        <v>0.36483749999999998</v>
      </c>
      <c r="CY294">
        <f>AB294</f>
        <v>235.69</v>
      </c>
      <c r="CZ294">
        <f>AF294</f>
        <v>30.85</v>
      </c>
      <c r="DA294">
        <f>AJ294</f>
        <v>7.64</v>
      </c>
      <c r="DB294">
        <f>ROUND((ROUND(AT294*CZ294,2)*ROUND((1.25*1.15),7)),6)</f>
        <v>11.974375</v>
      </c>
      <c r="DC294">
        <f>ROUND((ROUND(AT294*AG294,2)*ROUND((1.25*1.15),7)),6)</f>
        <v>5.0599999999999996</v>
      </c>
    </row>
    <row r="295" spans="1:107">
      <c r="A295">
        <f>ROW(Source!A165)</f>
        <v>165</v>
      </c>
      <c r="B295">
        <v>31028412</v>
      </c>
      <c r="C295">
        <v>31029353</v>
      </c>
      <c r="D295">
        <v>29148135</v>
      </c>
      <c r="E295">
        <v>1</v>
      </c>
      <c r="F295">
        <v>1</v>
      </c>
      <c r="G295">
        <v>1</v>
      </c>
      <c r="H295">
        <v>2</v>
      </c>
      <c r="I295" t="s">
        <v>948</v>
      </c>
      <c r="J295" t="s">
        <v>949</v>
      </c>
      <c r="K295" t="s">
        <v>950</v>
      </c>
      <c r="L295">
        <v>1368</v>
      </c>
      <c r="N295">
        <v>1011</v>
      </c>
      <c r="O295" t="s">
        <v>780</v>
      </c>
      <c r="P295" t="s">
        <v>780</v>
      </c>
      <c r="Q295">
        <v>1</v>
      </c>
      <c r="W295">
        <v>0</v>
      </c>
      <c r="X295">
        <v>-1933209150</v>
      </c>
      <c r="Y295">
        <v>1.8687499999999999</v>
      </c>
      <c r="AA295">
        <v>0</v>
      </c>
      <c r="AB295">
        <v>91.99</v>
      </c>
      <c r="AC295">
        <v>235.18</v>
      </c>
      <c r="AD295">
        <v>0</v>
      </c>
      <c r="AE295">
        <v>0</v>
      </c>
      <c r="AF295">
        <v>12.04</v>
      </c>
      <c r="AG295">
        <v>9.7100000000000009</v>
      </c>
      <c r="AH295">
        <v>0</v>
      </c>
      <c r="AI295">
        <v>1</v>
      </c>
      <c r="AJ295">
        <v>7.64</v>
      </c>
      <c r="AK295">
        <v>24.22</v>
      </c>
      <c r="AL295">
        <v>1</v>
      </c>
      <c r="AN295">
        <v>0</v>
      </c>
      <c r="AO295">
        <v>1</v>
      </c>
      <c r="AP295">
        <v>1</v>
      </c>
      <c r="AQ295">
        <v>0</v>
      </c>
      <c r="AR295">
        <v>0</v>
      </c>
      <c r="AS295" t="s">
        <v>6</v>
      </c>
      <c r="AT295">
        <v>1.3</v>
      </c>
      <c r="AU295" t="s">
        <v>126</v>
      </c>
      <c r="AV295">
        <v>0</v>
      </c>
      <c r="AW295">
        <v>2</v>
      </c>
      <c r="AX295">
        <v>31029368</v>
      </c>
      <c r="AY295">
        <v>1</v>
      </c>
      <c r="AZ295">
        <v>0</v>
      </c>
      <c r="BA295">
        <v>319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CX295">
        <f>Y295*Source!I165</f>
        <v>1.7566249999999999</v>
      </c>
      <c r="CY295">
        <f>AB295</f>
        <v>91.99</v>
      </c>
      <c r="CZ295">
        <f>AF295</f>
        <v>12.04</v>
      </c>
      <c r="DA295">
        <f>AJ295</f>
        <v>7.64</v>
      </c>
      <c r="DB295">
        <f>ROUND((ROUND(AT295*CZ295,2)*ROUND((1.25*1.15),7)),6)</f>
        <v>22.496874999999999</v>
      </c>
      <c r="DC295">
        <f>ROUND((ROUND(AT295*AG295,2)*ROUND((1.25*1.15),7)),6)</f>
        <v>18.141249999999999</v>
      </c>
    </row>
    <row r="296" spans="1:107">
      <c r="A296">
        <f>ROW(Source!A165)</f>
        <v>165</v>
      </c>
      <c r="B296">
        <v>31028412</v>
      </c>
      <c r="C296">
        <v>31029353</v>
      </c>
      <c r="D296">
        <v>29150615</v>
      </c>
      <c r="E296">
        <v>1</v>
      </c>
      <c r="F296">
        <v>1</v>
      </c>
      <c r="G296">
        <v>1</v>
      </c>
      <c r="H296">
        <v>3</v>
      </c>
      <c r="I296" t="s">
        <v>951</v>
      </c>
      <c r="J296" t="s">
        <v>952</v>
      </c>
      <c r="K296" t="s">
        <v>953</v>
      </c>
      <c r="L296">
        <v>1327</v>
      </c>
      <c r="N296">
        <v>1005</v>
      </c>
      <c r="O296" t="s">
        <v>284</v>
      </c>
      <c r="P296" t="s">
        <v>284</v>
      </c>
      <c r="Q296">
        <v>1</v>
      </c>
      <c r="W296">
        <v>0</v>
      </c>
      <c r="X296">
        <v>393653988</v>
      </c>
      <c r="Y296">
        <v>100</v>
      </c>
      <c r="AA296">
        <v>450.22</v>
      </c>
      <c r="AB296">
        <v>0</v>
      </c>
      <c r="AC296">
        <v>0</v>
      </c>
      <c r="AD296">
        <v>0</v>
      </c>
      <c r="AE296">
        <v>72.97</v>
      </c>
      <c r="AF296">
        <v>0</v>
      </c>
      <c r="AG296">
        <v>0</v>
      </c>
      <c r="AH296">
        <v>0</v>
      </c>
      <c r="AI296">
        <v>6.17</v>
      </c>
      <c r="AJ296">
        <v>1</v>
      </c>
      <c r="AK296">
        <v>1</v>
      </c>
      <c r="AL296">
        <v>1</v>
      </c>
      <c r="AN296">
        <v>0</v>
      </c>
      <c r="AO296">
        <v>1</v>
      </c>
      <c r="AP296">
        <v>0</v>
      </c>
      <c r="AQ296">
        <v>0</v>
      </c>
      <c r="AR296">
        <v>0</v>
      </c>
      <c r="AS296" t="s">
        <v>6</v>
      </c>
      <c r="AT296">
        <v>100</v>
      </c>
      <c r="AU296" t="s">
        <v>6</v>
      </c>
      <c r="AV296">
        <v>0</v>
      </c>
      <c r="AW296">
        <v>2</v>
      </c>
      <c r="AX296">
        <v>31029369</v>
      </c>
      <c r="AY296">
        <v>1</v>
      </c>
      <c r="AZ296">
        <v>0</v>
      </c>
      <c r="BA296">
        <v>320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CX296">
        <f>Y296*Source!I165</f>
        <v>94</v>
      </c>
      <c r="CY296">
        <f>AA296</f>
        <v>450.22</v>
      </c>
      <c r="CZ296">
        <f>AE296</f>
        <v>72.97</v>
      </c>
      <c r="DA296">
        <f>AI296</f>
        <v>6.17</v>
      </c>
      <c r="DB296">
        <f>ROUND(ROUND(AT296*CZ296,2),6)</f>
        <v>7297</v>
      </c>
      <c r="DC296">
        <f>ROUND(ROUND(AT296*AG296,2),6)</f>
        <v>0</v>
      </c>
    </row>
    <row r="297" spans="1:107">
      <c r="A297">
        <f>ROW(Source!A165)</f>
        <v>165</v>
      </c>
      <c r="B297">
        <v>31028412</v>
      </c>
      <c r="C297">
        <v>31029353</v>
      </c>
      <c r="D297">
        <v>29152014</v>
      </c>
      <c r="E297">
        <v>1</v>
      </c>
      <c r="F297">
        <v>1</v>
      </c>
      <c r="G297">
        <v>1</v>
      </c>
      <c r="H297">
        <v>3</v>
      </c>
      <c r="I297" t="s">
        <v>838</v>
      </c>
      <c r="J297" t="s">
        <v>839</v>
      </c>
      <c r="K297" t="s">
        <v>840</v>
      </c>
      <c r="L297">
        <v>1346</v>
      </c>
      <c r="N297">
        <v>1009</v>
      </c>
      <c r="O297" t="s">
        <v>118</v>
      </c>
      <c r="P297" t="s">
        <v>118</v>
      </c>
      <c r="Q297">
        <v>1</v>
      </c>
      <c r="W297">
        <v>0</v>
      </c>
      <c r="X297">
        <v>-1526040720</v>
      </c>
      <c r="Y297">
        <v>0.5</v>
      </c>
      <c r="AA297">
        <v>11.97</v>
      </c>
      <c r="AB297">
        <v>0</v>
      </c>
      <c r="AC297">
        <v>0</v>
      </c>
      <c r="AD297">
        <v>0</v>
      </c>
      <c r="AE297">
        <v>1.94</v>
      </c>
      <c r="AF297">
        <v>0</v>
      </c>
      <c r="AG297">
        <v>0</v>
      </c>
      <c r="AH297">
        <v>0</v>
      </c>
      <c r="AI297">
        <v>6.17</v>
      </c>
      <c r="AJ297">
        <v>1</v>
      </c>
      <c r="AK297">
        <v>1</v>
      </c>
      <c r="AL297">
        <v>1</v>
      </c>
      <c r="AN297">
        <v>0</v>
      </c>
      <c r="AO297">
        <v>1</v>
      </c>
      <c r="AP297">
        <v>0</v>
      </c>
      <c r="AQ297">
        <v>0</v>
      </c>
      <c r="AR297">
        <v>0</v>
      </c>
      <c r="AS297" t="s">
        <v>6</v>
      </c>
      <c r="AT297">
        <v>0.5</v>
      </c>
      <c r="AU297" t="s">
        <v>6</v>
      </c>
      <c r="AV297">
        <v>0</v>
      </c>
      <c r="AW297">
        <v>2</v>
      </c>
      <c r="AX297">
        <v>31029370</v>
      </c>
      <c r="AY297">
        <v>1</v>
      </c>
      <c r="AZ297">
        <v>0</v>
      </c>
      <c r="BA297">
        <v>321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CX297">
        <f>Y297*Source!I165</f>
        <v>0.47</v>
      </c>
      <c r="CY297">
        <f>AA297</f>
        <v>11.97</v>
      </c>
      <c r="CZ297">
        <f>AE297</f>
        <v>1.94</v>
      </c>
      <c r="DA297">
        <f>AI297</f>
        <v>6.17</v>
      </c>
      <c r="DB297">
        <f>ROUND(ROUND(AT297*CZ297,2),6)</f>
        <v>0.97</v>
      </c>
      <c r="DC297">
        <f>ROUND(ROUND(AT297*AG297,2),6)</f>
        <v>0</v>
      </c>
    </row>
    <row r="298" spans="1:107">
      <c r="A298">
        <f>ROW(Source!A165)</f>
        <v>165</v>
      </c>
      <c r="B298">
        <v>31028412</v>
      </c>
      <c r="C298">
        <v>31029353</v>
      </c>
      <c r="D298">
        <v>29152032</v>
      </c>
      <c r="E298">
        <v>1</v>
      </c>
      <c r="F298">
        <v>1</v>
      </c>
      <c r="G298">
        <v>1</v>
      </c>
      <c r="H298">
        <v>3</v>
      </c>
      <c r="I298" t="s">
        <v>954</v>
      </c>
      <c r="J298" t="s">
        <v>955</v>
      </c>
      <c r="K298" t="s">
        <v>956</v>
      </c>
      <c r="L298">
        <v>1348</v>
      </c>
      <c r="N298">
        <v>1009</v>
      </c>
      <c r="O298" t="s">
        <v>137</v>
      </c>
      <c r="P298" t="s">
        <v>137</v>
      </c>
      <c r="Q298">
        <v>1000</v>
      </c>
      <c r="W298">
        <v>0</v>
      </c>
      <c r="X298">
        <v>2020986646</v>
      </c>
      <c r="Y298">
        <v>0.375</v>
      </c>
      <c r="AA298">
        <v>28343.31</v>
      </c>
      <c r="AB298">
        <v>0</v>
      </c>
      <c r="AC298">
        <v>0</v>
      </c>
      <c r="AD298">
        <v>0</v>
      </c>
      <c r="AE298">
        <v>4593.7299999999996</v>
      </c>
      <c r="AF298">
        <v>0</v>
      </c>
      <c r="AG298">
        <v>0</v>
      </c>
      <c r="AH298">
        <v>0</v>
      </c>
      <c r="AI298">
        <v>6.17</v>
      </c>
      <c r="AJ298">
        <v>1</v>
      </c>
      <c r="AK298">
        <v>1</v>
      </c>
      <c r="AL298">
        <v>1</v>
      </c>
      <c r="AN298">
        <v>0</v>
      </c>
      <c r="AO298">
        <v>1</v>
      </c>
      <c r="AP298">
        <v>0</v>
      </c>
      <c r="AQ298">
        <v>0</v>
      </c>
      <c r="AR298">
        <v>0</v>
      </c>
      <c r="AS298" t="s">
        <v>6</v>
      </c>
      <c r="AT298">
        <v>0.375</v>
      </c>
      <c r="AU298" t="s">
        <v>6</v>
      </c>
      <c r="AV298">
        <v>0</v>
      </c>
      <c r="AW298">
        <v>2</v>
      </c>
      <c r="AX298">
        <v>31029371</v>
      </c>
      <c r="AY298">
        <v>1</v>
      </c>
      <c r="AZ298">
        <v>0</v>
      </c>
      <c r="BA298">
        <v>322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CX298">
        <f>Y298*Source!I165</f>
        <v>0.35249999999999998</v>
      </c>
      <c r="CY298">
        <f>AA298</f>
        <v>28343.31</v>
      </c>
      <c r="CZ298">
        <f>AE298</f>
        <v>4593.7299999999996</v>
      </c>
      <c r="DA298">
        <f>AI298</f>
        <v>6.17</v>
      </c>
      <c r="DB298">
        <f>ROUND(ROUND(AT298*CZ298,2),6)</f>
        <v>1722.65</v>
      </c>
      <c r="DC298">
        <f>ROUND(ROUND(AT298*AG298,2),6)</f>
        <v>0</v>
      </c>
    </row>
    <row r="299" spans="1:107">
      <c r="A299">
        <f>ROW(Source!A165)</f>
        <v>165</v>
      </c>
      <c r="B299">
        <v>31028412</v>
      </c>
      <c r="C299">
        <v>31029353</v>
      </c>
      <c r="D299">
        <v>29186553</v>
      </c>
      <c r="E299">
        <v>1</v>
      </c>
      <c r="F299">
        <v>1</v>
      </c>
      <c r="G299">
        <v>1</v>
      </c>
      <c r="H299">
        <v>3</v>
      </c>
      <c r="I299" t="s">
        <v>957</v>
      </c>
      <c r="J299" t="s">
        <v>958</v>
      </c>
      <c r="K299" t="s">
        <v>959</v>
      </c>
      <c r="L299">
        <v>1348</v>
      </c>
      <c r="N299">
        <v>1009</v>
      </c>
      <c r="O299" t="s">
        <v>137</v>
      </c>
      <c r="P299" t="s">
        <v>137</v>
      </c>
      <c r="Q299">
        <v>1000</v>
      </c>
      <c r="W299">
        <v>0</v>
      </c>
      <c r="X299">
        <v>-1990267052</v>
      </c>
      <c r="Y299">
        <v>0.05</v>
      </c>
      <c r="AA299">
        <v>59571.23</v>
      </c>
      <c r="AB299">
        <v>0</v>
      </c>
      <c r="AC299">
        <v>0</v>
      </c>
      <c r="AD299">
        <v>0</v>
      </c>
      <c r="AE299">
        <v>9654.98</v>
      </c>
      <c r="AF299">
        <v>0</v>
      </c>
      <c r="AG299">
        <v>0</v>
      </c>
      <c r="AH299">
        <v>0</v>
      </c>
      <c r="AI299">
        <v>6.17</v>
      </c>
      <c r="AJ299">
        <v>1</v>
      </c>
      <c r="AK299">
        <v>1</v>
      </c>
      <c r="AL299">
        <v>1</v>
      </c>
      <c r="AN299">
        <v>0</v>
      </c>
      <c r="AO299">
        <v>1</v>
      </c>
      <c r="AP299">
        <v>0</v>
      </c>
      <c r="AQ299">
        <v>0</v>
      </c>
      <c r="AR299">
        <v>0</v>
      </c>
      <c r="AS299" t="s">
        <v>6</v>
      </c>
      <c r="AT299">
        <v>0.05</v>
      </c>
      <c r="AU299" t="s">
        <v>6</v>
      </c>
      <c r="AV299">
        <v>0</v>
      </c>
      <c r="AW299">
        <v>2</v>
      </c>
      <c r="AX299">
        <v>31029372</v>
      </c>
      <c r="AY299">
        <v>1</v>
      </c>
      <c r="AZ299">
        <v>0</v>
      </c>
      <c r="BA299">
        <v>323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CX299">
        <f>Y299*Source!I165</f>
        <v>4.7E-2</v>
      </c>
      <c r="CY299">
        <f>AA299</f>
        <v>59571.23</v>
      </c>
      <c r="CZ299">
        <f>AE299</f>
        <v>9654.98</v>
      </c>
      <c r="DA299">
        <f>AI299</f>
        <v>6.17</v>
      </c>
      <c r="DB299">
        <f>ROUND(ROUND(AT299*CZ299,2),6)</f>
        <v>482.75</v>
      </c>
      <c r="DC299">
        <f>ROUND(ROUND(AT299*AG299,2),6)</f>
        <v>0</v>
      </c>
    </row>
    <row r="300" spans="1:107">
      <c r="A300">
        <f>ROW(Source!A165)</f>
        <v>165</v>
      </c>
      <c r="B300">
        <v>31028412</v>
      </c>
      <c r="C300">
        <v>31029353</v>
      </c>
      <c r="D300">
        <v>29195171</v>
      </c>
      <c r="E300">
        <v>1</v>
      </c>
      <c r="F300">
        <v>1</v>
      </c>
      <c r="G300">
        <v>1</v>
      </c>
      <c r="H300">
        <v>3</v>
      </c>
      <c r="I300" t="s">
        <v>830</v>
      </c>
      <c r="J300" t="s">
        <v>831</v>
      </c>
      <c r="K300" t="s">
        <v>832</v>
      </c>
      <c r="L300">
        <v>1339</v>
      </c>
      <c r="N300">
        <v>1007</v>
      </c>
      <c r="O300" t="s">
        <v>109</v>
      </c>
      <c r="P300" t="s">
        <v>109</v>
      </c>
      <c r="Q300">
        <v>1</v>
      </c>
      <c r="W300">
        <v>0</v>
      </c>
      <c r="X300">
        <v>2050165204</v>
      </c>
      <c r="Y300">
        <v>0.93</v>
      </c>
      <c r="AA300">
        <v>15.12</v>
      </c>
      <c r="AB300">
        <v>0</v>
      </c>
      <c r="AC300">
        <v>0</v>
      </c>
      <c r="AD300">
        <v>0</v>
      </c>
      <c r="AE300">
        <v>2.4500000000000002</v>
      </c>
      <c r="AF300">
        <v>0</v>
      </c>
      <c r="AG300">
        <v>0</v>
      </c>
      <c r="AH300">
        <v>0</v>
      </c>
      <c r="AI300">
        <v>6.17</v>
      </c>
      <c r="AJ300">
        <v>1</v>
      </c>
      <c r="AK300">
        <v>1</v>
      </c>
      <c r="AL300">
        <v>1</v>
      </c>
      <c r="AN300">
        <v>0</v>
      </c>
      <c r="AO300">
        <v>1</v>
      </c>
      <c r="AP300">
        <v>0</v>
      </c>
      <c r="AQ300">
        <v>0</v>
      </c>
      <c r="AR300">
        <v>0</v>
      </c>
      <c r="AS300" t="s">
        <v>6</v>
      </c>
      <c r="AT300">
        <v>0.93</v>
      </c>
      <c r="AU300" t="s">
        <v>6</v>
      </c>
      <c r="AV300">
        <v>0</v>
      </c>
      <c r="AW300">
        <v>2</v>
      </c>
      <c r="AX300">
        <v>31029373</v>
      </c>
      <c r="AY300">
        <v>1</v>
      </c>
      <c r="AZ300">
        <v>0</v>
      </c>
      <c r="BA300">
        <v>324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CX300">
        <f>Y300*Source!I165</f>
        <v>0.87419999999999998</v>
      </c>
      <c r="CY300">
        <f>AA300</f>
        <v>15.12</v>
      </c>
      <c r="CZ300">
        <f>AE300</f>
        <v>2.4500000000000002</v>
      </c>
      <c r="DA300">
        <f>AI300</f>
        <v>6.17</v>
      </c>
      <c r="DB300">
        <f>ROUND(ROUND(AT300*CZ300,2),6)</f>
        <v>2.2799999999999998</v>
      </c>
      <c r="DC300">
        <f>ROUND(ROUND(AT300*AG300,2),6)</f>
        <v>0</v>
      </c>
    </row>
    <row r="301" spans="1:107">
      <c r="A301">
        <f>ROW(Source!A166)</f>
        <v>166</v>
      </c>
      <c r="B301">
        <v>31028412</v>
      </c>
      <c r="C301">
        <v>31029374</v>
      </c>
      <c r="D301">
        <v>29084579</v>
      </c>
      <c r="E301">
        <v>1</v>
      </c>
      <c r="F301">
        <v>1</v>
      </c>
      <c r="G301">
        <v>1</v>
      </c>
      <c r="H301">
        <v>1</v>
      </c>
      <c r="I301" t="s">
        <v>849</v>
      </c>
      <c r="J301" t="s">
        <v>6</v>
      </c>
      <c r="K301" t="s">
        <v>850</v>
      </c>
      <c r="L301">
        <v>1369</v>
      </c>
      <c r="N301">
        <v>1013</v>
      </c>
      <c r="O301" t="s">
        <v>773</v>
      </c>
      <c r="P301" t="s">
        <v>773</v>
      </c>
      <c r="Q301">
        <v>1</v>
      </c>
      <c r="W301">
        <v>0</v>
      </c>
      <c r="X301">
        <v>260198247</v>
      </c>
      <c r="Y301">
        <v>90.921875</v>
      </c>
      <c r="AA301">
        <v>0</v>
      </c>
      <c r="AB301">
        <v>0</v>
      </c>
      <c r="AC301">
        <v>0</v>
      </c>
      <c r="AD301">
        <v>225</v>
      </c>
      <c r="AE301">
        <v>0</v>
      </c>
      <c r="AF301">
        <v>0</v>
      </c>
      <c r="AG301">
        <v>0</v>
      </c>
      <c r="AH301">
        <v>9.2899999999999991</v>
      </c>
      <c r="AI301">
        <v>1</v>
      </c>
      <c r="AJ301">
        <v>1</v>
      </c>
      <c r="AK301">
        <v>1</v>
      </c>
      <c r="AL301">
        <v>24.22</v>
      </c>
      <c r="AN301">
        <v>0</v>
      </c>
      <c r="AO301">
        <v>1</v>
      </c>
      <c r="AP301">
        <v>1</v>
      </c>
      <c r="AQ301">
        <v>0</v>
      </c>
      <c r="AR301">
        <v>0</v>
      </c>
      <c r="AS301" t="s">
        <v>6</v>
      </c>
      <c r="AT301">
        <v>68.75</v>
      </c>
      <c r="AU301" t="s">
        <v>127</v>
      </c>
      <c r="AV301">
        <v>1</v>
      </c>
      <c r="AW301">
        <v>2</v>
      </c>
      <c r="AX301">
        <v>31029383</v>
      </c>
      <c r="AY301">
        <v>1</v>
      </c>
      <c r="AZ301">
        <v>0</v>
      </c>
      <c r="BA301">
        <v>325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CX301">
        <f>Y301*Source!I166</f>
        <v>42.915124999999996</v>
      </c>
      <c r="CY301">
        <f>AD301</f>
        <v>225</v>
      </c>
      <c r="CZ301">
        <f>AH301</f>
        <v>9.2899999999999991</v>
      </c>
      <c r="DA301">
        <f>AL301</f>
        <v>24.22</v>
      </c>
      <c r="DB301">
        <f>ROUND((ROUND(AT301*CZ301,2)*ROUND((1.15*1.15),7)),6)</f>
        <v>844.66752499999996</v>
      </c>
      <c r="DC301">
        <f>ROUND((ROUND(AT301*AG301,2)*ROUND((1.15*1.15),7)),6)</f>
        <v>0</v>
      </c>
    </row>
    <row r="302" spans="1:107">
      <c r="A302">
        <f>ROW(Source!A166)</f>
        <v>166</v>
      </c>
      <c r="B302">
        <v>31028412</v>
      </c>
      <c r="C302">
        <v>31029374</v>
      </c>
      <c r="D302">
        <v>29084573</v>
      </c>
      <c r="E302">
        <v>1</v>
      </c>
      <c r="F302">
        <v>1</v>
      </c>
      <c r="G302">
        <v>1</v>
      </c>
      <c r="H302">
        <v>1</v>
      </c>
      <c r="I302" t="s">
        <v>774</v>
      </c>
      <c r="J302" t="s">
        <v>6</v>
      </c>
      <c r="K302" t="s">
        <v>775</v>
      </c>
      <c r="L302">
        <v>608254</v>
      </c>
      <c r="N302">
        <v>1013</v>
      </c>
      <c r="O302" t="s">
        <v>776</v>
      </c>
      <c r="P302" t="s">
        <v>776</v>
      </c>
      <c r="Q302">
        <v>1</v>
      </c>
      <c r="W302">
        <v>0</v>
      </c>
      <c r="X302">
        <v>95408949</v>
      </c>
      <c r="Y302">
        <v>4.3124999999999997E-2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1</v>
      </c>
      <c r="AJ302">
        <v>1</v>
      </c>
      <c r="AK302">
        <v>24.22</v>
      </c>
      <c r="AL302">
        <v>1</v>
      </c>
      <c r="AN302">
        <v>0</v>
      </c>
      <c r="AO302">
        <v>1</v>
      </c>
      <c r="AP302">
        <v>1</v>
      </c>
      <c r="AQ302">
        <v>0</v>
      </c>
      <c r="AR302">
        <v>0</v>
      </c>
      <c r="AS302" t="s">
        <v>6</v>
      </c>
      <c r="AT302">
        <v>0.03</v>
      </c>
      <c r="AU302" t="s">
        <v>126</v>
      </c>
      <c r="AV302">
        <v>2</v>
      </c>
      <c r="AW302">
        <v>2</v>
      </c>
      <c r="AX302">
        <v>31029384</v>
      </c>
      <c r="AY302">
        <v>1</v>
      </c>
      <c r="AZ302">
        <v>0</v>
      </c>
      <c r="BA302">
        <v>326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CX302">
        <f>Y302*Source!I166</f>
        <v>2.0354999999999998E-2</v>
      </c>
      <c r="CY302">
        <f>AD302</f>
        <v>0</v>
      </c>
      <c r="CZ302">
        <f>AH302</f>
        <v>0</v>
      </c>
      <c r="DA302">
        <f>AL302</f>
        <v>1</v>
      </c>
      <c r="DB302">
        <f>ROUND((ROUND(AT302*CZ302,2)*ROUND((1.25*1.15),7)),6)</f>
        <v>0</v>
      </c>
      <c r="DC302">
        <f>ROUND((ROUND(AT302*AG302,2)*ROUND((1.25*1.15),7)),6)</f>
        <v>0</v>
      </c>
    </row>
    <row r="303" spans="1:107">
      <c r="A303">
        <f>ROW(Source!A166)</f>
        <v>166</v>
      </c>
      <c r="B303">
        <v>31028412</v>
      </c>
      <c r="C303">
        <v>31029374</v>
      </c>
      <c r="D303">
        <v>29147732</v>
      </c>
      <c r="E303">
        <v>1</v>
      </c>
      <c r="F303">
        <v>1</v>
      </c>
      <c r="G303">
        <v>1</v>
      </c>
      <c r="H303">
        <v>2</v>
      </c>
      <c r="I303" t="s">
        <v>846</v>
      </c>
      <c r="J303" t="s">
        <v>847</v>
      </c>
      <c r="K303" t="s">
        <v>848</v>
      </c>
      <c r="L303">
        <v>1368</v>
      </c>
      <c r="N303">
        <v>1011</v>
      </c>
      <c r="O303" t="s">
        <v>780</v>
      </c>
      <c r="P303" t="s">
        <v>780</v>
      </c>
      <c r="Q303">
        <v>1</v>
      </c>
      <c r="W303">
        <v>0</v>
      </c>
      <c r="X303">
        <v>-1205898307</v>
      </c>
      <c r="Y303">
        <v>4.3124999999999997E-2</v>
      </c>
      <c r="AA303">
        <v>0</v>
      </c>
      <c r="AB303">
        <v>235.69</v>
      </c>
      <c r="AC303">
        <v>315.58999999999997</v>
      </c>
      <c r="AD303">
        <v>0</v>
      </c>
      <c r="AE303">
        <v>0</v>
      </c>
      <c r="AF303">
        <v>30.85</v>
      </c>
      <c r="AG303">
        <v>13.03</v>
      </c>
      <c r="AH303">
        <v>0</v>
      </c>
      <c r="AI303">
        <v>1</v>
      </c>
      <c r="AJ303">
        <v>7.64</v>
      </c>
      <c r="AK303">
        <v>24.22</v>
      </c>
      <c r="AL303">
        <v>1</v>
      </c>
      <c r="AN303">
        <v>0</v>
      </c>
      <c r="AO303">
        <v>1</v>
      </c>
      <c r="AP303">
        <v>1</v>
      </c>
      <c r="AQ303">
        <v>0</v>
      </c>
      <c r="AR303">
        <v>0</v>
      </c>
      <c r="AS303" t="s">
        <v>6</v>
      </c>
      <c r="AT303">
        <v>0.03</v>
      </c>
      <c r="AU303" t="s">
        <v>126</v>
      </c>
      <c r="AV303">
        <v>0</v>
      </c>
      <c r="AW303">
        <v>2</v>
      </c>
      <c r="AX303">
        <v>31029385</v>
      </c>
      <c r="AY303">
        <v>1</v>
      </c>
      <c r="AZ303">
        <v>0</v>
      </c>
      <c r="BA303">
        <v>327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CX303">
        <f>Y303*Source!I166</f>
        <v>2.0354999999999998E-2</v>
      </c>
      <c r="CY303">
        <f>AB303</f>
        <v>235.69</v>
      </c>
      <c r="CZ303">
        <f>AF303</f>
        <v>30.85</v>
      </c>
      <c r="DA303">
        <f>AJ303</f>
        <v>7.64</v>
      </c>
      <c r="DB303">
        <f>ROUND((ROUND(AT303*CZ303,2)*ROUND((1.25*1.15),7)),6)</f>
        <v>1.336875</v>
      </c>
      <c r="DC303">
        <f>ROUND((ROUND(AT303*AG303,2)*ROUND((1.25*1.15),7)),6)</f>
        <v>0.56062500000000004</v>
      </c>
    </row>
    <row r="304" spans="1:107">
      <c r="A304">
        <f>ROW(Source!A166)</f>
        <v>166</v>
      </c>
      <c r="B304">
        <v>31028412</v>
      </c>
      <c r="C304">
        <v>31029374</v>
      </c>
      <c r="D304">
        <v>29149520</v>
      </c>
      <c r="E304">
        <v>1</v>
      </c>
      <c r="F304">
        <v>1</v>
      </c>
      <c r="G304">
        <v>1</v>
      </c>
      <c r="H304">
        <v>2</v>
      </c>
      <c r="I304" t="s">
        <v>790</v>
      </c>
      <c r="J304" t="s">
        <v>791</v>
      </c>
      <c r="K304" t="s">
        <v>792</v>
      </c>
      <c r="L304">
        <v>1368</v>
      </c>
      <c r="N304">
        <v>1011</v>
      </c>
      <c r="O304" t="s">
        <v>780</v>
      </c>
      <c r="P304" t="s">
        <v>780</v>
      </c>
      <c r="Q304">
        <v>1</v>
      </c>
      <c r="W304">
        <v>0</v>
      </c>
      <c r="X304">
        <v>-1931461795</v>
      </c>
      <c r="Y304">
        <v>0.28749999999999998</v>
      </c>
      <c r="AA304">
        <v>0</v>
      </c>
      <c r="AB304">
        <v>699.98</v>
      </c>
      <c r="AC304">
        <v>0</v>
      </c>
      <c r="AD304">
        <v>0</v>
      </c>
      <c r="AE304">
        <v>0</v>
      </c>
      <c r="AF304">
        <v>91.62</v>
      </c>
      <c r="AG304">
        <v>0</v>
      </c>
      <c r="AH304">
        <v>0</v>
      </c>
      <c r="AI304">
        <v>1</v>
      </c>
      <c r="AJ304">
        <v>7.64</v>
      </c>
      <c r="AK304">
        <v>24.22</v>
      </c>
      <c r="AL304">
        <v>1</v>
      </c>
      <c r="AN304">
        <v>0</v>
      </c>
      <c r="AO304">
        <v>1</v>
      </c>
      <c r="AP304">
        <v>1</v>
      </c>
      <c r="AQ304">
        <v>0</v>
      </c>
      <c r="AR304">
        <v>0</v>
      </c>
      <c r="AS304" t="s">
        <v>6</v>
      </c>
      <c r="AT304">
        <v>0.2</v>
      </c>
      <c r="AU304" t="s">
        <v>126</v>
      </c>
      <c r="AV304">
        <v>0</v>
      </c>
      <c r="AW304">
        <v>2</v>
      </c>
      <c r="AX304">
        <v>31029386</v>
      </c>
      <c r="AY304">
        <v>1</v>
      </c>
      <c r="AZ304">
        <v>0</v>
      </c>
      <c r="BA304">
        <v>328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CX304">
        <f>Y304*Source!I166</f>
        <v>0.13569999999999999</v>
      </c>
      <c r="CY304">
        <f>AB304</f>
        <v>699.98</v>
      </c>
      <c r="CZ304">
        <f>AF304</f>
        <v>91.62</v>
      </c>
      <c r="DA304">
        <f>AJ304</f>
        <v>7.64</v>
      </c>
      <c r="DB304">
        <f>ROUND((ROUND(AT304*CZ304,2)*ROUND((1.25*1.15),7)),6)</f>
        <v>26.335000000000001</v>
      </c>
      <c r="DC304">
        <f>ROUND((ROUND(AT304*AG304,2)*ROUND((1.25*1.15),7)),6)</f>
        <v>0</v>
      </c>
    </row>
    <row r="305" spans="1:107">
      <c r="A305">
        <f>ROW(Source!A166)</f>
        <v>166</v>
      </c>
      <c r="B305">
        <v>31028412</v>
      </c>
      <c r="C305">
        <v>31029374</v>
      </c>
      <c r="D305">
        <v>29151861</v>
      </c>
      <c r="E305">
        <v>1</v>
      </c>
      <c r="F305">
        <v>1</v>
      </c>
      <c r="G305">
        <v>1</v>
      </c>
      <c r="H305">
        <v>3</v>
      </c>
      <c r="I305" t="s">
        <v>835</v>
      </c>
      <c r="J305" t="s">
        <v>836</v>
      </c>
      <c r="K305" t="s">
        <v>837</v>
      </c>
      <c r="L305">
        <v>1327</v>
      </c>
      <c r="N305">
        <v>1005</v>
      </c>
      <c r="O305" t="s">
        <v>284</v>
      </c>
      <c r="P305" t="s">
        <v>284</v>
      </c>
      <c r="Q305">
        <v>1</v>
      </c>
      <c r="W305">
        <v>0</v>
      </c>
      <c r="X305">
        <v>1527270933</v>
      </c>
      <c r="Y305">
        <v>0.88</v>
      </c>
      <c r="AA305">
        <v>452.82</v>
      </c>
      <c r="AB305">
        <v>0</v>
      </c>
      <c r="AC305">
        <v>0</v>
      </c>
      <c r="AD305">
        <v>0</v>
      </c>
      <c r="AE305">
        <v>73.39</v>
      </c>
      <c r="AF305">
        <v>0</v>
      </c>
      <c r="AG305">
        <v>0</v>
      </c>
      <c r="AH305">
        <v>0</v>
      </c>
      <c r="AI305">
        <v>6.17</v>
      </c>
      <c r="AJ305">
        <v>1</v>
      </c>
      <c r="AK305">
        <v>1</v>
      </c>
      <c r="AL305">
        <v>1</v>
      </c>
      <c r="AN305">
        <v>0</v>
      </c>
      <c r="AO305">
        <v>1</v>
      </c>
      <c r="AP305">
        <v>0</v>
      </c>
      <c r="AQ305">
        <v>0</v>
      </c>
      <c r="AR305">
        <v>0</v>
      </c>
      <c r="AS305" t="s">
        <v>6</v>
      </c>
      <c r="AT305">
        <v>0.88</v>
      </c>
      <c r="AU305" t="s">
        <v>6</v>
      </c>
      <c r="AV305">
        <v>0</v>
      </c>
      <c r="AW305">
        <v>2</v>
      </c>
      <c r="AX305">
        <v>31029387</v>
      </c>
      <c r="AY305">
        <v>1</v>
      </c>
      <c r="AZ305">
        <v>0</v>
      </c>
      <c r="BA305">
        <v>329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CX305">
        <f>Y305*Source!I166</f>
        <v>0.41536000000000001</v>
      </c>
      <c r="CY305">
        <f>AA305</f>
        <v>452.82</v>
      </c>
      <c r="CZ305">
        <f>AE305</f>
        <v>73.39</v>
      </c>
      <c r="DA305">
        <f>AI305</f>
        <v>6.17</v>
      </c>
      <c r="DB305">
        <f>ROUND(ROUND(AT305*CZ305,2),6)</f>
        <v>64.58</v>
      </c>
      <c r="DC305">
        <f>ROUND(ROUND(AT305*AG305,2),6)</f>
        <v>0</v>
      </c>
    </row>
    <row r="306" spans="1:107">
      <c r="A306">
        <f>ROW(Source!A166)</f>
        <v>166</v>
      </c>
      <c r="B306">
        <v>31028412</v>
      </c>
      <c r="C306">
        <v>31029374</v>
      </c>
      <c r="D306">
        <v>29151971</v>
      </c>
      <c r="E306">
        <v>1</v>
      </c>
      <c r="F306">
        <v>1</v>
      </c>
      <c r="G306">
        <v>1</v>
      </c>
      <c r="H306">
        <v>3</v>
      </c>
      <c r="I306" t="s">
        <v>942</v>
      </c>
      <c r="J306" t="s">
        <v>943</v>
      </c>
      <c r="K306" t="s">
        <v>944</v>
      </c>
      <c r="L306">
        <v>1348</v>
      </c>
      <c r="N306">
        <v>1009</v>
      </c>
      <c r="O306" t="s">
        <v>137</v>
      </c>
      <c r="P306" t="s">
        <v>137</v>
      </c>
      <c r="Q306">
        <v>1000</v>
      </c>
      <c r="W306">
        <v>0</v>
      </c>
      <c r="X306">
        <v>-1321245919</v>
      </c>
      <c r="Y306">
        <v>7.9000000000000001E-2</v>
      </c>
      <c r="AA306">
        <v>20431.34</v>
      </c>
      <c r="AB306">
        <v>0</v>
      </c>
      <c r="AC306">
        <v>0</v>
      </c>
      <c r="AD306">
        <v>0</v>
      </c>
      <c r="AE306">
        <v>3311.4</v>
      </c>
      <c r="AF306">
        <v>0</v>
      </c>
      <c r="AG306">
        <v>0</v>
      </c>
      <c r="AH306">
        <v>0</v>
      </c>
      <c r="AI306">
        <v>6.17</v>
      </c>
      <c r="AJ306">
        <v>1</v>
      </c>
      <c r="AK306">
        <v>1</v>
      </c>
      <c r="AL306">
        <v>1</v>
      </c>
      <c r="AN306">
        <v>0</v>
      </c>
      <c r="AO306">
        <v>1</v>
      </c>
      <c r="AP306">
        <v>0</v>
      </c>
      <c r="AQ306">
        <v>0</v>
      </c>
      <c r="AR306">
        <v>0</v>
      </c>
      <c r="AS306" t="s">
        <v>6</v>
      </c>
      <c r="AT306">
        <v>7.9000000000000001E-2</v>
      </c>
      <c r="AU306" t="s">
        <v>6</v>
      </c>
      <c r="AV306">
        <v>0</v>
      </c>
      <c r="AW306">
        <v>2</v>
      </c>
      <c r="AX306">
        <v>31029388</v>
      </c>
      <c r="AY306">
        <v>1</v>
      </c>
      <c r="AZ306">
        <v>0</v>
      </c>
      <c r="BA306">
        <v>330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CX306">
        <f>Y306*Source!I166</f>
        <v>3.7288000000000002E-2</v>
      </c>
      <c r="CY306">
        <f>AA306</f>
        <v>20431.34</v>
      </c>
      <c r="CZ306">
        <f>AE306</f>
        <v>3311.4</v>
      </c>
      <c r="DA306">
        <f>AI306</f>
        <v>6.17</v>
      </c>
      <c r="DB306">
        <f>ROUND(ROUND(AT306*CZ306,2),6)</f>
        <v>261.60000000000002</v>
      </c>
      <c r="DC306">
        <f>ROUND(ROUND(AT306*AG306,2),6)</f>
        <v>0</v>
      </c>
    </row>
    <row r="307" spans="1:107">
      <c r="A307">
        <f>ROW(Source!A166)</f>
        <v>166</v>
      </c>
      <c r="B307">
        <v>31028412</v>
      </c>
      <c r="C307">
        <v>31029374</v>
      </c>
      <c r="D307">
        <v>29152014</v>
      </c>
      <c r="E307">
        <v>1</v>
      </c>
      <c r="F307">
        <v>1</v>
      </c>
      <c r="G307">
        <v>1</v>
      </c>
      <c r="H307">
        <v>3</v>
      </c>
      <c r="I307" t="s">
        <v>838</v>
      </c>
      <c r="J307" t="s">
        <v>839</v>
      </c>
      <c r="K307" t="s">
        <v>840</v>
      </c>
      <c r="L307">
        <v>1346</v>
      </c>
      <c r="N307">
        <v>1009</v>
      </c>
      <c r="O307" t="s">
        <v>118</v>
      </c>
      <c r="P307" t="s">
        <v>118</v>
      </c>
      <c r="Q307">
        <v>1</v>
      </c>
      <c r="W307">
        <v>0</v>
      </c>
      <c r="X307">
        <v>-1526040720</v>
      </c>
      <c r="Y307">
        <v>0.36</v>
      </c>
      <c r="AA307">
        <v>11.97</v>
      </c>
      <c r="AB307">
        <v>0</v>
      </c>
      <c r="AC307">
        <v>0</v>
      </c>
      <c r="AD307">
        <v>0</v>
      </c>
      <c r="AE307">
        <v>1.94</v>
      </c>
      <c r="AF307">
        <v>0</v>
      </c>
      <c r="AG307">
        <v>0</v>
      </c>
      <c r="AH307">
        <v>0</v>
      </c>
      <c r="AI307">
        <v>6.17</v>
      </c>
      <c r="AJ307">
        <v>1</v>
      </c>
      <c r="AK307">
        <v>1</v>
      </c>
      <c r="AL307">
        <v>1</v>
      </c>
      <c r="AN307">
        <v>0</v>
      </c>
      <c r="AO307">
        <v>1</v>
      </c>
      <c r="AP307">
        <v>0</v>
      </c>
      <c r="AQ307">
        <v>0</v>
      </c>
      <c r="AR307">
        <v>0</v>
      </c>
      <c r="AS307" t="s">
        <v>6</v>
      </c>
      <c r="AT307">
        <v>0.36</v>
      </c>
      <c r="AU307" t="s">
        <v>6</v>
      </c>
      <c r="AV307">
        <v>0</v>
      </c>
      <c r="AW307">
        <v>2</v>
      </c>
      <c r="AX307">
        <v>31029389</v>
      </c>
      <c r="AY307">
        <v>1</v>
      </c>
      <c r="AZ307">
        <v>0</v>
      </c>
      <c r="BA307">
        <v>331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CX307">
        <f>Y307*Source!I166</f>
        <v>0.16991999999999999</v>
      </c>
      <c r="CY307">
        <f>AA307</f>
        <v>11.97</v>
      </c>
      <c r="CZ307">
        <f>AE307</f>
        <v>1.94</v>
      </c>
      <c r="DA307">
        <f>AI307</f>
        <v>6.17</v>
      </c>
      <c r="DB307">
        <f>ROUND(ROUND(AT307*CZ307,2),6)</f>
        <v>0.7</v>
      </c>
      <c r="DC307">
        <f>ROUND(ROUND(AT307*AG307,2),6)</f>
        <v>0</v>
      </c>
    </row>
    <row r="308" spans="1:107">
      <c r="A308">
        <f>ROW(Source!A166)</f>
        <v>166</v>
      </c>
      <c r="B308">
        <v>31028412</v>
      </c>
      <c r="C308">
        <v>31029374</v>
      </c>
      <c r="D308">
        <v>29152186</v>
      </c>
      <c r="E308">
        <v>1</v>
      </c>
      <c r="F308">
        <v>1</v>
      </c>
      <c r="G308">
        <v>1</v>
      </c>
      <c r="H308">
        <v>3</v>
      </c>
      <c r="I308" t="s">
        <v>945</v>
      </c>
      <c r="J308" t="s">
        <v>946</v>
      </c>
      <c r="K308" t="s">
        <v>947</v>
      </c>
      <c r="L308">
        <v>1348</v>
      </c>
      <c r="N308">
        <v>1009</v>
      </c>
      <c r="O308" t="s">
        <v>137</v>
      </c>
      <c r="P308" t="s">
        <v>137</v>
      </c>
      <c r="Q308">
        <v>1000</v>
      </c>
      <c r="W308">
        <v>0</v>
      </c>
      <c r="X308">
        <v>-1792658963</v>
      </c>
      <c r="Y308">
        <v>6.3E-2</v>
      </c>
      <c r="AA308">
        <v>103671.36</v>
      </c>
      <c r="AB308">
        <v>0</v>
      </c>
      <c r="AC308">
        <v>0</v>
      </c>
      <c r="AD308">
        <v>0</v>
      </c>
      <c r="AE308">
        <v>16802.490000000002</v>
      </c>
      <c r="AF308">
        <v>0</v>
      </c>
      <c r="AG308">
        <v>0</v>
      </c>
      <c r="AH308">
        <v>0</v>
      </c>
      <c r="AI308">
        <v>6.17</v>
      </c>
      <c r="AJ308">
        <v>1</v>
      </c>
      <c r="AK308">
        <v>1</v>
      </c>
      <c r="AL308">
        <v>1</v>
      </c>
      <c r="AN308">
        <v>0</v>
      </c>
      <c r="AO308">
        <v>1</v>
      </c>
      <c r="AP308">
        <v>0</v>
      </c>
      <c r="AQ308">
        <v>0</v>
      </c>
      <c r="AR308">
        <v>0</v>
      </c>
      <c r="AS308" t="s">
        <v>6</v>
      </c>
      <c r="AT308">
        <v>6.3E-2</v>
      </c>
      <c r="AU308" t="s">
        <v>6</v>
      </c>
      <c r="AV308">
        <v>0</v>
      </c>
      <c r="AW308">
        <v>2</v>
      </c>
      <c r="AX308">
        <v>31029390</v>
      </c>
      <c r="AY308">
        <v>1</v>
      </c>
      <c r="AZ308">
        <v>0</v>
      </c>
      <c r="BA308">
        <v>332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CX308">
        <f>Y308*Source!I166</f>
        <v>2.9735999999999999E-2</v>
      </c>
      <c r="CY308">
        <f>AA308</f>
        <v>103671.36</v>
      </c>
      <c r="CZ308">
        <f>AE308</f>
        <v>16802.490000000002</v>
      </c>
      <c r="DA308">
        <f>AI308</f>
        <v>6.17</v>
      </c>
      <c r="DB308">
        <f>ROUND(ROUND(AT308*CZ308,2),6)</f>
        <v>1058.56</v>
      </c>
      <c r="DC308">
        <f>ROUND(ROUND(AT308*AG308,2),6)</f>
        <v>0</v>
      </c>
    </row>
    <row r="309" spans="1:107">
      <c r="A309">
        <f>ROW(Source!A168)</f>
        <v>168</v>
      </c>
      <c r="B309">
        <v>31028412</v>
      </c>
      <c r="C309">
        <v>31029392</v>
      </c>
      <c r="D309">
        <v>29084594</v>
      </c>
      <c r="E309">
        <v>1</v>
      </c>
      <c r="F309">
        <v>1</v>
      </c>
      <c r="G309">
        <v>1</v>
      </c>
      <c r="H309">
        <v>1</v>
      </c>
      <c r="I309" t="s">
        <v>922</v>
      </c>
      <c r="J309" t="s">
        <v>6</v>
      </c>
      <c r="K309" t="s">
        <v>923</v>
      </c>
      <c r="L309">
        <v>1369</v>
      </c>
      <c r="N309">
        <v>1013</v>
      </c>
      <c r="O309" t="s">
        <v>773</v>
      </c>
      <c r="P309" t="s">
        <v>773</v>
      </c>
      <c r="Q309">
        <v>1</v>
      </c>
      <c r="W309">
        <v>0</v>
      </c>
      <c r="X309">
        <v>-1364176711</v>
      </c>
      <c r="Y309">
        <v>171.85887499999995</v>
      </c>
      <c r="AA309">
        <v>0</v>
      </c>
      <c r="AB309">
        <v>0</v>
      </c>
      <c r="AC309">
        <v>0</v>
      </c>
      <c r="AD309">
        <v>214.59</v>
      </c>
      <c r="AE309">
        <v>0</v>
      </c>
      <c r="AF309">
        <v>0</v>
      </c>
      <c r="AG309">
        <v>0</v>
      </c>
      <c r="AH309">
        <v>8.86</v>
      </c>
      <c r="AI309">
        <v>1</v>
      </c>
      <c r="AJ309">
        <v>1</v>
      </c>
      <c r="AK309">
        <v>1</v>
      </c>
      <c r="AL309">
        <v>24.22</v>
      </c>
      <c r="AN309">
        <v>0</v>
      </c>
      <c r="AO309">
        <v>1</v>
      </c>
      <c r="AP309">
        <v>1</v>
      </c>
      <c r="AQ309">
        <v>0</v>
      </c>
      <c r="AR309">
        <v>0</v>
      </c>
      <c r="AS309" t="s">
        <v>6</v>
      </c>
      <c r="AT309">
        <v>129.94999999999999</v>
      </c>
      <c r="AU309" t="s">
        <v>127</v>
      </c>
      <c r="AV309">
        <v>1</v>
      </c>
      <c r="AW309">
        <v>2</v>
      </c>
      <c r="AX309">
        <v>31029403</v>
      </c>
      <c r="AY309">
        <v>1</v>
      </c>
      <c r="AZ309">
        <v>0</v>
      </c>
      <c r="BA309">
        <v>333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CX309">
        <f>Y309*Source!I168</f>
        <v>229.60345699999996</v>
      </c>
      <c r="CY309">
        <f>AD309</f>
        <v>214.59</v>
      </c>
      <c r="CZ309">
        <f>AH309</f>
        <v>8.86</v>
      </c>
      <c r="DA309">
        <f>AL309</f>
        <v>24.22</v>
      </c>
      <c r="DB309">
        <f>ROUND((ROUND(AT309*CZ309,2)*ROUND((1.15*1.15),7)),6)</f>
        <v>1522.6736000000001</v>
      </c>
      <c r="DC309">
        <f>ROUND((ROUND(AT309*AG309,2)*ROUND((1.15*1.15),7)),6)</f>
        <v>0</v>
      </c>
    </row>
    <row r="310" spans="1:107">
      <c r="A310">
        <f>ROW(Source!A168)</f>
        <v>168</v>
      </c>
      <c r="B310">
        <v>31028412</v>
      </c>
      <c r="C310">
        <v>31029392</v>
      </c>
      <c r="D310">
        <v>29084573</v>
      </c>
      <c r="E310">
        <v>1</v>
      </c>
      <c r="F310">
        <v>1</v>
      </c>
      <c r="G310">
        <v>1</v>
      </c>
      <c r="H310">
        <v>1</v>
      </c>
      <c r="I310" t="s">
        <v>774</v>
      </c>
      <c r="J310" t="s">
        <v>6</v>
      </c>
      <c r="K310" t="s">
        <v>775</v>
      </c>
      <c r="L310">
        <v>608254</v>
      </c>
      <c r="N310">
        <v>1013</v>
      </c>
      <c r="O310" t="s">
        <v>776</v>
      </c>
      <c r="P310" t="s">
        <v>776</v>
      </c>
      <c r="Q310">
        <v>1</v>
      </c>
      <c r="W310">
        <v>0</v>
      </c>
      <c r="X310">
        <v>95408949</v>
      </c>
      <c r="Y310">
        <v>2.0699999999999998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1</v>
      </c>
      <c r="AJ310">
        <v>1</v>
      </c>
      <c r="AK310">
        <v>24.22</v>
      </c>
      <c r="AL310">
        <v>1</v>
      </c>
      <c r="AN310">
        <v>0</v>
      </c>
      <c r="AO310">
        <v>1</v>
      </c>
      <c r="AP310">
        <v>1</v>
      </c>
      <c r="AQ310">
        <v>0</v>
      </c>
      <c r="AR310">
        <v>0</v>
      </c>
      <c r="AS310" t="s">
        <v>6</v>
      </c>
      <c r="AT310">
        <v>1.44</v>
      </c>
      <c r="AU310" t="s">
        <v>126</v>
      </c>
      <c r="AV310">
        <v>2</v>
      </c>
      <c r="AW310">
        <v>2</v>
      </c>
      <c r="AX310">
        <v>31029404</v>
      </c>
      <c r="AY310">
        <v>1</v>
      </c>
      <c r="AZ310">
        <v>0</v>
      </c>
      <c r="BA310">
        <v>334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CX310">
        <f>Y310*Source!I168</f>
        <v>2.76552</v>
      </c>
      <c r="CY310">
        <f>AD310</f>
        <v>0</v>
      </c>
      <c r="CZ310">
        <f>AH310</f>
        <v>0</v>
      </c>
      <c r="DA310">
        <f>AL310</f>
        <v>1</v>
      </c>
      <c r="DB310">
        <f>ROUND((ROUND(AT310*CZ310,2)*ROUND((1.25*1.15),7)),6)</f>
        <v>0</v>
      </c>
      <c r="DC310">
        <f>ROUND((ROUND(AT310*AG310,2)*ROUND((1.25*1.15),7)),6)</f>
        <v>0</v>
      </c>
    </row>
    <row r="311" spans="1:107">
      <c r="A311">
        <f>ROW(Source!A168)</f>
        <v>168</v>
      </c>
      <c r="B311">
        <v>31028412</v>
      </c>
      <c r="C311">
        <v>31029392</v>
      </c>
      <c r="D311">
        <v>29147673</v>
      </c>
      <c r="E311">
        <v>1</v>
      </c>
      <c r="F311">
        <v>1</v>
      </c>
      <c r="G311">
        <v>1</v>
      </c>
      <c r="H311">
        <v>2</v>
      </c>
      <c r="I311" t="s">
        <v>924</v>
      </c>
      <c r="J311" t="s">
        <v>925</v>
      </c>
      <c r="K311" t="s">
        <v>926</v>
      </c>
      <c r="L311">
        <v>1368</v>
      </c>
      <c r="N311">
        <v>1011</v>
      </c>
      <c r="O311" t="s">
        <v>780</v>
      </c>
      <c r="P311" t="s">
        <v>780</v>
      </c>
      <c r="Q311">
        <v>1</v>
      </c>
      <c r="W311">
        <v>0</v>
      </c>
      <c r="X311">
        <v>-149788903</v>
      </c>
      <c r="Y311">
        <v>0.20125000000000001</v>
      </c>
      <c r="AA311">
        <v>0</v>
      </c>
      <c r="AB311">
        <v>748.34</v>
      </c>
      <c r="AC311">
        <v>235.18</v>
      </c>
      <c r="AD311">
        <v>0</v>
      </c>
      <c r="AE311">
        <v>0</v>
      </c>
      <c r="AF311">
        <v>97.95</v>
      </c>
      <c r="AG311">
        <v>9.7100000000000009</v>
      </c>
      <c r="AH311">
        <v>0</v>
      </c>
      <c r="AI311">
        <v>1</v>
      </c>
      <c r="AJ311">
        <v>7.64</v>
      </c>
      <c r="AK311">
        <v>24.22</v>
      </c>
      <c r="AL311">
        <v>1</v>
      </c>
      <c r="AN311">
        <v>0</v>
      </c>
      <c r="AO311">
        <v>1</v>
      </c>
      <c r="AP311">
        <v>1</v>
      </c>
      <c r="AQ311">
        <v>0</v>
      </c>
      <c r="AR311">
        <v>0</v>
      </c>
      <c r="AS311" t="s">
        <v>6</v>
      </c>
      <c r="AT311">
        <v>0.14000000000000001</v>
      </c>
      <c r="AU311" t="s">
        <v>126</v>
      </c>
      <c r="AV311">
        <v>0</v>
      </c>
      <c r="AW311">
        <v>2</v>
      </c>
      <c r="AX311">
        <v>31029405</v>
      </c>
      <c r="AY311">
        <v>1</v>
      </c>
      <c r="AZ311">
        <v>0</v>
      </c>
      <c r="BA311">
        <v>335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CX311">
        <f>Y311*Source!I168</f>
        <v>0.26887000000000005</v>
      </c>
      <c r="CY311">
        <f>AB311</f>
        <v>748.34</v>
      </c>
      <c r="CZ311">
        <f>AF311</f>
        <v>97.95</v>
      </c>
      <c r="DA311">
        <f>AJ311</f>
        <v>7.64</v>
      </c>
      <c r="DB311">
        <f>ROUND((ROUND(AT311*CZ311,2)*ROUND((1.25*1.15),7)),6)</f>
        <v>19.708124999999999</v>
      </c>
      <c r="DC311">
        <f>ROUND((ROUND(AT311*AG311,2)*ROUND((1.25*1.15),7)),6)</f>
        <v>1.9550000000000001</v>
      </c>
    </row>
    <row r="312" spans="1:107">
      <c r="A312">
        <f>ROW(Source!A168)</f>
        <v>168</v>
      </c>
      <c r="B312">
        <v>31028412</v>
      </c>
      <c r="C312">
        <v>31029392</v>
      </c>
      <c r="D312">
        <v>29147732</v>
      </c>
      <c r="E312">
        <v>1</v>
      </c>
      <c r="F312">
        <v>1</v>
      </c>
      <c r="G312">
        <v>1</v>
      </c>
      <c r="H312">
        <v>2</v>
      </c>
      <c r="I312" t="s">
        <v>846</v>
      </c>
      <c r="J312" t="s">
        <v>847</v>
      </c>
      <c r="K312" t="s">
        <v>848</v>
      </c>
      <c r="L312">
        <v>1368</v>
      </c>
      <c r="N312">
        <v>1011</v>
      </c>
      <c r="O312" t="s">
        <v>780</v>
      </c>
      <c r="P312" t="s">
        <v>780</v>
      </c>
      <c r="Q312">
        <v>1</v>
      </c>
      <c r="W312">
        <v>0</v>
      </c>
      <c r="X312">
        <v>-1205898307</v>
      </c>
      <c r="Y312">
        <v>1.8687499999999999</v>
      </c>
      <c r="AA312">
        <v>0</v>
      </c>
      <c r="AB312">
        <v>235.69</v>
      </c>
      <c r="AC312">
        <v>315.58999999999997</v>
      </c>
      <c r="AD312">
        <v>0</v>
      </c>
      <c r="AE312">
        <v>0</v>
      </c>
      <c r="AF312">
        <v>30.85</v>
      </c>
      <c r="AG312">
        <v>13.03</v>
      </c>
      <c r="AH312">
        <v>0</v>
      </c>
      <c r="AI312">
        <v>1</v>
      </c>
      <c r="AJ312">
        <v>7.64</v>
      </c>
      <c r="AK312">
        <v>24.22</v>
      </c>
      <c r="AL312">
        <v>1</v>
      </c>
      <c r="AN312">
        <v>0</v>
      </c>
      <c r="AO312">
        <v>1</v>
      </c>
      <c r="AP312">
        <v>1</v>
      </c>
      <c r="AQ312">
        <v>0</v>
      </c>
      <c r="AR312">
        <v>0</v>
      </c>
      <c r="AS312" t="s">
        <v>6</v>
      </c>
      <c r="AT312">
        <v>1.3</v>
      </c>
      <c r="AU312" t="s">
        <v>126</v>
      </c>
      <c r="AV312">
        <v>0</v>
      </c>
      <c r="AW312">
        <v>2</v>
      </c>
      <c r="AX312">
        <v>31029406</v>
      </c>
      <c r="AY312">
        <v>1</v>
      </c>
      <c r="AZ312">
        <v>0</v>
      </c>
      <c r="BA312">
        <v>336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CX312">
        <f>Y312*Source!I168</f>
        <v>2.4966499999999998</v>
      </c>
      <c r="CY312">
        <f>AB312</f>
        <v>235.69</v>
      </c>
      <c r="CZ312">
        <f>AF312</f>
        <v>30.85</v>
      </c>
      <c r="DA312">
        <f>AJ312</f>
        <v>7.64</v>
      </c>
      <c r="DB312">
        <f>ROUND((ROUND(AT312*CZ312,2)*ROUND((1.25*1.15),7)),6)</f>
        <v>57.658124999999998</v>
      </c>
      <c r="DC312">
        <f>ROUND((ROUND(AT312*AG312,2)*ROUND((1.25*1.15),7)),6)</f>
        <v>24.35125</v>
      </c>
    </row>
    <row r="313" spans="1:107">
      <c r="A313">
        <f>ROW(Source!A168)</f>
        <v>168</v>
      </c>
      <c r="B313">
        <v>31028412</v>
      </c>
      <c r="C313">
        <v>31029392</v>
      </c>
      <c r="D313">
        <v>29150545</v>
      </c>
      <c r="E313">
        <v>1</v>
      </c>
      <c r="F313">
        <v>1</v>
      </c>
      <c r="G313">
        <v>1</v>
      </c>
      <c r="H313">
        <v>3</v>
      </c>
      <c r="I313" t="s">
        <v>927</v>
      </c>
      <c r="J313" t="s">
        <v>928</v>
      </c>
      <c r="K313" t="s">
        <v>929</v>
      </c>
      <c r="L313">
        <v>1348</v>
      </c>
      <c r="N313">
        <v>1009</v>
      </c>
      <c r="O313" t="s">
        <v>137</v>
      </c>
      <c r="P313" t="s">
        <v>137</v>
      </c>
      <c r="Q313">
        <v>1000</v>
      </c>
      <c r="W313">
        <v>0</v>
      </c>
      <c r="X313">
        <v>1380755080</v>
      </c>
      <c r="Y313">
        <v>2.5000000000000001E-3</v>
      </c>
      <c r="AA313">
        <v>56802.01</v>
      </c>
      <c r="AB313">
        <v>0</v>
      </c>
      <c r="AC313">
        <v>0</v>
      </c>
      <c r="AD313">
        <v>0</v>
      </c>
      <c r="AE313">
        <v>9206.16</v>
      </c>
      <c r="AF313">
        <v>0</v>
      </c>
      <c r="AG313">
        <v>0</v>
      </c>
      <c r="AH313">
        <v>0</v>
      </c>
      <c r="AI313">
        <v>6.17</v>
      </c>
      <c r="AJ313">
        <v>1</v>
      </c>
      <c r="AK313">
        <v>1</v>
      </c>
      <c r="AL313">
        <v>1</v>
      </c>
      <c r="AN313">
        <v>0</v>
      </c>
      <c r="AO313">
        <v>1</v>
      </c>
      <c r="AP313">
        <v>0</v>
      </c>
      <c r="AQ313">
        <v>0</v>
      </c>
      <c r="AR313">
        <v>0</v>
      </c>
      <c r="AS313" t="s">
        <v>6</v>
      </c>
      <c r="AT313">
        <v>2.5000000000000001E-3</v>
      </c>
      <c r="AU313" t="s">
        <v>6</v>
      </c>
      <c r="AV313">
        <v>0</v>
      </c>
      <c r="AW313">
        <v>2</v>
      </c>
      <c r="AX313">
        <v>31029407</v>
      </c>
      <c r="AY313">
        <v>1</v>
      </c>
      <c r="AZ313">
        <v>0</v>
      </c>
      <c r="BA313">
        <v>337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CX313">
        <f>Y313*Source!I168</f>
        <v>3.3400000000000001E-3</v>
      </c>
      <c r="CY313">
        <f t="shared" ref="CY313:CY318" si="56">AA313</f>
        <v>56802.01</v>
      </c>
      <c r="CZ313">
        <f t="shared" ref="CZ313:CZ318" si="57">AE313</f>
        <v>9206.16</v>
      </c>
      <c r="DA313">
        <f t="shared" ref="DA313:DA318" si="58">AI313</f>
        <v>6.17</v>
      </c>
      <c r="DB313">
        <f t="shared" ref="DB313:DB318" si="59">ROUND(ROUND(AT313*CZ313,2),6)</f>
        <v>23.02</v>
      </c>
      <c r="DC313">
        <f t="shared" ref="DC313:DC318" si="60">ROUND(ROUND(AT313*AG313,2),6)</f>
        <v>0</v>
      </c>
    </row>
    <row r="314" spans="1:107">
      <c r="A314">
        <f>ROW(Source!A168)</f>
        <v>168</v>
      </c>
      <c r="B314">
        <v>31028412</v>
      </c>
      <c r="C314">
        <v>31029392</v>
      </c>
      <c r="D314">
        <v>29151213</v>
      </c>
      <c r="E314">
        <v>1</v>
      </c>
      <c r="F314">
        <v>1</v>
      </c>
      <c r="G314">
        <v>1</v>
      </c>
      <c r="H314">
        <v>3</v>
      </c>
      <c r="I314" t="s">
        <v>930</v>
      </c>
      <c r="J314" t="s">
        <v>931</v>
      </c>
      <c r="K314" t="s">
        <v>932</v>
      </c>
      <c r="L314">
        <v>1327</v>
      </c>
      <c r="N314">
        <v>1005</v>
      </c>
      <c r="O314" t="s">
        <v>284</v>
      </c>
      <c r="P314" t="s">
        <v>284</v>
      </c>
      <c r="Q314">
        <v>1</v>
      </c>
      <c r="W314">
        <v>0</v>
      </c>
      <c r="X314">
        <v>192456891</v>
      </c>
      <c r="Y314">
        <v>108</v>
      </c>
      <c r="AA314">
        <v>57.94</v>
      </c>
      <c r="AB314">
        <v>0</v>
      </c>
      <c r="AC314">
        <v>0</v>
      </c>
      <c r="AD314">
        <v>0</v>
      </c>
      <c r="AE314">
        <v>9.39</v>
      </c>
      <c r="AF314">
        <v>0</v>
      </c>
      <c r="AG314">
        <v>0</v>
      </c>
      <c r="AH314">
        <v>0</v>
      </c>
      <c r="AI314">
        <v>6.17</v>
      </c>
      <c r="AJ314">
        <v>1</v>
      </c>
      <c r="AK314">
        <v>1</v>
      </c>
      <c r="AL314">
        <v>1</v>
      </c>
      <c r="AN314">
        <v>0</v>
      </c>
      <c r="AO314">
        <v>1</v>
      </c>
      <c r="AP314">
        <v>0</v>
      </c>
      <c r="AQ314">
        <v>0</v>
      </c>
      <c r="AR314">
        <v>0</v>
      </c>
      <c r="AS314" t="s">
        <v>6</v>
      </c>
      <c r="AT314">
        <v>108</v>
      </c>
      <c r="AU314" t="s">
        <v>6</v>
      </c>
      <c r="AV314">
        <v>0</v>
      </c>
      <c r="AW314">
        <v>2</v>
      </c>
      <c r="AX314">
        <v>31029408</v>
      </c>
      <c r="AY314">
        <v>1</v>
      </c>
      <c r="AZ314">
        <v>0</v>
      </c>
      <c r="BA314">
        <v>338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CX314">
        <f>Y314*Source!I168</f>
        <v>144.28800000000001</v>
      </c>
      <c r="CY314">
        <f t="shared" si="56"/>
        <v>57.94</v>
      </c>
      <c r="CZ314">
        <f t="shared" si="57"/>
        <v>9.39</v>
      </c>
      <c r="DA314">
        <f t="shared" si="58"/>
        <v>6.17</v>
      </c>
      <c r="DB314">
        <f t="shared" si="59"/>
        <v>1014.12</v>
      </c>
      <c r="DC314">
        <f t="shared" si="60"/>
        <v>0</v>
      </c>
    </row>
    <row r="315" spans="1:107">
      <c r="A315">
        <f>ROW(Source!A168)</f>
        <v>168</v>
      </c>
      <c r="B315">
        <v>31028412</v>
      </c>
      <c r="C315">
        <v>31029392</v>
      </c>
      <c r="D315">
        <v>29151587</v>
      </c>
      <c r="E315">
        <v>1</v>
      </c>
      <c r="F315">
        <v>1</v>
      </c>
      <c r="G315">
        <v>1</v>
      </c>
      <c r="H315">
        <v>3</v>
      </c>
      <c r="I315" t="s">
        <v>933</v>
      </c>
      <c r="J315" t="s">
        <v>934</v>
      </c>
      <c r="K315" t="s">
        <v>935</v>
      </c>
      <c r="L315">
        <v>1348</v>
      </c>
      <c r="N315">
        <v>1009</v>
      </c>
      <c r="O315" t="s">
        <v>137</v>
      </c>
      <c r="P315" t="s">
        <v>137</v>
      </c>
      <c r="Q315">
        <v>1000</v>
      </c>
      <c r="W315">
        <v>0</v>
      </c>
      <c r="X315">
        <v>-157460125</v>
      </c>
      <c r="Y315">
        <v>1.2999999999999999E-2</v>
      </c>
      <c r="AA315">
        <v>2581.71</v>
      </c>
      <c r="AB315">
        <v>0</v>
      </c>
      <c r="AC315">
        <v>0</v>
      </c>
      <c r="AD315">
        <v>0</v>
      </c>
      <c r="AE315">
        <v>418.43</v>
      </c>
      <c r="AF315">
        <v>0</v>
      </c>
      <c r="AG315">
        <v>0</v>
      </c>
      <c r="AH315">
        <v>0</v>
      </c>
      <c r="AI315">
        <v>6.17</v>
      </c>
      <c r="AJ315">
        <v>1</v>
      </c>
      <c r="AK315">
        <v>1</v>
      </c>
      <c r="AL315">
        <v>1</v>
      </c>
      <c r="AN315">
        <v>0</v>
      </c>
      <c r="AO315">
        <v>1</v>
      </c>
      <c r="AP315">
        <v>0</v>
      </c>
      <c r="AQ315">
        <v>0</v>
      </c>
      <c r="AR315">
        <v>0</v>
      </c>
      <c r="AS315" t="s">
        <v>6</v>
      </c>
      <c r="AT315">
        <v>1.2999999999999999E-2</v>
      </c>
      <c r="AU315" t="s">
        <v>6</v>
      </c>
      <c r="AV315">
        <v>0</v>
      </c>
      <c r="AW315">
        <v>2</v>
      </c>
      <c r="AX315">
        <v>31029409</v>
      </c>
      <c r="AY315">
        <v>1</v>
      </c>
      <c r="AZ315">
        <v>0</v>
      </c>
      <c r="BA315">
        <v>339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CX315">
        <f>Y315*Source!I168</f>
        <v>1.7368000000000001E-2</v>
      </c>
      <c r="CY315">
        <f t="shared" si="56"/>
        <v>2581.71</v>
      </c>
      <c r="CZ315">
        <f t="shared" si="57"/>
        <v>418.43</v>
      </c>
      <c r="DA315">
        <f t="shared" si="58"/>
        <v>6.17</v>
      </c>
      <c r="DB315">
        <f t="shared" si="59"/>
        <v>5.44</v>
      </c>
      <c r="DC315">
        <f t="shared" si="60"/>
        <v>0</v>
      </c>
    </row>
    <row r="316" spans="1:107">
      <c r="A316">
        <f>ROW(Source!A168)</f>
        <v>168</v>
      </c>
      <c r="B316">
        <v>31028412</v>
      </c>
      <c r="C316">
        <v>31029392</v>
      </c>
      <c r="D316">
        <v>29151964</v>
      </c>
      <c r="E316">
        <v>1</v>
      </c>
      <c r="F316">
        <v>1</v>
      </c>
      <c r="G316">
        <v>1</v>
      </c>
      <c r="H316">
        <v>3</v>
      </c>
      <c r="I316" t="s">
        <v>936</v>
      </c>
      <c r="J316" t="s">
        <v>937</v>
      </c>
      <c r="K316" t="s">
        <v>938</v>
      </c>
      <c r="L316">
        <v>1346</v>
      </c>
      <c r="N316">
        <v>1009</v>
      </c>
      <c r="O316" t="s">
        <v>118</v>
      </c>
      <c r="P316" t="s">
        <v>118</v>
      </c>
      <c r="Q316">
        <v>1</v>
      </c>
      <c r="W316">
        <v>0</v>
      </c>
      <c r="X316">
        <v>-699086074</v>
      </c>
      <c r="Y316">
        <v>12</v>
      </c>
      <c r="AA316">
        <v>60.47</v>
      </c>
      <c r="AB316">
        <v>0</v>
      </c>
      <c r="AC316">
        <v>0</v>
      </c>
      <c r="AD316">
        <v>0</v>
      </c>
      <c r="AE316">
        <v>9.8000000000000007</v>
      </c>
      <c r="AF316">
        <v>0</v>
      </c>
      <c r="AG316">
        <v>0</v>
      </c>
      <c r="AH316">
        <v>0</v>
      </c>
      <c r="AI316">
        <v>6.17</v>
      </c>
      <c r="AJ316">
        <v>1</v>
      </c>
      <c r="AK316">
        <v>1</v>
      </c>
      <c r="AL316">
        <v>1</v>
      </c>
      <c r="AN316">
        <v>0</v>
      </c>
      <c r="AO316">
        <v>1</v>
      </c>
      <c r="AP316">
        <v>0</v>
      </c>
      <c r="AQ316">
        <v>0</v>
      </c>
      <c r="AR316">
        <v>0</v>
      </c>
      <c r="AS316" t="s">
        <v>6</v>
      </c>
      <c r="AT316">
        <v>12</v>
      </c>
      <c r="AU316" t="s">
        <v>6</v>
      </c>
      <c r="AV316">
        <v>0</v>
      </c>
      <c r="AW316">
        <v>2</v>
      </c>
      <c r="AX316">
        <v>31029410</v>
      </c>
      <c r="AY316">
        <v>1</v>
      </c>
      <c r="AZ316">
        <v>0</v>
      </c>
      <c r="BA316">
        <v>340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CX316">
        <f>Y316*Source!I168</f>
        <v>16.032</v>
      </c>
      <c r="CY316">
        <f t="shared" si="56"/>
        <v>60.47</v>
      </c>
      <c r="CZ316">
        <f t="shared" si="57"/>
        <v>9.8000000000000007</v>
      </c>
      <c r="DA316">
        <f t="shared" si="58"/>
        <v>6.17</v>
      </c>
      <c r="DB316">
        <f t="shared" si="59"/>
        <v>117.6</v>
      </c>
      <c r="DC316">
        <f t="shared" si="60"/>
        <v>0</v>
      </c>
    </row>
    <row r="317" spans="1:107">
      <c r="A317">
        <f>ROW(Source!A168)</f>
        <v>168</v>
      </c>
      <c r="B317">
        <v>31028412</v>
      </c>
      <c r="C317">
        <v>31029392</v>
      </c>
      <c r="D317">
        <v>29186569</v>
      </c>
      <c r="E317">
        <v>1</v>
      </c>
      <c r="F317">
        <v>1</v>
      </c>
      <c r="G317">
        <v>1</v>
      </c>
      <c r="H317">
        <v>3</v>
      </c>
      <c r="I317" t="s">
        <v>939</v>
      </c>
      <c r="J317" t="s">
        <v>940</v>
      </c>
      <c r="K317" t="s">
        <v>941</v>
      </c>
      <c r="L317">
        <v>1339</v>
      </c>
      <c r="N317">
        <v>1007</v>
      </c>
      <c r="O317" t="s">
        <v>109</v>
      </c>
      <c r="P317" t="s">
        <v>109</v>
      </c>
      <c r="Q317">
        <v>1</v>
      </c>
      <c r="W317">
        <v>0</v>
      </c>
      <c r="X317">
        <v>-913915397</v>
      </c>
      <c r="Y317">
        <v>3.1</v>
      </c>
      <c r="AA317">
        <v>2827.59</v>
      </c>
      <c r="AB317">
        <v>0</v>
      </c>
      <c r="AC317">
        <v>0</v>
      </c>
      <c r="AD317">
        <v>0</v>
      </c>
      <c r="AE317">
        <v>458.28</v>
      </c>
      <c r="AF317">
        <v>0</v>
      </c>
      <c r="AG317">
        <v>0</v>
      </c>
      <c r="AH317">
        <v>0</v>
      </c>
      <c r="AI317">
        <v>6.17</v>
      </c>
      <c r="AJ317">
        <v>1</v>
      </c>
      <c r="AK317">
        <v>1</v>
      </c>
      <c r="AL317">
        <v>1</v>
      </c>
      <c r="AN317">
        <v>0</v>
      </c>
      <c r="AO317">
        <v>1</v>
      </c>
      <c r="AP317">
        <v>0</v>
      </c>
      <c r="AQ317">
        <v>0</v>
      </c>
      <c r="AR317">
        <v>0</v>
      </c>
      <c r="AS317" t="s">
        <v>6</v>
      </c>
      <c r="AT317">
        <v>3.1</v>
      </c>
      <c r="AU317" t="s">
        <v>6</v>
      </c>
      <c r="AV317">
        <v>0</v>
      </c>
      <c r="AW317">
        <v>2</v>
      </c>
      <c r="AX317">
        <v>31029411</v>
      </c>
      <c r="AY317">
        <v>1</v>
      </c>
      <c r="AZ317">
        <v>0</v>
      </c>
      <c r="BA317">
        <v>341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CX317">
        <f>Y317*Source!I168</f>
        <v>4.1416000000000004</v>
      </c>
      <c r="CY317">
        <f t="shared" si="56"/>
        <v>2827.59</v>
      </c>
      <c r="CZ317">
        <f t="shared" si="57"/>
        <v>458.28</v>
      </c>
      <c r="DA317">
        <f t="shared" si="58"/>
        <v>6.17</v>
      </c>
      <c r="DB317">
        <f t="shared" si="59"/>
        <v>1420.67</v>
      </c>
      <c r="DC317">
        <f t="shared" si="60"/>
        <v>0</v>
      </c>
    </row>
    <row r="318" spans="1:107">
      <c r="A318">
        <f>ROW(Source!A168)</f>
        <v>168</v>
      </c>
      <c r="B318">
        <v>31028412</v>
      </c>
      <c r="C318">
        <v>31029392</v>
      </c>
      <c r="D318">
        <v>29195171</v>
      </c>
      <c r="E318">
        <v>1</v>
      </c>
      <c r="F318">
        <v>1</v>
      </c>
      <c r="G318">
        <v>1</v>
      </c>
      <c r="H318">
        <v>3</v>
      </c>
      <c r="I318" t="s">
        <v>830</v>
      </c>
      <c r="J318" t="s">
        <v>831</v>
      </c>
      <c r="K318" t="s">
        <v>832</v>
      </c>
      <c r="L318">
        <v>1339</v>
      </c>
      <c r="N318">
        <v>1007</v>
      </c>
      <c r="O318" t="s">
        <v>109</v>
      </c>
      <c r="P318" t="s">
        <v>109</v>
      </c>
      <c r="Q318">
        <v>1</v>
      </c>
      <c r="W318">
        <v>0</v>
      </c>
      <c r="X318">
        <v>2050165204</v>
      </c>
      <c r="Y318">
        <v>0.01</v>
      </c>
      <c r="AA318">
        <v>15.12</v>
      </c>
      <c r="AB318">
        <v>0</v>
      </c>
      <c r="AC318">
        <v>0</v>
      </c>
      <c r="AD318">
        <v>0</v>
      </c>
      <c r="AE318">
        <v>2.4500000000000002</v>
      </c>
      <c r="AF318">
        <v>0</v>
      </c>
      <c r="AG318">
        <v>0</v>
      </c>
      <c r="AH318">
        <v>0</v>
      </c>
      <c r="AI318">
        <v>6.17</v>
      </c>
      <c r="AJ318">
        <v>1</v>
      </c>
      <c r="AK318">
        <v>1</v>
      </c>
      <c r="AL318">
        <v>1</v>
      </c>
      <c r="AN318">
        <v>0</v>
      </c>
      <c r="AO318">
        <v>1</v>
      </c>
      <c r="AP318">
        <v>0</v>
      </c>
      <c r="AQ318">
        <v>0</v>
      </c>
      <c r="AR318">
        <v>0</v>
      </c>
      <c r="AS318" t="s">
        <v>6</v>
      </c>
      <c r="AT318">
        <v>0.01</v>
      </c>
      <c r="AU318" t="s">
        <v>6</v>
      </c>
      <c r="AV318">
        <v>0</v>
      </c>
      <c r="AW318">
        <v>2</v>
      </c>
      <c r="AX318">
        <v>31029412</v>
      </c>
      <c r="AY318">
        <v>1</v>
      </c>
      <c r="AZ318">
        <v>0</v>
      </c>
      <c r="BA318">
        <v>342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CX318">
        <f>Y318*Source!I168</f>
        <v>1.336E-2</v>
      </c>
      <c r="CY318">
        <f t="shared" si="56"/>
        <v>15.12</v>
      </c>
      <c r="CZ318">
        <f t="shared" si="57"/>
        <v>2.4500000000000002</v>
      </c>
      <c r="DA318">
        <f t="shared" si="58"/>
        <v>6.17</v>
      </c>
      <c r="DB318">
        <f t="shared" si="59"/>
        <v>0.02</v>
      </c>
      <c r="DC318">
        <f t="shared" si="60"/>
        <v>0</v>
      </c>
    </row>
    <row r="319" spans="1:107">
      <c r="A319">
        <f>ROW(Source!A169)</f>
        <v>169</v>
      </c>
      <c r="B319">
        <v>31028412</v>
      </c>
      <c r="C319">
        <v>31029413</v>
      </c>
      <c r="D319">
        <v>29084596</v>
      </c>
      <c r="E319">
        <v>1</v>
      </c>
      <c r="F319">
        <v>1</v>
      </c>
      <c r="G319">
        <v>1</v>
      </c>
      <c r="H319">
        <v>1</v>
      </c>
      <c r="I319" t="s">
        <v>893</v>
      </c>
      <c r="J319" t="s">
        <v>6</v>
      </c>
      <c r="K319" t="s">
        <v>894</v>
      </c>
      <c r="L319">
        <v>1369</v>
      </c>
      <c r="N319">
        <v>1013</v>
      </c>
      <c r="O319" t="s">
        <v>773</v>
      </c>
      <c r="P319" t="s">
        <v>773</v>
      </c>
      <c r="Q319">
        <v>1</v>
      </c>
      <c r="W319">
        <v>0</v>
      </c>
      <c r="X319">
        <v>1607597053</v>
      </c>
      <c r="Y319">
        <v>15.856774999999997</v>
      </c>
      <c r="AA319">
        <v>0</v>
      </c>
      <c r="AB319">
        <v>0</v>
      </c>
      <c r="AC319">
        <v>0</v>
      </c>
      <c r="AD319">
        <v>222.34</v>
      </c>
      <c r="AE319">
        <v>0</v>
      </c>
      <c r="AF319">
        <v>0</v>
      </c>
      <c r="AG319">
        <v>0</v>
      </c>
      <c r="AH319">
        <v>9.18</v>
      </c>
      <c r="AI319">
        <v>1</v>
      </c>
      <c r="AJ319">
        <v>1</v>
      </c>
      <c r="AK319">
        <v>1</v>
      </c>
      <c r="AL319">
        <v>24.22</v>
      </c>
      <c r="AN319">
        <v>0</v>
      </c>
      <c r="AO319">
        <v>1</v>
      </c>
      <c r="AP319">
        <v>1</v>
      </c>
      <c r="AQ319">
        <v>0</v>
      </c>
      <c r="AR319">
        <v>0</v>
      </c>
      <c r="AS319" t="s">
        <v>6</v>
      </c>
      <c r="AT319">
        <v>11.99</v>
      </c>
      <c r="AU319" t="s">
        <v>127</v>
      </c>
      <c r="AV319">
        <v>1</v>
      </c>
      <c r="AW319">
        <v>2</v>
      </c>
      <c r="AX319">
        <v>31029421</v>
      </c>
      <c r="AY319">
        <v>1</v>
      </c>
      <c r="AZ319">
        <v>0</v>
      </c>
      <c r="BA319">
        <v>343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CX319">
        <f>Y319*Source!I169</f>
        <v>7.1038351999999989</v>
      </c>
      <c r="CY319">
        <f>AD319</f>
        <v>222.34</v>
      </c>
      <c r="CZ319">
        <f>AH319</f>
        <v>9.18</v>
      </c>
      <c r="DA319">
        <f>AL319</f>
        <v>24.22</v>
      </c>
      <c r="DB319">
        <f>ROUND((ROUND(AT319*CZ319,2)*ROUND((1.15*1.15),7)),6)</f>
        <v>145.56757500000001</v>
      </c>
      <c r="DC319">
        <f>ROUND((ROUND(AT319*AG319,2)*ROUND((1.15*1.15),7)),6)</f>
        <v>0</v>
      </c>
    </row>
    <row r="320" spans="1:107">
      <c r="A320">
        <f>ROW(Source!A169)</f>
        <v>169</v>
      </c>
      <c r="B320">
        <v>31028412</v>
      </c>
      <c r="C320">
        <v>31029413</v>
      </c>
      <c r="D320">
        <v>29084573</v>
      </c>
      <c r="E320">
        <v>1</v>
      </c>
      <c r="F320">
        <v>1</v>
      </c>
      <c r="G320">
        <v>1</v>
      </c>
      <c r="H320">
        <v>1</v>
      </c>
      <c r="I320" t="s">
        <v>774</v>
      </c>
      <c r="J320" t="s">
        <v>6</v>
      </c>
      <c r="K320" t="s">
        <v>775</v>
      </c>
      <c r="L320">
        <v>608254</v>
      </c>
      <c r="N320">
        <v>1013</v>
      </c>
      <c r="O320" t="s">
        <v>776</v>
      </c>
      <c r="P320" t="s">
        <v>776</v>
      </c>
      <c r="Q320">
        <v>1</v>
      </c>
      <c r="W320">
        <v>0</v>
      </c>
      <c r="X320">
        <v>95408949</v>
      </c>
      <c r="Y320">
        <v>1.4374999999999999E-2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1</v>
      </c>
      <c r="AJ320">
        <v>1</v>
      </c>
      <c r="AK320">
        <v>24.22</v>
      </c>
      <c r="AL320">
        <v>1</v>
      </c>
      <c r="AN320">
        <v>0</v>
      </c>
      <c r="AO320">
        <v>1</v>
      </c>
      <c r="AP320">
        <v>1</v>
      </c>
      <c r="AQ320">
        <v>0</v>
      </c>
      <c r="AR320">
        <v>0</v>
      </c>
      <c r="AS320" t="s">
        <v>6</v>
      </c>
      <c r="AT320">
        <v>0.01</v>
      </c>
      <c r="AU320" t="s">
        <v>126</v>
      </c>
      <c r="AV320">
        <v>2</v>
      </c>
      <c r="AW320">
        <v>2</v>
      </c>
      <c r="AX320">
        <v>31029422</v>
      </c>
      <c r="AY320">
        <v>1</v>
      </c>
      <c r="AZ320">
        <v>0</v>
      </c>
      <c r="BA320">
        <v>344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CX320">
        <f>Y320*Source!I169</f>
        <v>6.4399999999999995E-3</v>
      </c>
      <c r="CY320">
        <f>AD320</f>
        <v>0</v>
      </c>
      <c r="CZ320">
        <f>AH320</f>
        <v>0</v>
      </c>
      <c r="DA320">
        <f>AL320</f>
        <v>1</v>
      </c>
      <c r="DB320">
        <f>ROUND((ROUND(AT320*CZ320,2)*ROUND((1.25*1.15),7)),6)</f>
        <v>0</v>
      </c>
      <c r="DC320">
        <f>ROUND((ROUND(AT320*AG320,2)*ROUND((1.25*1.15),7)),6)</f>
        <v>0</v>
      </c>
    </row>
    <row r="321" spans="1:107">
      <c r="A321">
        <f>ROW(Source!A169)</f>
        <v>169</v>
      </c>
      <c r="B321">
        <v>31028412</v>
      </c>
      <c r="C321">
        <v>31029413</v>
      </c>
      <c r="D321">
        <v>29147732</v>
      </c>
      <c r="E321">
        <v>1</v>
      </c>
      <c r="F321">
        <v>1</v>
      </c>
      <c r="G321">
        <v>1</v>
      </c>
      <c r="H321">
        <v>2</v>
      </c>
      <c r="I321" t="s">
        <v>846</v>
      </c>
      <c r="J321" t="s">
        <v>847</v>
      </c>
      <c r="K321" t="s">
        <v>848</v>
      </c>
      <c r="L321">
        <v>1368</v>
      </c>
      <c r="N321">
        <v>1011</v>
      </c>
      <c r="O321" t="s">
        <v>780</v>
      </c>
      <c r="P321" t="s">
        <v>780</v>
      </c>
      <c r="Q321">
        <v>1</v>
      </c>
      <c r="W321">
        <v>0</v>
      </c>
      <c r="X321">
        <v>-1205898307</v>
      </c>
      <c r="Y321">
        <v>1.4374999999999999E-2</v>
      </c>
      <c r="AA321">
        <v>0</v>
      </c>
      <c r="AB321">
        <v>235.69</v>
      </c>
      <c r="AC321">
        <v>315.58999999999997</v>
      </c>
      <c r="AD321">
        <v>0</v>
      </c>
      <c r="AE321">
        <v>0</v>
      </c>
      <c r="AF321">
        <v>30.85</v>
      </c>
      <c r="AG321">
        <v>13.03</v>
      </c>
      <c r="AH321">
        <v>0</v>
      </c>
      <c r="AI321">
        <v>1</v>
      </c>
      <c r="AJ321">
        <v>7.64</v>
      </c>
      <c r="AK321">
        <v>24.22</v>
      </c>
      <c r="AL321">
        <v>1</v>
      </c>
      <c r="AN321">
        <v>0</v>
      </c>
      <c r="AO321">
        <v>1</v>
      </c>
      <c r="AP321">
        <v>1</v>
      </c>
      <c r="AQ321">
        <v>0</v>
      </c>
      <c r="AR321">
        <v>0</v>
      </c>
      <c r="AS321" t="s">
        <v>6</v>
      </c>
      <c r="AT321">
        <v>0.01</v>
      </c>
      <c r="AU321" t="s">
        <v>126</v>
      </c>
      <c r="AV321">
        <v>0</v>
      </c>
      <c r="AW321">
        <v>2</v>
      </c>
      <c r="AX321">
        <v>31029423</v>
      </c>
      <c r="AY321">
        <v>1</v>
      </c>
      <c r="AZ321">
        <v>0</v>
      </c>
      <c r="BA321">
        <v>345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CX321">
        <f>Y321*Source!I169</f>
        <v>6.4399999999999995E-3</v>
      </c>
      <c r="CY321">
        <f>AB321</f>
        <v>235.69</v>
      </c>
      <c r="CZ321">
        <f>AF321</f>
        <v>30.85</v>
      </c>
      <c r="DA321">
        <f>AJ321</f>
        <v>7.64</v>
      </c>
      <c r="DB321">
        <f>ROUND((ROUND(AT321*CZ321,2)*ROUND((1.25*1.15),7)),6)</f>
        <v>0.44562499999999999</v>
      </c>
      <c r="DC321">
        <f>ROUND((ROUND(AT321*AG321,2)*ROUND((1.25*1.15),7)),6)</f>
        <v>0.18687500000000001</v>
      </c>
    </row>
    <row r="322" spans="1:107">
      <c r="A322">
        <f>ROW(Source!A169)</f>
        <v>169</v>
      </c>
      <c r="B322">
        <v>31028412</v>
      </c>
      <c r="C322">
        <v>31029413</v>
      </c>
      <c r="D322">
        <v>29149520</v>
      </c>
      <c r="E322">
        <v>1</v>
      </c>
      <c r="F322">
        <v>1</v>
      </c>
      <c r="G322">
        <v>1</v>
      </c>
      <c r="H322">
        <v>2</v>
      </c>
      <c r="I322" t="s">
        <v>790</v>
      </c>
      <c r="J322" t="s">
        <v>791</v>
      </c>
      <c r="K322" t="s">
        <v>792</v>
      </c>
      <c r="L322">
        <v>1368</v>
      </c>
      <c r="N322">
        <v>1011</v>
      </c>
      <c r="O322" t="s">
        <v>780</v>
      </c>
      <c r="P322" t="s">
        <v>780</v>
      </c>
      <c r="Q322">
        <v>1</v>
      </c>
      <c r="W322">
        <v>0</v>
      </c>
      <c r="X322">
        <v>-1931461795</v>
      </c>
      <c r="Y322">
        <v>4.3124999999999997E-2</v>
      </c>
      <c r="AA322">
        <v>0</v>
      </c>
      <c r="AB322">
        <v>699.98</v>
      </c>
      <c r="AC322">
        <v>0</v>
      </c>
      <c r="AD322">
        <v>0</v>
      </c>
      <c r="AE322">
        <v>0</v>
      </c>
      <c r="AF322">
        <v>91.62</v>
      </c>
      <c r="AG322">
        <v>0</v>
      </c>
      <c r="AH322">
        <v>0</v>
      </c>
      <c r="AI322">
        <v>1</v>
      </c>
      <c r="AJ322">
        <v>7.64</v>
      </c>
      <c r="AK322">
        <v>24.22</v>
      </c>
      <c r="AL322">
        <v>1</v>
      </c>
      <c r="AN322">
        <v>0</v>
      </c>
      <c r="AO322">
        <v>1</v>
      </c>
      <c r="AP322">
        <v>1</v>
      </c>
      <c r="AQ322">
        <v>0</v>
      </c>
      <c r="AR322">
        <v>0</v>
      </c>
      <c r="AS322" t="s">
        <v>6</v>
      </c>
      <c r="AT322">
        <v>0.03</v>
      </c>
      <c r="AU322" t="s">
        <v>126</v>
      </c>
      <c r="AV322">
        <v>0</v>
      </c>
      <c r="AW322">
        <v>2</v>
      </c>
      <c r="AX322">
        <v>31029424</v>
      </c>
      <c r="AY322">
        <v>1</v>
      </c>
      <c r="AZ322">
        <v>0</v>
      </c>
      <c r="BA322">
        <v>346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CX322">
        <f>Y322*Source!I169</f>
        <v>1.932E-2</v>
      </c>
      <c r="CY322">
        <f>AB322</f>
        <v>699.98</v>
      </c>
      <c r="CZ322">
        <f>AF322</f>
        <v>91.62</v>
      </c>
      <c r="DA322">
        <f>AJ322</f>
        <v>7.64</v>
      </c>
      <c r="DB322">
        <f>ROUND((ROUND(AT322*CZ322,2)*ROUND((1.25*1.15),7)),6)</f>
        <v>3.953125</v>
      </c>
      <c r="DC322">
        <f>ROUND((ROUND(AT322*AG322,2)*ROUND((1.25*1.15),7)),6)</f>
        <v>0</v>
      </c>
    </row>
    <row r="323" spans="1:107">
      <c r="A323">
        <f>ROW(Source!A169)</f>
        <v>169</v>
      </c>
      <c r="B323">
        <v>31028412</v>
      </c>
      <c r="C323">
        <v>31029413</v>
      </c>
      <c r="D323">
        <v>29151861</v>
      </c>
      <c r="E323">
        <v>1</v>
      </c>
      <c r="F323">
        <v>1</v>
      </c>
      <c r="G323">
        <v>1</v>
      </c>
      <c r="H323">
        <v>3</v>
      </c>
      <c r="I323" t="s">
        <v>835</v>
      </c>
      <c r="J323" t="s">
        <v>836</v>
      </c>
      <c r="K323" t="s">
        <v>837</v>
      </c>
      <c r="L323">
        <v>1327</v>
      </c>
      <c r="N323">
        <v>1005</v>
      </c>
      <c r="O323" t="s">
        <v>284</v>
      </c>
      <c r="P323" t="s">
        <v>284</v>
      </c>
      <c r="Q323">
        <v>1</v>
      </c>
      <c r="W323">
        <v>0</v>
      </c>
      <c r="X323">
        <v>1527270933</v>
      </c>
      <c r="Y323">
        <v>4.4000000000000004</v>
      </c>
      <c r="AA323">
        <v>452.82</v>
      </c>
      <c r="AB323">
        <v>0</v>
      </c>
      <c r="AC323">
        <v>0</v>
      </c>
      <c r="AD323">
        <v>0</v>
      </c>
      <c r="AE323">
        <v>73.39</v>
      </c>
      <c r="AF323">
        <v>0</v>
      </c>
      <c r="AG323">
        <v>0</v>
      </c>
      <c r="AH323">
        <v>0</v>
      </c>
      <c r="AI323">
        <v>6.17</v>
      </c>
      <c r="AJ323">
        <v>1</v>
      </c>
      <c r="AK323">
        <v>1</v>
      </c>
      <c r="AL323">
        <v>1</v>
      </c>
      <c r="AN323">
        <v>0</v>
      </c>
      <c r="AO323">
        <v>1</v>
      </c>
      <c r="AP323">
        <v>0</v>
      </c>
      <c r="AQ323">
        <v>0</v>
      </c>
      <c r="AR323">
        <v>0</v>
      </c>
      <c r="AS323" t="s">
        <v>6</v>
      </c>
      <c r="AT323">
        <v>4.4000000000000004</v>
      </c>
      <c r="AU323" t="s">
        <v>6</v>
      </c>
      <c r="AV323">
        <v>0</v>
      </c>
      <c r="AW323">
        <v>2</v>
      </c>
      <c r="AX323">
        <v>31029425</v>
      </c>
      <c r="AY323">
        <v>1</v>
      </c>
      <c r="AZ323">
        <v>0</v>
      </c>
      <c r="BA323">
        <v>347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CX323">
        <f>Y323*Source!I169</f>
        <v>1.9712000000000003</v>
      </c>
      <c r="CY323">
        <f>AA323</f>
        <v>452.82</v>
      </c>
      <c r="CZ323">
        <f>AE323</f>
        <v>73.39</v>
      </c>
      <c r="DA323">
        <f>AI323</f>
        <v>6.17</v>
      </c>
      <c r="DB323">
        <f>ROUND(ROUND(AT323*CZ323,2),6)</f>
        <v>322.92</v>
      </c>
      <c r="DC323">
        <f>ROUND(ROUND(AT323*AG323,2),6)</f>
        <v>0</v>
      </c>
    </row>
    <row r="324" spans="1:107">
      <c r="A324">
        <f>ROW(Source!A169)</f>
        <v>169</v>
      </c>
      <c r="B324">
        <v>31028412</v>
      </c>
      <c r="C324">
        <v>31029413</v>
      </c>
      <c r="D324">
        <v>29151929</v>
      </c>
      <c r="E324">
        <v>1</v>
      </c>
      <c r="F324">
        <v>1</v>
      </c>
      <c r="G324">
        <v>1</v>
      </c>
      <c r="H324">
        <v>3</v>
      </c>
      <c r="I324" t="s">
        <v>914</v>
      </c>
      <c r="J324" t="s">
        <v>915</v>
      </c>
      <c r="K324" t="s">
        <v>916</v>
      </c>
      <c r="L324">
        <v>1348</v>
      </c>
      <c r="N324">
        <v>1009</v>
      </c>
      <c r="O324" t="s">
        <v>137</v>
      </c>
      <c r="P324" t="s">
        <v>137</v>
      </c>
      <c r="Q324">
        <v>1000</v>
      </c>
      <c r="W324">
        <v>0</v>
      </c>
      <c r="X324">
        <v>-706211403</v>
      </c>
      <c r="Y324">
        <v>2.9000000000000001E-2</v>
      </c>
      <c r="AA324">
        <v>19447.53</v>
      </c>
      <c r="AB324">
        <v>0</v>
      </c>
      <c r="AC324">
        <v>0</v>
      </c>
      <c r="AD324">
        <v>0</v>
      </c>
      <c r="AE324">
        <v>3151.95</v>
      </c>
      <c r="AF324">
        <v>0</v>
      </c>
      <c r="AG324">
        <v>0</v>
      </c>
      <c r="AH324">
        <v>0</v>
      </c>
      <c r="AI324">
        <v>6.17</v>
      </c>
      <c r="AJ324">
        <v>1</v>
      </c>
      <c r="AK324">
        <v>1</v>
      </c>
      <c r="AL324">
        <v>1</v>
      </c>
      <c r="AN324">
        <v>0</v>
      </c>
      <c r="AO324">
        <v>1</v>
      </c>
      <c r="AP324">
        <v>0</v>
      </c>
      <c r="AQ324">
        <v>0</v>
      </c>
      <c r="AR324">
        <v>0</v>
      </c>
      <c r="AS324" t="s">
        <v>6</v>
      </c>
      <c r="AT324">
        <v>2.9000000000000001E-2</v>
      </c>
      <c r="AU324" t="s">
        <v>6</v>
      </c>
      <c r="AV324">
        <v>0</v>
      </c>
      <c r="AW324">
        <v>2</v>
      </c>
      <c r="AX324">
        <v>31029426</v>
      </c>
      <c r="AY324">
        <v>1</v>
      </c>
      <c r="AZ324">
        <v>0</v>
      </c>
      <c r="BA324">
        <v>348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CX324">
        <f>Y324*Source!I169</f>
        <v>1.2992E-2</v>
      </c>
      <c r="CY324">
        <f>AA324</f>
        <v>19447.53</v>
      </c>
      <c r="CZ324">
        <f>AE324</f>
        <v>3151.95</v>
      </c>
      <c r="DA324">
        <f>AI324</f>
        <v>6.17</v>
      </c>
      <c r="DB324">
        <f>ROUND(ROUND(AT324*CZ324,2),6)</f>
        <v>91.41</v>
      </c>
      <c r="DC324">
        <f>ROUND(ROUND(AT324*AG324,2),6)</f>
        <v>0</v>
      </c>
    </row>
    <row r="325" spans="1:107">
      <c r="A325">
        <f>ROW(Source!A169)</f>
        <v>169</v>
      </c>
      <c r="B325">
        <v>31028412</v>
      </c>
      <c r="C325">
        <v>31029413</v>
      </c>
      <c r="D325">
        <v>29152014</v>
      </c>
      <c r="E325">
        <v>1</v>
      </c>
      <c r="F325">
        <v>1</v>
      </c>
      <c r="G325">
        <v>1</v>
      </c>
      <c r="H325">
        <v>3</v>
      </c>
      <c r="I325" t="s">
        <v>838</v>
      </c>
      <c r="J325" t="s">
        <v>839</v>
      </c>
      <c r="K325" t="s">
        <v>840</v>
      </c>
      <c r="L325">
        <v>1346</v>
      </c>
      <c r="N325">
        <v>1009</v>
      </c>
      <c r="O325" t="s">
        <v>118</v>
      </c>
      <c r="P325" t="s">
        <v>118</v>
      </c>
      <c r="Q325">
        <v>1</v>
      </c>
      <c r="W325">
        <v>0</v>
      </c>
      <c r="X325">
        <v>-1526040720</v>
      </c>
      <c r="Y325">
        <v>0.15</v>
      </c>
      <c r="AA325">
        <v>11.97</v>
      </c>
      <c r="AB325">
        <v>0</v>
      </c>
      <c r="AC325">
        <v>0</v>
      </c>
      <c r="AD325">
        <v>0</v>
      </c>
      <c r="AE325">
        <v>1.94</v>
      </c>
      <c r="AF325">
        <v>0</v>
      </c>
      <c r="AG325">
        <v>0</v>
      </c>
      <c r="AH325">
        <v>0</v>
      </c>
      <c r="AI325">
        <v>6.17</v>
      </c>
      <c r="AJ325">
        <v>1</v>
      </c>
      <c r="AK325">
        <v>1</v>
      </c>
      <c r="AL325">
        <v>1</v>
      </c>
      <c r="AN325">
        <v>0</v>
      </c>
      <c r="AO325">
        <v>1</v>
      </c>
      <c r="AP325">
        <v>0</v>
      </c>
      <c r="AQ325">
        <v>0</v>
      </c>
      <c r="AR325">
        <v>0</v>
      </c>
      <c r="AS325" t="s">
        <v>6</v>
      </c>
      <c r="AT325">
        <v>0.15</v>
      </c>
      <c r="AU325" t="s">
        <v>6</v>
      </c>
      <c r="AV325">
        <v>0</v>
      </c>
      <c r="AW325">
        <v>2</v>
      </c>
      <c r="AX325">
        <v>31029427</v>
      </c>
      <c r="AY325">
        <v>1</v>
      </c>
      <c r="AZ325">
        <v>0</v>
      </c>
      <c r="BA325">
        <v>349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CX325">
        <f>Y325*Source!I169</f>
        <v>6.7199999999999996E-2</v>
      </c>
      <c r="CY325">
        <f>AA325</f>
        <v>11.97</v>
      </c>
      <c r="CZ325">
        <f>AE325</f>
        <v>1.94</v>
      </c>
      <c r="DA325">
        <f>AI325</f>
        <v>6.17</v>
      </c>
      <c r="DB325">
        <f>ROUND(ROUND(AT325*CZ325,2),6)</f>
        <v>0.28999999999999998</v>
      </c>
      <c r="DC325">
        <f>ROUND(ROUND(AT325*AG325,2),6)</f>
        <v>0</v>
      </c>
    </row>
    <row r="326" spans="1:107">
      <c r="A326">
        <f>ROW(Source!A170)</f>
        <v>170</v>
      </c>
      <c r="B326">
        <v>31028412</v>
      </c>
      <c r="C326">
        <v>31029428</v>
      </c>
      <c r="D326">
        <v>29084594</v>
      </c>
      <c r="E326">
        <v>1</v>
      </c>
      <c r="F326">
        <v>1</v>
      </c>
      <c r="G326">
        <v>1</v>
      </c>
      <c r="H326">
        <v>1</v>
      </c>
      <c r="I326" t="s">
        <v>922</v>
      </c>
      <c r="J326" t="s">
        <v>6</v>
      </c>
      <c r="K326" t="s">
        <v>923</v>
      </c>
      <c r="L326">
        <v>1369</v>
      </c>
      <c r="N326">
        <v>1013</v>
      </c>
      <c r="O326" t="s">
        <v>773</v>
      </c>
      <c r="P326" t="s">
        <v>773</v>
      </c>
      <c r="Q326">
        <v>1</v>
      </c>
      <c r="W326">
        <v>0</v>
      </c>
      <c r="X326">
        <v>-1364176711</v>
      </c>
      <c r="Y326">
        <v>211.16357499999995</v>
      </c>
      <c r="AA326">
        <v>0</v>
      </c>
      <c r="AB326">
        <v>0</v>
      </c>
      <c r="AC326">
        <v>0</v>
      </c>
      <c r="AD326">
        <v>214.59</v>
      </c>
      <c r="AE326">
        <v>0</v>
      </c>
      <c r="AF326">
        <v>0</v>
      </c>
      <c r="AG326">
        <v>0</v>
      </c>
      <c r="AH326">
        <v>8.86</v>
      </c>
      <c r="AI326">
        <v>1</v>
      </c>
      <c r="AJ326">
        <v>1</v>
      </c>
      <c r="AK326">
        <v>1</v>
      </c>
      <c r="AL326">
        <v>24.22</v>
      </c>
      <c r="AN326">
        <v>0</v>
      </c>
      <c r="AO326">
        <v>1</v>
      </c>
      <c r="AP326">
        <v>1</v>
      </c>
      <c r="AQ326">
        <v>0</v>
      </c>
      <c r="AR326">
        <v>0</v>
      </c>
      <c r="AS326" t="s">
        <v>6</v>
      </c>
      <c r="AT326">
        <v>159.66999999999999</v>
      </c>
      <c r="AU326" t="s">
        <v>127</v>
      </c>
      <c r="AV326">
        <v>1</v>
      </c>
      <c r="AW326">
        <v>2</v>
      </c>
      <c r="AX326">
        <v>31029439</v>
      </c>
      <c r="AY326">
        <v>1</v>
      </c>
      <c r="AZ326">
        <v>0</v>
      </c>
      <c r="BA326">
        <v>350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CX326">
        <f>Y326*Source!I170</f>
        <v>187.51325459999995</v>
      </c>
      <c r="CY326">
        <f>AD326</f>
        <v>214.59</v>
      </c>
      <c r="CZ326">
        <f>AH326</f>
        <v>8.86</v>
      </c>
      <c r="DA326">
        <f>AL326</f>
        <v>24.22</v>
      </c>
      <c r="DB326">
        <f>ROUND((ROUND(AT326*CZ326,2)*ROUND((1.15*1.15),7)),6)</f>
        <v>1870.9142999999999</v>
      </c>
      <c r="DC326">
        <f>ROUND((ROUND(AT326*AG326,2)*ROUND((1.15*1.15),7)),6)</f>
        <v>0</v>
      </c>
    </row>
    <row r="327" spans="1:107">
      <c r="A327">
        <f>ROW(Source!A170)</f>
        <v>170</v>
      </c>
      <c r="B327">
        <v>31028412</v>
      </c>
      <c r="C327">
        <v>31029428</v>
      </c>
      <c r="D327">
        <v>29084573</v>
      </c>
      <c r="E327">
        <v>1</v>
      </c>
      <c r="F327">
        <v>1</v>
      </c>
      <c r="G327">
        <v>1</v>
      </c>
      <c r="H327">
        <v>1</v>
      </c>
      <c r="I327" t="s">
        <v>774</v>
      </c>
      <c r="J327" t="s">
        <v>6</v>
      </c>
      <c r="K327" t="s">
        <v>775</v>
      </c>
      <c r="L327">
        <v>608254</v>
      </c>
      <c r="N327">
        <v>1013</v>
      </c>
      <c r="O327" t="s">
        <v>776</v>
      </c>
      <c r="P327" t="s">
        <v>776</v>
      </c>
      <c r="Q327">
        <v>1</v>
      </c>
      <c r="W327">
        <v>0</v>
      </c>
      <c r="X327">
        <v>95408949</v>
      </c>
      <c r="Y327">
        <v>2.3718749999999997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1</v>
      </c>
      <c r="AJ327">
        <v>1</v>
      </c>
      <c r="AK327">
        <v>24.22</v>
      </c>
      <c r="AL327">
        <v>1</v>
      </c>
      <c r="AN327">
        <v>0</v>
      </c>
      <c r="AO327">
        <v>1</v>
      </c>
      <c r="AP327">
        <v>1</v>
      </c>
      <c r="AQ327">
        <v>0</v>
      </c>
      <c r="AR327">
        <v>0</v>
      </c>
      <c r="AS327" t="s">
        <v>6</v>
      </c>
      <c r="AT327">
        <v>1.65</v>
      </c>
      <c r="AU327" t="s">
        <v>126</v>
      </c>
      <c r="AV327">
        <v>2</v>
      </c>
      <c r="AW327">
        <v>2</v>
      </c>
      <c r="AX327">
        <v>31029440</v>
      </c>
      <c r="AY327">
        <v>1</v>
      </c>
      <c r="AZ327">
        <v>0</v>
      </c>
      <c r="BA327">
        <v>351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CX327">
        <f>Y327*Source!I170</f>
        <v>2.1062249999999998</v>
      </c>
      <c r="CY327">
        <f>AD327</f>
        <v>0</v>
      </c>
      <c r="CZ327">
        <f>AH327</f>
        <v>0</v>
      </c>
      <c r="DA327">
        <f>AL327</f>
        <v>1</v>
      </c>
      <c r="DB327">
        <f>ROUND((ROUND(AT327*CZ327,2)*ROUND((1.25*1.15),7)),6)</f>
        <v>0</v>
      </c>
      <c r="DC327">
        <f>ROUND((ROUND(AT327*AG327,2)*ROUND((1.25*1.15),7)),6)</f>
        <v>0</v>
      </c>
    </row>
    <row r="328" spans="1:107">
      <c r="A328">
        <f>ROW(Source!A170)</f>
        <v>170</v>
      </c>
      <c r="B328">
        <v>31028412</v>
      </c>
      <c r="C328">
        <v>31029428</v>
      </c>
      <c r="D328">
        <v>29147673</v>
      </c>
      <c r="E328">
        <v>1</v>
      </c>
      <c r="F328">
        <v>1</v>
      </c>
      <c r="G328">
        <v>1</v>
      </c>
      <c r="H328">
        <v>2</v>
      </c>
      <c r="I328" t="s">
        <v>924</v>
      </c>
      <c r="J328" t="s">
        <v>925</v>
      </c>
      <c r="K328" t="s">
        <v>926</v>
      </c>
      <c r="L328">
        <v>1368</v>
      </c>
      <c r="N328">
        <v>1011</v>
      </c>
      <c r="O328" t="s">
        <v>780</v>
      </c>
      <c r="P328" t="s">
        <v>780</v>
      </c>
      <c r="Q328">
        <v>1</v>
      </c>
      <c r="W328">
        <v>0</v>
      </c>
      <c r="X328">
        <v>-149788903</v>
      </c>
      <c r="Y328">
        <v>0.11499999999999999</v>
      </c>
      <c r="AA328">
        <v>0</v>
      </c>
      <c r="AB328">
        <v>748.34</v>
      </c>
      <c r="AC328">
        <v>235.18</v>
      </c>
      <c r="AD328">
        <v>0</v>
      </c>
      <c r="AE328">
        <v>0</v>
      </c>
      <c r="AF328">
        <v>97.95</v>
      </c>
      <c r="AG328">
        <v>9.7100000000000009</v>
      </c>
      <c r="AH328">
        <v>0</v>
      </c>
      <c r="AI328">
        <v>1</v>
      </c>
      <c r="AJ328">
        <v>7.64</v>
      </c>
      <c r="AK328">
        <v>24.22</v>
      </c>
      <c r="AL328">
        <v>1</v>
      </c>
      <c r="AN328">
        <v>0</v>
      </c>
      <c r="AO328">
        <v>1</v>
      </c>
      <c r="AP328">
        <v>1</v>
      </c>
      <c r="AQ328">
        <v>0</v>
      </c>
      <c r="AR328">
        <v>0</v>
      </c>
      <c r="AS328" t="s">
        <v>6</v>
      </c>
      <c r="AT328">
        <v>0.08</v>
      </c>
      <c r="AU328" t="s">
        <v>126</v>
      </c>
      <c r="AV328">
        <v>0</v>
      </c>
      <c r="AW328">
        <v>2</v>
      </c>
      <c r="AX328">
        <v>31029441</v>
      </c>
      <c r="AY328">
        <v>1</v>
      </c>
      <c r="AZ328">
        <v>0</v>
      </c>
      <c r="BA328">
        <v>352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CX328">
        <f>Y328*Source!I170</f>
        <v>0.10211999999999999</v>
      </c>
      <c r="CY328">
        <f>AB328</f>
        <v>748.34</v>
      </c>
      <c r="CZ328">
        <f>AF328</f>
        <v>97.95</v>
      </c>
      <c r="DA328">
        <f>AJ328</f>
        <v>7.64</v>
      </c>
      <c r="DB328">
        <f>ROUND((ROUND(AT328*CZ328,2)*ROUND((1.25*1.15),7)),6)</f>
        <v>11.27</v>
      </c>
      <c r="DC328">
        <f>ROUND((ROUND(AT328*AG328,2)*ROUND((1.25*1.15),7)),6)</f>
        <v>1.1212500000000001</v>
      </c>
    </row>
    <row r="329" spans="1:107">
      <c r="A329">
        <f>ROW(Source!A170)</f>
        <v>170</v>
      </c>
      <c r="B329">
        <v>31028412</v>
      </c>
      <c r="C329">
        <v>31029428</v>
      </c>
      <c r="D329">
        <v>29147732</v>
      </c>
      <c r="E329">
        <v>1</v>
      </c>
      <c r="F329">
        <v>1</v>
      </c>
      <c r="G329">
        <v>1</v>
      </c>
      <c r="H329">
        <v>2</v>
      </c>
      <c r="I329" t="s">
        <v>846</v>
      </c>
      <c r="J329" t="s">
        <v>847</v>
      </c>
      <c r="K329" t="s">
        <v>848</v>
      </c>
      <c r="L329">
        <v>1368</v>
      </c>
      <c r="N329">
        <v>1011</v>
      </c>
      <c r="O329" t="s">
        <v>780</v>
      </c>
      <c r="P329" t="s">
        <v>780</v>
      </c>
      <c r="Q329">
        <v>1</v>
      </c>
      <c r="W329">
        <v>0</v>
      </c>
      <c r="X329">
        <v>-1205898307</v>
      </c>
      <c r="Y329">
        <v>0.388125</v>
      </c>
      <c r="AA329">
        <v>0</v>
      </c>
      <c r="AB329">
        <v>235.69</v>
      </c>
      <c r="AC329">
        <v>315.58999999999997</v>
      </c>
      <c r="AD329">
        <v>0</v>
      </c>
      <c r="AE329">
        <v>0</v>
      </c>
      <c r="AF329">
        <v>30.85</v>
      </c>
      <c r="AG329">
        <v>13.03</v>
      </c>
      <c r="AH329">
        <v>0</v>
      </c>
      <c r="AI329">
        <v>1</v>
      </c>
      <c r="AJ329">
        <v>7.64</v>
      </c>
      <c r="AK329">
        <v>24.22</v>
      </c>
      <c r="AL329">
        <v>1</v>
      </c>
      <c r="AN329">
        <v>0</v>
      </c>
      <c r="AO329">
        <v>1</v>
      </c>
      <c r="AP329">
        <v>1</v>
      </c>
      <c r="AQ329">
        <v>0</v>
      </c>
      <c r="AR329">
        <v>0</v>
      </c>
      <c r="AS329" t="s">
        <v>6</v>
      </c>
      <c r="AT329">
        <v>0.27</v>
      </c>
      <c r="AU329" t="s">
        <v>126</v>
      </c>
      <c r="AV329">
        <v>0</v>
      </c>
      <c r="AW329">
        <v>2</v>
      </c>
      <c r="AX329">
        <v>31029442</v>
      </c>
      <c r="AY329">
        <v>1</v>
      </c>
      <c r="AZ329">
        <v>0</v>
      </c>
      <c r="BA329">
        <v>353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CX329">
        <f>Y329*Source!I170</f>
        <v>0.34465499999999999</v>
      </c>
      <c r="CY329">
        <f>AB329</f>
        <v>235.69</v>
      </c>
      <c r="CZ329">
        <f>AF329</f>
        <v>30.85</v>
      </c>
      <c r="DA329">
        <f>AJ329</f>
        <v>7.64</v>
      </c>
      <c r="DB329">
        <f>ROUND((ROUND(AT329*CZ329,2)*ROUND((1.25*1.15),7)),6)</f>
        <v>11.974375</v>
      </c>
      <c r="DC329">
        <f>ROUND((ROUND(AT329*AG329,2)*ROUND((1.25*1.15),7)),6)</f>
        <v>5.0599999999999996</v>
      </c>
    </row>
    <row r="330" spans="1:107">
      <c r="A330">
        <f>ROW(Source!A170)</f>
        <v>170</v>
      </c>
      <c r="B330">
        <v>31028412</v>
      </c>
      <c r="C330">
        <v>31029428</v>
      </c>
      <c r="D330">
        <v>29148135</v>
      </c>
      <c r="E330">
        <v>1</v>
      </c>
      <c r="F330">
        <v>1</v>
      </c>
      <c r="G330">
        <v>1</v>
      </c>
      <c r="H330">
        <v>2</v>
      </c>
      <c r="I330" t="s">
        <v>948</v>
      </c>
      <c r="J330" t="s">
        <v>949</v>
      </c>
      <c r="K330" t="s">
        <v>950</v>
      </c>
      <c r="L330">
        <v>1368</v>
      </c>
      <c r="N330">
        <v>1011</v>
      </c>
      <c r="O330" t="s">
        <v>780</v>
      </c>
      <c r="P330" t="s">
        <v>780</v>
      </c>
      <c r="Q330">
        <v>1</v>
      </c>
      <c r="W330">
        <v>0</v>
      </c>
      <c r="X330">
        <v>-1933209150</v>
      </c>
      <c r="Y330">
        <v>1.8687499999999999</v>
      </c>
      <c r="AA330">
        <v>0</v>
      </c>
      <c r="AB330">
        <v>91.99</v>
      </c>
      <c r="AC330">
        <v>235.18</v>
      </c>
      <c r="AD330">
        <v>0</v>
      </c>
      <c r="AE330">
        <v>0</v>
      </c>
      <c r="AF330">
        <v>12.04</v>
      </c>
      <c r="AG330">
        <v>9.7100000000000009</v>
      </c>
      <c r="AH330">
        <v>0</v>
      </c>
      <c r="AI330">
        <v>1</v>
      </c>
      <c r="AJ330">
        <v>7.64</v>
      </c>
      <c r="AK330">
        <v>24.22</v>
      </c>
      <c r="AL330">
        <v>1</v>
      </c>
      <c r="AN330">
        <v>0</v>
      </c>
      <c r="AO330">
        <v>1</v>
      </c>
      <c r="AP330">
        <v>1</v>
      </c>
      <c r="AQ330">
        <v>0</v>
      </c>
      <c r="AR330">
        <v>0</v>
      </c>
      <c r="AS330" t="s">
        <v>6</v>
      </c>
      <c r="AT330">
        <v>1.3</v>
      </c>
      <c r="AU330" t="s">
        <v>126</v>
      </c>
      <c r="AV330">
        <v>0</v>
      </c>
      <c r="AW330">
        <v>2</v>
      </c>
      <c r="AX330">
        <v>31029443</v>
      </c>
      <c r="AY330">
        <v>1</v>
      </c>
      <c r="AZ330">
        <v>0</v>
      </c>
      <c r="BA330">
        <v>354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CX330">
        <f>Y330*Source!I170</f>
        <v>1.6594499999999999</v>
      </c>
      <c r="CY330">
        <f>AB330</f>
        <v>91.99</v>
      </c>
      <c r="CZ330">
        <f>AF330</f>
        <v>12.04</v>
      </c>
      <c r="DA330">
        <f>AJ330</f>
        <v>7.64</v>
      </c>
      <c r="DB330">
        <f>ROUND((ROUND(AT330*CZ330,2)*ROUND((1.25*1.15),7)),6)</f>
        <v>22.496874999999999</v>
      </c>
      <c r="DC330">
        <f>ROUND((ROUND(AT330*AG330,2)*ROUND((1.25*1.15),7)),6)</f>
        <v>18.141249999999999</v>
      </c>
    </row>
    <row r="331" spans="1:107">
      <c r="A331">
        <f>ROW(Source!A170)</f>
        <v>170</v>
      </c>
      <c r="B331">
        <v>31028412</v>
      </c>
      <c r="C331">
        <v>31029428</v>
      </c>
      <c r="D331">
        <v>29150615</v>
      </c>
      <c r="E331">
        <v>1</v>
      </c>
      <c r="F331">
        <v>1</v>
      </c>
      <c r="G331">
        <v>1</v>
      </c>
      <c r="H331">
        <v>3</v>
      </c>
      <c r="I331" t="s">
        <v>951</v>
      </c>
      <c r="J331" t="s">
        <v>952</v>
      </c>
      <c r="K331" t="s">
        <v>953</v>
      </c>
      <c r="L331">
        <v>1327</v>
      </c>
      <c r="N331">
        <v>1005</v>
      </c>
      <c r="O331" t="s">
        <v>284</v>
      </c>
      <c r="P331" t="s">
        <v>284</v>
      </c>
      <c r="Q331">
        <v>1</v>
      </c>
      <c r="W331">
        <v>0</v>
      </c>
      <c r="X331">
        <v>393653988</v>
      </c>
      <c r="Y331">
        <v>100</v>
      </c>
      <c r="AA331">
        <v>450.22</v>
      </c>
      <c r="AB331">
        <v>0</v>
      </c>
      <c r="AC331">
        <v>0</v>
      </c>
      <c r="AD331">
        <v>0</v>
      </c>
      <c r="AE331">
        <v>72.97</v>
      </c>
      <c r="AF331">
        <v>0</v>
      </c>
      <c r="AG331">
        <v>0</v>
      </c>
      <c r="AH331">
        <v>0</v>
      </c>
      <c r="AI331">
        <v>6.17</v>
      </c>
      <c r="AJ331">
        <v>1</v>
      </c>
      <c r="AK331">
        <v>1</v>
      </c>
      <c r="AL331">
        <v>1</v>
      </c>
      <c r="AN331">
        <v>0</v>
      </c>
      <c r="AO331">
        <v>1</v>
      </c>
      <c r="AP331">
        <v>0</v>
      </c>
      <c r="AQ331">
        <v>0</v>
      </c>
      <c r="AR331">
        <v>0</v>
      </c>
      <c r="AS331" t="s">
        <v>6</v>
      </c>
      <c r="AT331">
        <v>100</v>
      </c>
      <c r="AU331" t="s">
        <v>6</v>
      </c>
      <c r="AV331">
        <v>0</v>
      </c>
      <c r="AW331">
        <v>2</v>
      </c>
      <c r="AX331">
        <v>31029444</v>
      </c>
      <c r="AY331">
        <v>1</v>
      </c>
      <c r="AZ331">
        <v>0</v>
      </c>
      <c r="BA331">
        <v>355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CX331">
        <f>Y331*Source!I170</f>
        <v>88.8</v>
      </c>
      <c r="CY331">
        <f>AA331</f>
        <v>450.22</v>
      </c>
      <c r="CZ331">
        <f>AE331</f>
        <v>72.97</v>
      </c>
      <c r="DA331">
        <f>AI331</f>
        <v>6.17</v>
      </c>
      <c r="DB331">
        <f>ROUND(ROUND(AT331*CZ331,2),6)</f>
        <v>7297</v>
      </c>
      <c r="DC331">
        <f>ROUND(ROUND(AT331*AG331,2),6)</f>
        <v>0</v>
      </c>
    </row>
    <row r="332" spans="1:107">
      <c r="A332">
        <f>ROW(Source!A170)</f>
        <v>170</v>
      </c>
      <c r="B332">
        <v>31028412</v>
      </c>
      <c r="C332">
        <v>31029428</v>
      </c>
      <c r="D332">
        <v>29152014</v>
      </c>
      <c r="E332">
        <v>1</v>
      </c>
      <c r="F332">
        <v>1</v>
      </c>
      <c r="G332">
        <v>1</v>
      </c>
      <c r="H332">
        <v>3</v>
      </c>
      <c r="I332" t="s">
        <v>838</v>
      </c>
      <c r="J332" t="s">
        <v>839</v>
      </c>
      <c r="K332" t="s">
        <v>840</v>
      </c>
      <c r="L332">
        <v>1346</v>
      </c>
      <c r="N332">
        <v>1009</v>
      </c>
      <c r="O332" t="s">
        <v>118</v>
      </c>
      <c r="P332" t="s">
        <v>118</v>
      </c>
      <c r="Q332">
        <v>1</v>
      </c>
      <c r="W332">
        <v>0</v>
      </c>
      <c r="X332">
        <v>-1526040720</v>
      </c>
      <c r="Y332">
        <v>0.5</v>
      </c>
      <c r="AA332">
        <v>11.97</v>
      </c>
      <c r="AB332">
        <v>0</v>
      </c>
      <c r="AC332">
        <v>0</v>
      </c>
      <c r="AD332">
        <v>0</v>
      </c>
      <c r="AE332">
        <v>1.94</v>
      </c>
      <c r="AF332">
        <v>0</v>
      </c>
      <c r="AG332">
        <v>0</v>
      </c>
      <c r="AH332">
        <v>0</v>
      </c>
      <c r="AI332">
        <v>6.17</v>
      </c>
      <c r="AJ332">
        <v>1</v>
      </c>
      <c r="AK332">
        <v>1</v>
      </c>
      <c r="AL332">
        <v>1</v>
      </c>
      <c r="AN332">
        <v>0</v>
      </c>
      <c r="AO332">
        <v>1</v>
      </c>
      <c r="AP332">
        <v>0</v>
      </c>
      <c r="AQ332">
        <v>0</v>
      </c>
      <c r="AR332">
        <v>0</v>
      </c>
      <c r="AS332" t="s">
        <v>6</v>
      </c>
      <c r="AT332">
        <v>0.5</v>
      </c>
      <c r="AU332" t="s">
        <v>6</v>
      </c>
      <c r="AV332">
        <v>0</v>
      </c>
      <c r="AW332">
        <v>2</v>
      </c>
      <c r="AX332">
        <v>31029445</v>
      </c>
      <c r="AY332">
        <v>1</v>
      </c>
      <c r="AZ332">
        <v>0</v>
      </c>
      <c r="BA332">
        <v>356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CX332">
        <f>Y332*Source!I170</f>
        <v>0.44400000000000001</v>
      </c>
      <c r="CY332">
        <f>AA332</f>
        <v>11.97</v>
      </c>
      <c r="CZ332">
        <f>AE332</f>
        <v>1.94</v>
      </c>
      <c r="DA332">
        <f>AI332</f>
        <v>6.17</v>
      </c>
      <c r="DB332">
        <f>ROUND(ROUND(AT332*CZ332,2),6)</f>
        <v>0.97</v>
      </c>
      <c r="DC332">
        <f>ROUND(ROUND(AT332*AG332,2),6)</f>
        <v>0</v>
      </c>
    </row>
    <row r="333" spans="1:107">
      <c r="A333">
        <f>ROW(Source!A170)</f>
        <v>170</v>
      </c>
      <c r="B333">
        <v>31028412</v>
      </c>
      <c r="C333">
        <v>31029428</v>
      </c>
      <c r="D333">
        <v>29152032</v>
      </c>
      <c r="E333">
        <v>1</v>
      </c>
      <c r="F333">
        <v>1</v>
      </c>
      <c r="G333">
        <v>1</v>
      </c>
      <c r="H333">
        <v>3</v>
      </c>
      <c r="I333" t="s">
        <v>954</v>
      </c>
      <c r="J333" t="s">
        <v>955</v>
      </c>
      <c r="K333" t="s">
        <v>956</v>
      </c>
      <c r="L333">
        <v>1348</v>
      </c>
      <c r="N333">
        <v>1009</v>
      </c>
      <c r="O333" t="s">
        <v>137</v>
      </c>
      <c r="P333" t="s">
        <v>137</v>
      </c>
      <c r="Q333">
        <v>1000</v>
      </c>
      <c r="W333">
        <v>0</v>
      </c>
      <c r="X333">
        <v>2020986646</v>
      </c>
      <c r="Y333">
        <v>0.375</v>
      </c>
      <c r="AA333">
        <v>28343.31</v>
      </c>
      <c r="AB333">
        <v>0</v>
      </c>
      <c r="AC333">
        <v>0</v>
      </c>
      <c r="AD333">
        <v>0</v>
      </c>
      <c r="AE333">
        <v>4593.7299999999996</v>
      </c>
      <c r="AF333">
        <v>0</v>
      </c>
      <c r="AG333">
        <v>0</v>
      </c>
      <c r="AH333">
        <v>0</v>
      </c>
      <c r="AI333">
        <v>6.17</v>
      </c>
      <c r="AJ333">
        <v>1</v>
      </c>
      <c r="AK333">
        <v>1</v>
      </c>
      <c r="AL333">
        <v>1</v>
      </c>
      <c r="AN333">
        <v>0</v>
      </c>
      <c r="AO333">
        <v>1</v>
      </c>
      <c r="AP333">
        <v>0</v>
      </c>
      <c r="AQ333">
        <v>0</v>
      </c>
      <c r="AR333">
        <v>0</v>
      </c>
      <c r="AS333" t="s">
        <v>6</v>
      </c>
      <c r="AT333">
        <v>0.375</v>
      </c>
      <c r="AU333" t="s">
        <v>6</v>
      </c>
      <c r="AV333">
        <v>0</v>
      </c>
      <c r="AW333">
        <v>2</v>
      </c>
      <c r="AX333">
        <v>31029446</v>
      </c>
      <c r="AY333">
        <v>1</v>
      </c>
      <c r="AZ333">
        <v>0</v>
      </c>
      <c r="BA333">
        <v>357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CX333">
        <f>Y333*Source!I170</f>
        <v>0.33300000000000002</v>
      </c>
      <c r="CY333">
        <f>AA333</f>
        <v>28343.31</v>
      </c>
      <c r="CZ333">
        <f>AE333</f>
        <v>4593.7299999999996</v>
      </c>
      <c r="DA333">
        <f>AI333</f>
        <v>6.17</v>
      </c>
      <c r="DB333">
        <f>ROUND(ROUND(AT333*CZ333,2),6)</f>
        <v>1722.65</v>
      </c>
      <c r="DC333">
        <f>ROUND(ROUND(AT333*AG333,2),6)</f>
        <v>0</v>
      </c>
    </row>
    <row r="334" spans="1:107">
      <c r="A334">
        <f>ROW(Source!A170)</f>
        <v>170</v>
      </c>
      <c r="B334">
        <v>31028412</v>
      </c>
      <c r="C334">
        <v>31029428</v>
      </c>
      <c r="D334">
        <v>29186553</v>
      </c>
      <c r="E334">
        <v>1</v>
      </c>
      <c r="F334">
        <v>1</v>
      </c>
      <c r="G334">
        <v>1</v>
      </c>
      <c r="H334">
        <v>3</v>
      </c>
      <c r="I334" t="s">
        <v>957</v>
      </c>
      <c r="J334" t="s">
        <v>958</v>
      </c>
      <c r="K334" t="s">
        <v>959</v>
      </c>
      <c r="L334">
        <v>1348</v>
      </c>
      <c r="N334">
        <v>1009</v>
      </c>
      <c r="O334" t="s">
        <v>137</v>
      </c>
      <c r="P334" t="s">
        <v>137</v>
      </c>
      <c r="Q334">
        <v>1000</v>
      </c>
      <c r="W334">
        <v>0</v>
      </c>
      <c r="X334">
        <v>-1990267052</v>
      </c>
      <c r="Y334">
        <v>0.05</v>
      </c>
      <c r="AA334">
        <v>59571.23</v>
      </c>
      <c r="AB334">
        <v>0</v>
      </c>
      <c r="AC334">
        <v>0</v>
      </c>
      <c r="AD334">
        <v>0</v>
      </c>
      <c r="AE334">
        <v>9654.98</v>
      </c>
      <c r="AF334">
        <v>0</v>
      </c>
      <c r="AG334">
        <v>0</v>
      </c>
      <c r="AH334">
        <v>0</v>
      </c>
      <c r="AI334">
        <v>6.17</v>
      </c>
      <c r="AJ334">
        <v>1</v>
      </c>
      <c r="AK334">
        <v>1</v>
      </c>
      <c r="AL334">
        <v>1</v>
      </c>
      <c r="AN334">
        <v>0</v>
      </c>
      <c r="AO334">
        <v>1</v>
      </c>
      <c r="AP334">
        <v>0</v>
      </c>
      <c r="AQ334">
        <v>0</v>
      </c>
      <c r="AR334">
        <v>0</v>
      </c>
      <c r="AS334" t="s">
        <v>6</v>
      </c>
      <c r="AT334">
        <v>0.05</v>
      </c>
      <c r="AU334" t="s">
        <v>6</v>
      </c>
      <c r="AV334">
        <v>0</v>
      </c>
      <c r="AW334">
        <v>2</v>
      </c>
      <c r="AX334">
        <v>31029447</v>
      </c>
      <c r="AY334">
        <v>1</v>
      </c>
      <c r="AZ334">
        <v>0</v>
      </c>
      <c r="BA334">
        <v>358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CX334">
        <f>Y334*Source!I170</f>
        <v>4.4400000000000002E-2</v>
      </c>
      <c r="CY334">
        <f>AA334</f>
        <v>59571.23</v>
      </c>
      <c r="CZ334">
        <f>AE334</f>
        <v>9654.98</v>
      </c>
      <c r="DA334">
        <f>AI334</f>
        <v>6.17</v>
      </c>
      <c r="DB334">
        <f>ROUND(ROUND(AT334*CZ334,2),6)</f>
        <v>482.75</v>
      </c>
      <c r="DC334">
        <f>ROUND(ROUND(AT334*AG334,2),6)</f>
        <v>0</v>
      </c>
    </row>
    <row r="335" spans="1:107">
      <c r="A335">
        <f>ROW(Source!A170)</f>
        <v>170</v>
      </c>
      <c r="B335">
        <v>31028412</v>
      </c>
      <c r="C335">
        <v>31029428</v>
      </c>
      <c r="D335">
        <v>29195171</v>
      </c>
      <c r="E335">
        <v>1</v>
      </c>
      <c r="F335">
        <v>1</v>
      </c>
      <c r="G335">
        <v>1</v>
      </c>
      <c r="H335">
        <v>3</v>
      </c>
      <c r="I335" t="s">
        <v>830</v>
      </c>
      <c r="J335" t="s">
        <v>831</v>
      </c>
      <c r="K335" t="s">
        <v>832</v>
      </c>
      <c r="L335">
        <v>1339</v>
      </c>
      <c r="N335">
        <v>1007</v>
      </c>
      <c r="O335" t="s">
        <v>109</v>
      </c>
      <c r="P335" t="s">
        <v>109</v>
      </c>
      <c r="Q335">
        <v>1</v>
      </c>
      <c r="W335">
        <v>0</v>
      </c>
      <c r="X335">
        <v>2050165204</v>
      </c>
      <c r="Y335">
        <v>0.93</v>
      </c>
      <c r="AA335">
        <v>15.12</v>
      </c>
      <c r="AB335">
        <v>0</v>
      </c>
      <c r="AC335">
        <v>0</v>
      </c>
      <c r="AD335">
        <v>0</v>
      </c>
      <c r="AE335">
        <v>2.4500000000000002</v>
      </c>
      <c r="AF335">
        <v>0</v>
      </c>
      <c r="AG335">
        <v>0</v>
      </c>
      <c r="AH335">
        <v>0</v>
      </c>
      <c r="AI335">
        <v>6.17</v>
      </c>
      <c r="AJ335">
        <v>1</v>
      </c>
      <c r="AK335">
        <v>1</v>
      </c>
      <c r="AL335">
        <v>1</v>
      </c>
      <c r="AN335">
        <v>0</v>
      </c>
      <c r="AO335">
        <v>1</v>
      </c>
      <c r="AP335">
        <v>0</v>
      </c>
      <c r="AQ335">
        <v>0</v>
      </c>
      <c r="AR335">
        <v>0</v>
      </c>
      <c r="AS335" t="s">
        <v>6</v>
      </c>
      <c r="AT335">
        <v>0.93</v>
      </c>
      <c r="AU335" t="s">
        <v>6</v>
      </c>
      <c r="AV335">
        <v>0</v>
      </c>
      <c r="AW335">
        <v>2</v>
      </c>
      <c r="AX335">
        <v>31029448</v>
      </c>
      <c r="AY335">
        <v>1</v>
      </c>
      <c r="AZ335">
        <v>0</v>
      </c>
      <c r="BA335">
        <v>359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CX335">
        <f>Y335*Source!I170</f>
        <v>0.82584000000000002</v>
      </c>
      <c r="CY335">
        <f>AA335</f>
        <v>15.12</v>
      </c>
      <c r="CZ335">
        <f>AE335</f>
        <v>2.4500000000000002</v>
      </c>
      <c r="DA335">
        <f>AI335</f>
        <v>6.17</v>
      </c>
      <c r="DB335">
        <f>ROUND(ROUND(AT335*CZ335,2),6)</f>
        <v>2.2799999999999998</v>
      </c>
      <c r="DC335">
        <f>ROUND(ROUND(AT335*AG335,2),6)</f>
        <v>0</v>
      </c>
    </row>
    <row r="336" spans="1:107">
      <c r="A336">
        <f>ROW(Source!A171)</f>
        <v>171</v>
      </c>
      <c r="B336">
        <v>31028412</v>
      </c>
      <c r="C336">
        <v>31029449</v>
      </c>
      <c r="D336">
        <v>29084579</v>
      </c>
      <c r="E336">
        <v>1</v>
      </c>
      <c r="F336">
        <v>1</v>
      </c>
      <c r="G336">
        <v>1</v>
      </c>
      <c r="H336">
        <v>1</v>
      </c>
      <c r="I336" t="s">
        <v>849</v>
      </c>
      <c r="J336" t="s">
        <v>6</v>
      </c>
      <c r="K336" t="s">
        <v>850</v>
      </c>
      <c r="L336">
        <v>1369</v>
      </c>
      <c r="N336">
        <v>1013</v>
      </c>
      <c r="O336" t="s">
        <v>773</v>
      </c>
      <c r="P336" t="s">
        <v>773</v>
      </c>
      <c r="Q336">
        <v>1</v>
      </c>
      <c r="W336">
        <v>0</v>
      </c>
      <c r="X336">
        <v>260198247</v>
      </c>
      <c r="Y336">
        <v>90.921875</v>
      </c>
      <c r="AA336">
        <v>0</v>
      </c>
      <c r="AB336">
        <v>0</v>
      </c>
      <c r="AC336">
        <v>0</v>
      </c>
      <c r="AD336">
        <v>225</v>
      </c>
      <c r="AE336">
        <v>0</v>
      </c>
      <c r="AF336">
        <v>0</v>
      </c>
      <c r="AG336">
        <v>0</v>
      </c>
      <c r="AH336">
        <v>9.2899999999999991</v>
      </c>
      <c r="AI336">
        <v>1</v>
      </c>
      <c r="AJ336">
        <v>1</v>
      </c>
      <c r="AK336">
        <v>1</v>
      </c>
      <c r="AL336">
        <v>24.22</v>
      </c>
      <c r="AN336">
        <v>0</v>
      </c>
      <c r="AO336">
        <v>1</v>
      </c>
      <c r="AP336">
        <v>1</v>
      </c>
      <c r="AQ336">
        <v>0</v>
      </c>
      <c r="AR336">
        <v>0</v>
      </c>
      <c r="AS336" t="s">
        <v>6</v>
      </c>
      <c r="AT336">
        <v>68.75</v>
      </c>
      <c r="AU336" t="s">
        <v>127</v>
      </c>
      <c r="AV336">
        <v>1</v>
      </c>
      <c r="AW336">
        <v>2</v>
      </c>
      <c r="AX336">
        <v>31029458</v>
      </c>
      <c r="AY336">
        <v>1</v>
      </c>
      <c r="AZ336">
        <v>0</v>
      </c>
      <c r="BA336">
        <v>360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CX336">
        <f>Y336*Source!I171</f>
        <v>40.733000000000004</v>
      </c>
      <c r="CY336">
        <f>AD336</f>
        <v>225</v>
      </c>
      <c r="CZ336">
        <f>AH336</f>
        <v>9.2899999999999991</v>
      </c>
      <c r="DA336">
        <f>AL336</f>
        <v>24.22</v>
      </c>
      <c r="DB336">
        <f>ROUND((ROUND(AT336*CZ336,2)*ROUND((1.15*1.15),7)),6)</f>
        <v>844.66752499999996</v>
      </c>
      <c r="DC336">
        <f>ROUND((ROUND(AT336*AG336,2)*ROUND((1.15*1.15),7)),6)</f>
        <v>0</v>
      </c>
    </row>
    <row r="337" spans="1:107">
      <c r="A337">
        <f>ROW(Source!A171)</f>
        <v>171</v>
      </c>
      <c r="B337">
        <v>31028412</v>
      </c>
      <c r="C337">
        <v>31029449</v>
      </c>
      <c r="D337">
        <v>29084573</v>
      </c>
      <c r="E337">
        <v>1</v>
      </c>
      <c r="F337">
        <v>1</v>
      </c>
      <c r="G337">
        <v>1</v>
      </c>
      <c r="H337">
        <v>1</v>
      </c>
      <c r="I337" t="s">
        <v>774</v>
      </c>
      <c r="J337" t="s">
        <v>6</v>
      </c>
      <c r="K337" t="s">
        <v>775</v>
      </c>
      <c r="L337">
        <v>608254</v>
      </c>
      <c r="N337">
        <v>1013</v>
      </c>
      <c r="O337" t="s">
        <v>776</v>
      </c>
      <c r="P337" t="s">
        <v>776</v>
      </c>
      <c r="Q337">
        <v>1</v>
      </c>
      <c r="W337">
        <v>0</v>
      </c>
      <c r="X337">
        <v>95408949</v>
      </c>
      <c r="Y337">
        <v>4.3124999999999997E-2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1</v>
      </c>
      <c r="AJ337">
        <v>1</v>
      </c>
      <c r="AK337">
        <v>24.22</v>
      </c>
      <c r="AL337">
        <v>1</v>
      </c>
      <c r="AN337">
        <v>0</v>
      </c>
      <c r="AO337">
        <v>1</v>
      </c>
      <c r="AP337">
        <v>1</v>
      </c>
      <c r="AQ337">
        <v>0</v>
      </c>
      <c r="AR337">
        <v>0</v>
      </c>
      <c r="AS337" t="s">
        <v>6</v>
      </c>
      <c r="AT337">
        <v>0.03</v>
      </c>
      <c r="AU337" t="s">
        <v>126</v>
      </c>
      <c r="AV337">
        <v>2</v>
      </c>
      <c r="AW337">
        <v>2</v>
      </c>
      <c r="AX337">
        <v>31029459</v>
      </c>
      <c r="AY337">
        <v>1</v>
      </c>
      <c r="AZ337">
        <v>0</v>
      </c>
      <c r="BA337">
        <v>361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CX337">
        <f>Y337*Source!I171</f>
        <v>1.932E-2</v>
      </c>
      <c r="CY337">
        <f>AD337</f>
        <v>0</v>
      </c>
      <c r="CZ337">
        <f>AH337</f>
        <v>0</v>
      </c>
      <c r="DA337">
        <f>AL337</f>
        <v>1</v>
      </c>
      <c r="DB337">
        <f>ROUND((ROUND(AT337*CZ337,2)*ROUND((1.25*1.15),7)),6)</f>
        <v>0</v>
      </c>
      <c r="DC337">
        <f>ROUND((ROUND(AT337*AG337,2)*ROUND((1.25*1.15),7)),6)</f>
        <v>0</v>
      </c>
    </row>
    <row r="338" spans="1:107">
      <c r="A338">
        <f>ROW(Source!A171)</f>
        <v>171</v>
      </c>
      <c r="B338">
        <v>31028412</v>
      </c>
      <c r="C338">
        <v>31029449</v>
      </c>
      <c r="D338">
        <v>29147732</v>
      </c>
      <c r="E338">
        <v>1</v>
      </c>
      <c r="F338">
        <v>1</v>
      </c>
      <c r="G338">
        <v>1</v>
      </c>
      <c r="H338">
        <v>2</v>
      </c>
      <c r="I338" t="s">
        <v>846</v>
      </c>
      <c r="J338" t="s">
        <v>847</v>
      </c>
      <c r="K338" t="s">
        <v>848</v>
      </c>
      <c r="L338">
        <v>1368</v>
      </c>
      <c r="N338">
        <v>1011</v>
      </c>
      <c r="O338" t="s">
        <v>780</v>
      </c>
      <c r="P338" t="s">
        <v>780</v>
      </c>
      <c r="Q338">
        <v>1</v>
      </c>
      <c r="W338">
        <v>0</v>
      </c>
      <c r="X338">
        <v>-1205898307</v>
      </c>
      <c r="Y338">
        <v>4.3124999999999997E-2</v>
      </c>
      <c r="AA338">
        <v>0</v>
      </c>
      <c r="AB338">
        <v>235.69</v>
      </c>
      <c r="AC338">
        <v>315.58999999999997</v>
      </c>
      <c r="AD338">
        <v>0</v>
      </c>
      <c r="AE338">
        <v>0</v>
      </c>
      <c r="AF338">
        <v>30.85</v>
      </c>
      <c r="AG338">
        <v>13.03</v>
      </c>
      <c r="AH338">
        <v>0</v>
      </c>
      <c r="AI338">
        <v>1</v>
      </c>
      <c r="AJ338">
        <v>7.64</v>
      </c>
      <c r="AK338">
        <v>24.22</v>
      </c>
      <c r="AL338">
        <v>1</v>
      </c>
      <c r="AN338">
        <v>0</v>
      </c>
      <c r="AO338">
        <v>1</v>
      </c>
      <c r="AP338">
        <v>1</v>
      </c>
      <c r="AQ338">
        <v>0</v>
      </c>
      <c r="AR338">
        <v>0</v>
      </c>
      <c r="AS338" t="s">
        <v>6</v>
      </c>
      <c r="AT338">
        <v>0.03</v>
      </c>
      <c r="AU338" t="s">
        <v>126</v>
      </c>
      <c r="AV338">
        <v>0</v>
      </c>
      <c r="AW338">
        <v>2</v>
      </c>
      <c r="AX338">
        <v>31029460</v>
      </c>
      <c r="AY338">
        <v>1</v>
      </c>
      <c r="AZ338">
        <v>0</v>
      </c>
      <c r="BA338">
        <v>362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CX338">
        <f>Y338*Source!I171</f>
        <v>1.932E-2</v>
      </c>
      <c r="CY338">
        <f>AB338</f>
        <v>235.69</v>
      </c>
      <c r="CZ338">
        <f>AF338</f>
        <v>30.85</v>
      </c>
      <c r="DA338">
        <f>AJ338</f>
        <v>7.64</v>
      </c>
      <c r="DB338">
        <f>ROUND((ROUND(AT338*CZ338,2)*ROUND((1.25*1.15),7)),6)</f>
        <v>1.336875</v>
      </c>
      <c r="DC338">
        <f>ROUND((ROUND(AT338*AG338,2)*ROUND((1.25*1.15),7)),6)</f>
        <v>0.56062500000000004</v>
      </c>
    </row>
    <row r="339" spans="1:107">
      <c r="A339">
        <f>ROW(Source!A171)</f>
        <v>171</v>
      </c>
      <c r="B339">
        <v>31028412</v>
      </c>
      <c r="C339">
        <v>31029449</v>
      </c>
      <c r="D339">
        <v>29149520</v>
      </c>
      <c r="E339">
        <v>1</v>
      </c>
      <c r="F339">
        <v>1</v>
      </c>
      <c r="G339">
        <v>1</v>
      </c>
      <c r="H339">
        <v>2</v>
      </c>
      <c r="I339" t="s">
        <v>790</v>
      </c>
      <c r="J339" t="s">
        <v>791</v>
      </c>
      <c r="K339" t="s">
        <v>792</v>
      </c>
      <c r="L339">
        <v>1368</v>
      </c>
      <c r="N339">
        <v>1011</v>
      </c>
      <c r="O339" t="s">
        <v>780</v>
      </c>
      <c r="P339" t="s">
        <v>780</v>
      </c>
      <c r="Q339">
        <v>1</v>
      </c>
      <c r="W339">
        <v>0</v>
      </c>
      <c r="X339">
        <v>-1931461795</v>
      </c>
      <c r="Y339">
        <v>0.28749999999999998</v>
      </c>
      <c r="AA339">
        <v>0</v>
      </c>
      <c r="AB339">
        <v>699.98</v>
      </c>
      <c r="AC339">
        <v>0</v>
      </c>
      <c r="AD339">
        <v>0</v>
      </c>
      <c r="AE339">
        <v>0</v>
      </c>
      <c r="AF339">
        <v>91.62</v>
      </c>
      <c r="AG339">
        <v>0</v>
      </c>
      <c r="AH339">
        <v>0</v>
      </c>
      <c r="AI339">
        <v>1</v>
      </c>
      <c r="AJ339">
        <v>7.64</v>
      </c>
      <c r="AK339">
        <v>24.22</v>
      </c>
      <c r="AL339">
        <v>1</v>
      </c>
      <c r="AN339">
        <v>0</v>
      </c>
      <c r="AO339">
        <v>1</v>
      </c>
      <c r="AP339">
        <v>1</v>
      </c>
      <c r="AQ339">
        <v>0</v>
      </c>
      <c r="AR339">
        <v>0</v>
      </c>
      <c r="AS339" t="s">
        <v>6</v>
      </c>
      <c r="AT339">
        <v>0.2</v>
      </c>
      <c r="AU339" t="s">
        <v>126</v>
      </c>
      <c r="AV339">
        <v>0</v>
      </c>
      <c r="AW339">
        <v>2</v>
      </c>
      <c r="AX339">
        <v>31029461</v>
      </c>
      <c r="AY339">
        <v>1</v>
      </c>
      <c r="AZ339">
        <v>0</v>
      </c>
      <c r="BA339">
        <v>363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CX339">
        <f>Y339*Source!I171</f>
        <v>0.1288</v>
      </c>
      <c r="CY339">
        <f>AB339</f>
        <v>699.98</v>
      </c>
      <c r="CZ339">
        <f>AF339</f>
        <v>91.62</v>
      </c>
      <c r="DA339">
        <f>AJ339</f>
        <v>7.64</v>
      </c>
      <c r="DB339">
        <f>ROUND((ROUND(AT339*CZ339,2)*ROUND((1.25*1.15),7)),6)</f>
        <v>26.335000000000001</v>
      </c>
      <c r="DC339">
        <f>ROUND((ROUND(AT339*AG339,2)*ROUND((1.25*1.15),7)),6)</f>
        <v>0</v>
      </c>
    </row>
    <row r="340" spans="1:107">
      <c r="A340">
        <f>ROW(Source!A171)</f>
        <v>171</v>
      </c>
      <c r="B340">
        <v>31028412</v>
      </c>
      <c r="C340">
        <v>31029449</v>
      </c>
      <c r="D340">
        <v>29151861</v>
      </c>
      <c r="E340">
        <v>1</v>
      </c>
      <c r="F340">
        <v>1</v>
      </c>
      <c r="G340">
        <v>1</v>
      </c>
      <c r="H340">
        <v>3</v>
      </c>
      <c r="I340" t="s">
        <v>835</v>
      </c>
      <c r="J340" t="s">
        <v>836</v>
      </c>
      <c r="K340" t="s">
        <v>837</v>
      </c>
      <c r="L340">
        <v>1327</v>
      </c>
      <c r="N340">
        <v>1005</v>
      </c>
      <c r="O340" t="s">
        <v>284</v>
      </c>
      <c r="P340" t="s">
        <v>284</v>
      </c>
      <c r="Q340">
        <v>1</v>
      </c>
      <c r="W340">
        <v>0</v>
      </c>
      <c r="X340">
        <v>1527270933</v>
      </c>
      <c r="Y340">
        <v>0.88</v>
      </c>
      <c r="AA340">
        <v>452.82</v>
      </c>
      <c r="AB340">
        <v>0</v>
      </c>
      <c r="AC340">
        <v>0</v>
      </c>
      <c r="AD340">
        <v>0</v>
      </c>
      <c r="AE340">
        <v>73.39</v>
      </c>
      <c r="AF340">
        <v>0</v>
      </c>
      <c r="AG340">
        <v>0</v>
      </c>
      <c r="AH340">
        <v>0</v>
      </c>
      <c r="AI340">
        <v>6.17</v>
      </c>
      <c r="AJ340">
        <v>1</v>
      </c>
      <c r="AK340">
        <v>1</v>
      </c>
      <c r="AL340">
        <v>1</v>
      </c>
      <c r="AN340">
        <v>0</v>
      </c>
      <c r="AO340">
        <v>1</v>
      </c>
      <c r="AP340">
        <v>0</v>
      </c>
      <c r="AQ340">
        <v>0</v>
      </c>
      <c r="AR340">
        <v>0</v>
      </c>
      <c r="AS340" t="s">
        <v>6</v>
      </c>
      <c r="AT340">
        <v>0.88</v>
      </c>
      <c r="AU340" t="s">
        <v>6</v>
      </c>
      <c r="AV340">
        <v>0</v>
      </c>
      <c r="AW340">
        <v>2</v>
      </c>
      <c r="AX340">
        <v>31029462</v>
      </c>
      <c r="AY340">
        <v>1</v>
      </c>
      <c r="AZ340">
        <v>0</v>
      </c>
      <c r="BA340">
        <v>364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CX340">
        <f>Y340*Source!I171</f>
        <v>0.39424000000000003</v>
      </c>
      <c r="CY340">
        <f>AA340</f>
        <v>452.82</v>
      </c>
      <c r="CZ340">
        <f>AE340</f>
        <v>73.39</v>
      </c>
      <c r="DA340">
        <f>AI340</f>
        <v>6.17</v>
      </c>
      <c r="DB340">
        <f>ROUND(ROUND(AT340*CZ340,2),6)</f>
        <v>64.58</v>
      </c>
      <c r="DC340">
        <f>ROUND(ROUND(AT340*AG340,2),6)</f>
        <v>0</v>
      </c>
    </row>
    <row r="341" spans="1:107">
      <c r="A341">
        <f>ROW(Source!A171)</f>
        <v>171</v>
      </c>
      <c r="B341">
        <v>31028412</v>
      </c>
      <c r="C341">
        <v>31029449</v>
      </c>
      <c r="D341">
        <v>29151971</v>
      </c>
      <c r="E341">
        <v>1</v>
      </c>
      <c r="F341">
        <v>1</v>
      </c>
      <c r="G341">
        <v>1</v>
      </c>
      <c r="H341">
        <v>3</v>
      </c>
      <c r="I341" t="s">
        <v>942</v>
      </c>
      <c r="J341" t="s">
        <v>943</v>
      </c>
      <c r="K341" t="s">
        <v>944</v>
      </c>
      <c r="L341">
        <v>1348</v>
      </c>
      <c r="N341">
        <v>1009</v>
      </c>
      <c r="O341" t="s">
        <v>137</v>
      </c>
      <c r="P341" t="s">
        <v>137</v>
      </c>
      <c r="Q341">
        <v>1000</v>
      </c>
      <c r="W341">
        <v>0</v>
      </c>
      <c r="X341">
        <v>-1321245919</v>
      </c>
      <c r="Y341">
        <v>7.9000000000000001E-2</v>
      </c>
      <c r="AA341">
        <v>20431.34</v>
      </c>
      <c r="AB341">
        <v>0</v>
      </c>
      <c r="AC341">
        <v>0</v>
      </c>
      <c r="AD341">
        <v>0</v>
      </c>
      <c r="AE341">
        <v>3311.4</v>
      </c>
      <c r="AF341">
        <v>0</v>
      </c>
      <c r="AG341">
        <v>0</v>
      </c>
      <c r="AH341">
        <v>0</v>
      </c>
      <c r="AI341">
        <v>6.17</v>
      </c>
      <c r="AJ341">
        <v>1</v>
      </c>
      <c r="AK341">
        <v>1</v>
      </c>
      <c r="AL341">
        <v>1</v>
      </c>
      <c r="AN341">
        <v>0</v>
      </c>
      <c r="AO341">
        <v>1</v>
      </c>
      <c r="AP341">
        <v>0</v>
      </c>
      <c r="AQ341">
        <v>0</v>
      </c>
      <c r="AR341">
        <v>0</v>
      </c>
      <c r="AS341" t="s">
        <v>6</v>
      </c>
      <c r="AT341">
        <v>7.9000000000000001E-2</v>
      </c>
      <c r="AU341" t="s">
        <v>6</v>
      </c>
      <c r="AV341">
        <v>0</v>
      </c>
      <c r="AW341">
        <v>2</v>
      </c>
      <c r="AX341">
        <v>31029463</v>
      </c>
      <c r="AY341">
        <v>1</v>
      </c>
      <c r="AZ341">
        <v>0</v>
      </c>
      <c r="BA341">
        <v>365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CX341">
        <f>Y341*Source!I171</f>
        <v>3.5392E-2</v>
      </c>
      <c r="CY341">
        <f>AA341</f>
        <v>20431.34</v>
      </c>
      <c r="CZ341">
        <f>AE341</f>
        <v>3311.4</v>
      </c>
      <c r="DA341">
        <f>AI341</f>
        <v>6.17</v>
      </c>
      <c r="DB341">
        <f>ROUND(ROUND(AT341*CZ341,2),6)</f>
        <v>261.60000000000002</v>
      </c>
      <c r="DC341">
        <f>ROUND(ROUND(AT341*AG341,2),6)</f>
        <v>0</v>
      </c>
    </row>
    <row r="342" spans="1:107">
      <c r="A342">
        <f>ROW(Source!A171)</f>
        <v>171</v>
      </c>
      <c r="B342">
        <v>31028412</v>
      </c>
      <c r="C342">
        <v>31029449</v>
      </c>
      <c r="D342">
        <v>29152014</v>
      </c>
      <c r="E342">
        <v>1</v>
      </c>
      <c r="F342">
        <v>1</v>
      </c>
      <c r="G342">
        <v>1</v>
      </c>
      <c r="H342">
        <v>3</v>
      </c>
      <c r="I342" t="s">
        <v>838</v>
      </c>
      <c r="J342" t="s">
        <v>839</v>
      </c>
      <c r="K342" t="s">
        <v>840</v>
      </c>
      <c r="L342">
        <v>1346</v>
      </c>
      <c r="N342">
        <v>1009</v>
      </c>
      <c r="O342" t="s">
        <v>118</v>
      </c>
      <c r="P342" t="s">
        <v>118</v>
      </c>
      <c r="Q342">
        <v>1</v>
      </c>
      <c r="W342">
        <v>0</v>
      </c>
      <c r="X342">
        <v>-1526040720</v>
      </c>
      <c r="Y342">
        <v>0.36</v>
      </c>
      <c r="AA342">
        <v>11.97</v>
      </c>
      <c r="AB342">
        <v>0</v>
      </c>
      <c r="AC342">
        <v>0</v>
      </c>
      <c r="AD342">
        <v>0</v>
      </c>
      <c r="AE342">
        <v>1.94</v>
      </c>
      <c r="AF342">
        <v>0</v>
      </c>
      <c r="AG342">
        <v>0</v>
      </c>
      <c r="AH342">
        <v>0</v>
      </c>
      <c r="AI342">
        <v>6.17</v>
      </c>
      <c r="AJ342">
        <v>1</v>
      </c>
      <c r="AK342">
        <v>1</v>
      </c>
      <c r="AL342">
        <v>1</v>
      </c>
      <c r="AN342">
        <v>0</v>
      </c>
      <c r="AO342">
        <v>1</v>
      </c>
      <c r="AP342">
        <v>0</v>
      </c>
      <c r="AQ342">
        <v>0</v>
      </c>
      <c r="AR342">
        <v>0</v>
      </c>
      <c r="AS342" t="s">
        <v>6</v>
      </c>
      <c r="AT342">
        <v>0.36</v>
      </c>
      <c r="AU342" t="s">
        <v>6</v>
      </c>
      <c r="AV342">
        <v>0</v>
      </c>
      <c r="AW342">
        <v>2</v>
      </c>
      <c r="AX342">
        <v>31029464</v>
      </c>
      <c r="AY342">
        <v>1</v>
      </c>
      <c r="AZ342">
        <v>0</v>
      </c>
      <c r="BA342">
        <v>366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CX342">
        <f>Y342*Source!I171</f>
        <v>0.16128000000000001</v>
      </c>
      <c r="CY342">
        <f>AA342</f>
        <v>11.97</v>
      </c>
      <c r="CZ342">
        <f>AE342</f>
        <v>1.94</v>
      </c>
      <c r="DA342">
        <f>AI342</f>
        <v>6.17</v>
      </c>
      <c r="DB342">
        <f>ROUND(ROUND(AT342*CZ342,2),6)</f>
        <v>0.7</v>
      </c>
      <c r="DC342">
        <f>ROUND(ROUND(AT342*AG342,2),6)</f>
        <v>0</v>
      </c>
    </row>
    <row r="343" spans="1:107">
      <c r="A343">
        <f>ROW(Source!A171)</f>
        <v>171</v>
      </c>
      <c r="B343">
        <v>31028412</v>
      </c>
      <c r="C343">
        <v>31029449</v>
      </c>
      <c r="D343">
        <v>29152186</v>
      </c>
      <c r="E343">
        <v>1</v>
      </c>
      <c r="F343">
        <v>1</v>
      </c>
      <c r="G343">
        <v>1</v>
      </c>
      <c r="H343">
        <v>3</v>
      </c>
      <c r="I343" t="s">
        <v>945</v>
      </c>
      <c r="J343" t="s">
        <v>946</v>
      </c>
      <c r="K343" t="s">
        <v>947</v>
      </c>
      <c r="L343">
        <v>1348</v>
      </c>
      <c r="N343">
        <v>1009</v>
      </c>
      <c r="O343" t="s">
        <v>137</v>
      </c>
      <c r="P343" t="s">
        <v>137</v>
      </c>
      <c r="Q343">
        <v>1000</v>
      </c>
      <c r="W343">
        <v>0</v>
      </c>
      <c r="X343">
        <v>-1792658963</v>
      </c>
      <c r="Y343">
        <v>6.3E-2</v>
      </c>
      <c r="AA343">
        <v>103671.36</v>
      </c>
      <c r="AB343">
        <v>0</v>
      </c>
      <c r="AC343">
        <v>0</v>
      </c>
      <c r="AD343">
        <v>0</v>
      </c>
      <c r="AE343">
        <v>16802.490000000002</v>
      </c>
      <c r="AF343">
        <v>0</v>
      </c>
      <c r="AG343">
        <v>0</v>
      </c>
      <c r="AH343">
        <v>0</v>
      </c>
      <c r="AI343">
        <v>6.17</v>
      </c>
      <c r="AJ343">
        <v>1</v>
      </c>
      <c r="AK343">
        <v>1</v>
      </c>
      <c r="AL343">
        <v>1</v>
      </c>
      <c r="AN343">
        <v>0</v>
      </c>
      <c r="AO343">
        <v>1</v>
      </c>
      <c r="AP343">
        <v>0</v>
      </c>
      <c r="AQ343">
        <v>0</v>
      </c>
      <c r="AR343">
        <v>0</v>
      </c>
      <c r="AS343" t="s">
        <v>6</v>
      </c>
      <c r="AT343">
        <v>6.3E-2</v>
      </c>
      <c r="AU343" t="s">
        <v>6</v>
      </c>
      <c r="AV343">
        <v>0</v>
      </c>
      <c r="AW343">
        <v>2</v>
      </c>
      <c r="AX343">
        <v>31029465</v>
      </c>
      <c r="AY343">
        <v>1</v>
      </c>
      <c r="AZ343">
        <v>0</v>
      </c>
      <c r="BA343">
        <v>367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CX343">
        <f>Y343*Source!I171</f>
        <v>2.8223999999999999E-2</v>
      </c>
      <c r="CY343">
        <f>AA343</f>
        <v>103671.36</v>
      </c>
      <c r="CZ343">
        <f>AE343</f>
        <v>16802.490000000002</v>
      </c>
      <c r="DA343">
        <f>AI343</f>
        <v>6.17</v>
      </c>
      <c r="DB343">
        <f>ROUND(ROUND(AT343*CZ343,2),6)</f>
        <v>1058.56</v>
      </c>
      <c r="DC343">
        <f>ROUND(ROUND(AT343*AG343,2),6)</f>
        <v>0</v>
      </c>
    </row>
    <row r="344" spans="1:107">
      <c r="A344">
        <f>ROW(Source!A173)</f>
        <v>173</v>
      </c>
      <c r="B344">
        <v>31028412</v>
      </c>
      <c r="C344">
        <v>31029467</v>
      </c>
      <c r="D344">
        <v>29084594</v>
      </c>
      <c r="E344">
        <v>1</v>
      </c>
      <c r="F344">
        <v>1</v>
      </c>
      <c r="G344">
        <v>1</v>
      </c>
      <c r="H344">
        <v>1</v>
      </c>
      <c r="I344" t="s">
        <v>922</v>
      </c>
      <c r="J344" t="s">
        <v>6</v>
      </c>
      <c r="K344" t="s">
        <v>923</v>
      </c>
      <c r="L344">
        <v>1369</v>
      </c>
      <c r="N344">
        <v>1013</v>
      </c>
      <c r="O344" t="s">
        <v>773</v>
      </c>
      <c r="P344" t="s">
        <v>773</v>
      </c>
      <c r="Q344">
        <v>1</v>
      </c>
      <c r="W344">
        <v>0</v>
      </c>
      <c r="X344">
        <v>-1364176711</v>
      </c>
      <c r="Y344">
        <v>171.85887499999995</v>
      </c>
      <c r="AA344">
        <v>0</v>
      </c>
      <c r="AB344">
        <v>0</v>
      </c>
      <c r="AC344">
        <v>0</v>
      </c>
      <c r="AD344">
        <v>214.59</v>
      </c>
      <c r="AE344">
        <v>0</v>
      </c>
      <c r="AF344">
        <v>0</v>
      </c>
      <c r="AG344">
        <v>0</v>
      </c>
      <c r="AH344">
        <v>8.86</v>
      </c>
      <c r="AI344">
        <v>1</v>
      </c>
      <c r="AJ344">
        <v>1</v>
      </c>
      <c r="AK344">
        <v>1</v>
      </c>
      <c r="AL344">
        <v>24.22</v>
      </c>
      <c r="AN344">
        <v>0</v>
      </c>
      <c r="AO344">
        <v>1</v>
      </c>
      <c r="AP344">
        <v>1</v>
      </c>
      <c r="AQ344">
        <v>0</v>
      </c>
      <c r="AR344">
        <v>0</v>
      </c>
      <c r="AS344" t="s">
        <v>6</v>
      </c>
      <c r="AT344">
        <v>129.94999999999999</v>
      </c>
      <c r="AU344" t="s">
        <v>127</v>
      </c>
      <c r="AV344">
        <v>1</v>
      </c>
      <c r="AW344">
        <v>2</v>
      </c>
      <c r="AX344">
        <v>31029478</v>
      </c>
      <c r="AY344">
        <v>1</v>
      </c>
      <c r="AZ344">
        <v>0</v>
      </c>
      <c r="BA344">
        <v>368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CX344">
        <f>Y344*Source!I173</f>
        <v>230.29089249999996</v>
      </c>
      <c r="CY344">
        <f>AD344</f>
        <v>214.59</v>
      </c>
      <c r="CZ344">
        <f>AH344</f>
        <v>8.86</v>
      </c>
      <c r="DA344">
        <f>AL344</f>
        <v>24.22</v>
      </c>
      <c r="DB344">
        <f>ROUND((ROUND(AT344*CZ344,2)*ROUND((1.15*1.15),7)),6)</f>
        <v>1522.6736000000001</v>
      </c>
      <c r="DC344">
        <f>ROUND((ROUND(AT344*AG344,2)*ROUND((1.15*1.15),7)),6)</f>
        <v>0</v>
      </c>
    </row>
    <row r="345" spans="1:107">
      <c r="A345">
        <f>ROW(Source!A173)</f>
        <v>173</v>
      </c>
      <c r="B345">
        <v>31028412</v>
      </c>
      <c r="C345">
        <v>31029467</v>
      </c>
      <c r="D345">
        <v>29084573</v>
      </c>
      <c r="E345">
        <v>1</v>
      </c>
      <c r="F345">
        <v>1</v>
      </c>
      <c r="G345">
        <v>1</v>
      </c>
      <c r="H345">
        <v>1</v>
      </c>
      <c r="I345" t="s">
        <v>774</v>
      </c>
      <c r="J345" t="s">
        <v>6</v>
      </c>
      <c r="K345" t="s">
        <v>775</v>
      </c>
      <c r="L345">
        <v>608254</v>
      </c>
      <c r="N345">
        <v>1013</v>
      </c>
      <c r="O345" t="s">
        <v>776</v>
      </c>
      <c r="P345" t="s">
        <v>776</v>
      </c>
      <c r="Q345">
        <v>1</v>
      </c>
      <c r="W345">
        <v>0</v>
      </c>
      <c r="X345">
        <v>95408949</v>
      </c>
      <c r="Y345">
        <v>2.0699999999999998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1</v>
      </c>
      <c r="AJ345">
        <v>1</v>
      </c>
      <c r="AK345">
        <v>24.22</v>
      </c>
      <c r="AL345">
        <v>1</v>
      </c>
      <c r="AN345">
        <v>0</v>
      </c>
      <c r="AO345">
        <v>1</v>
      </c>
      <c r="AP345">
        <v>1</v>
      </c>
      <c r="AQ345">
        <v>0</v>
      </c>
      <c r="AR345">
        <v>0</v>
      </c>
      <c r="AS345" t="s">
        <v>6</v>
      </c>
      <c r="AT345">
        <v>1.44</v>
      </c>
      <c r="AU345" t="s">
        <v>126</v>
      </c>
      <c r="AV345">
        <v>2</v>
      </c>
      <c r="AW345">
        <v>2</v>
      </c>
      <c r="AX345">
        <v>31029479</v>
      </c>
      <c r="AY345">
        <v>1</v>
      </c>
      <c r="AZ345">
        <v>0</v>
      </c>
      <c r="BA345">
        <v>369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CX345">
        <f>Y345*Source!I173</f>
        <v>2.7738</v>
      </c>
      <c r="CY345">
        <f>AD345</f>
        <v>0</v>
      </c>
      <c r="CZ345">
        <f>AH345</f>
        <v>0</v>
      </c>
      <c r="DA345">
        <f>AL345</f>
        <v>1</v>
      </c>
      <c r="DB345">
        <f>ROUND((ROUND(AT345*CZ345,2)*ROUND((1.25*1.15),7)),6)</f>
        <v>0</v>
      </c>
      <c r="DC345">
        <f>ROUND((ROUND(AT345*AG345,2)*ROUND((1.25*1.15),7)),6)</f>
        <v>0</v>
      </c>
    </row>
    <row r="346" spans="1:107">
      <c r="A346">
        <f>ROW(Source!A173)</f>
        <v>173</v>
      </c>
      <c r="B346">
        <v>31028412</v>
      </c>
      <c r="C346">
        <v>31029467</v>
      </c>
      <c r="D346">
        <v>29147673</v>
      </c>
      <c r="E346">
        <v>1</v>
      </c>
      <c r="F346">
        <v>1</v>
      </c>
      <c r="G346">
        <v>1</v>
      </c>
      <c r="H346">
        <v>2</v>
      </c>
      <c r="I346" t="s">
        <v>924</v>
      </c>
      <c r="J346" t="s">
        <v>925</v>
      </c>
      <c r="K346" t="s">
        <v>926</v>
      </c>
      <c r="L346">
        <v>1368</v>
      </c>
      <c r="N346">
        <v>1011</v>
      </c>
      <c r="O346" t="s">
        <v>780</v>
      </c>
      <c r="P346" t="s">
        <v>780</v>
      </c>
      <c r="Q346">
        <v>1</v>
      </c>
      <c r="W346">
        <v>0</v>
      </c>
      <c r="X346">
        <v>-149788903</v>
      </c>
      <c r="Y346">
        <v>0.20125000000000001</v>
      </c>
      <c r="AA346">
        <v>0</v>
      </c>
      <c r="AB346">
        <v>748.34</v>
      </c>
      <c r="AC346">
        <v>235.18</v>
      </c>
      <c r="AD346">
        <v>0</v>
      </c>
      <c r="AE346">
        <v>0</v>
      </c>
      <c r="AF346">
        <v>97.95</v>
      </c>
      <c r="AG346">
        <v>9.7100000000000009</v>
      </c>
      <c r="AH346">
        <v>0</v>
      </c>
      <c r="AI346">
        <v>1</v>
      </c>
      <c r="AJ346">
        <v>7.64</v>
      </c>
      <c r="AK346">
        <v>24.22</v>
      </c>
      <c r="AL346">
        <v>1</v>
      </c>
      <c r="AN346">
        <v>0</v>
      </c>
      <c r="AO346">
        <v>1</v>
      </c>
      <c r="AP346">
        <v>1</v>
      </c>
      <c r="AQ346">
        <v>0</v>
      </c>
      <c r="AR346">
        <v>0</v>
      </c>
      <c r="AS346" t="s">
        <v>6</v>
      </c>
      <c r="AT346">
        <v>0.14000000000000001</v>
      </c>
      <c r="AU346" t="s">
        <v>126</v>
      </c>
      <c r="AV346">
        <v>0</v>
      </c>
      <c r="AW346">
        <v>2</v>
      </c>
      <c r="AX346">
        <v>31029480</v>
      </c>
      <c r="AY346">
        <v>1</v>
      </c>
      <c r="AZ346">
        <v>0</v>
      </c>
      <c r="BA346">
        <v>370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CX346">
        <f>Y346*Source!I173</f>
        <v>0.26967500000000005</v>
      </c>
      <c r="CY346">
        <f>AB346</f>
        <v>748.34</v>
      </c>
      <c r="CZ346">
        <f>AF346</f>
        <v>97.95</v>
      </c>
      <c r="DA346">
        <f>AJ346</f>
        <v>7.64</v>
      </c>
      <c r="DB346">
        <f>ROUND((ROUND(AT346*CZ346,2)*ROUND((1.25*1.15),7)),6)</f>
        <v>19.708124999999999</v>
      </c>
      <c r="DC346">
        <f>ROUND((ROUND(AT346*AG346,2)*ROUND((1.25*1.15),7)),6)</f>
        <v>1.9550000000000001</v>
      </c>
    </row>
    <row r="347" spans="1:107">
      <c r="A347">
        <f>ROW(Source!A173)</f>
        <v>173</v>
      </c>
      <c r="B347">
        <v>31028412</v>
      </c>
      <c r="C347">
        <v>31029467</v>
      </c>
      <c r="D347">
        <v>29147732</v>
      </c>
      <c r="E347">
        <v>1</v>
      </c>
      <c r="F347">
        <v>1</v>
      </c>
      <c r="G347">
        <v>1</v>
      </c>
      <c r="H347">
        <v>2</v>
      </c>
      <c r="I347" t="s">
        <v>846</v>
      </c>
      <c r="J347" t="s">
        <v>847</v>
      </c>
      <c r="K347" t="s">
        <v>848</v>
      </c>
      <c r="L347">
        <v>1368</v>
      </c>
      <c r="N347">
        <v>1011</v>
      </c>
      <c r="O347" t="s">
        <v>780</v>
      </c>
      <c r="P347" t="s">
        <v>780</v>
      </c>
      <c r="Q347">
        <v>1</v>
      </c>
      <c r="W347">
        <v>0</v>
      </c>
      <c r="X347">
        <v>-1205898307</v>
      </c>
      <c r="Y347">
        <v>1.8687499999999999</v>
      </c>
      <c r="AA347">
        <v>0</v>
      </c>
      <c r="AB347">
        <v>235.69</v>
      </c>
      <c r="AC347">
        <v>315.58999999999997</v>
      </c>
      <c r="AD347">
        <v>0</v>
      </c>
      <c r="AE347">
        <v>0</v>
      </c>
      <c r="AF347">
        <v>30.85</v>
      </c>
      <c r="AG347">
        <v>13.03</v>
      </c>
      <c r="AH347">
        <v>0</v>
      </c>
      <c r="AI347">
        <v>1</v>
      </c>
      <c r="AJ347">
        <v>7.64</v>
      </c>
      <c r="AK347">
        <v>24.22</v>
      </c>
      <c r="AL347">
        <v>1</v>
      </c>
      <c r="AN347">
        <v>0</v>
      </c>
      <c r="AO347">
        <v>1</v>
      </c>
      <c r="AP347">
        <v>1</v>
      </c>
      <c r="AQ347">
        <v>0</v>
      </c>
      <c r="AR347">
        <v>0</v>
      </c>
      <c r="AS347" t="s">
        <v>6</v>
      </c>
      <c r="AT347">
        <v>1.3</v>
      </c>
      <c r="AU347" t="s">
        <v>126</v>
      </c>
      <c r="AV347">
        <v>0</v>
      </c>
      <c r="AW347">
        <v>2</v>
      </c>
      <c r="AX347">
        <v>31029481</v>
      </c>
      <c r="AY347">
        <v>1</v>
      </c>
      <c r="AZ347">
        <v>0</v>
      </c>
      <c r="BA347">
        <v>371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CX347">
        <f>Y347*Source!I173</f>
        <v>2.5041250000000002</v>
      </c>
      <c r="CY347">
        <f>AB347</f>
        <v>235.69</v>
      </c>
      <c r="CZ347">
        <f>AF347</f>
        <v>30.85</v>
      </c>
      <c r="DA347">
        <f>AJ347</f>
        <v>7.64</v>
      </c>
      <c r="DB347">
        <f>ROUND((ROUND(AT347*CZ347,2)*ROUND((1.25*1.15),7)),6)</f>
        <v>57.658124999999998</v>
      </c>
      <c r="DC347">
        <f>ROUND((ROUND(AT347*AG347,2)*ROUND((1.25*1.15),7)),6)</f>
        <v>24.35125</v>
      </c>
    </row>
    <row r="348" spans="1:107">
      <c r="A348">
        <f>ROW(Source!A173)</f>
        <v>173</v>
      </c>
      <c r="B348">
        <v>31028412</v>
      </c>
      <c r="C348">
        <v>31029467</v>
      </c>
      <c r="D348">
        <v>29150545</v>
      </c>
      <c r="E348">
        <v>1</v>
      </c>
      <c r="F348">
        <v>1</v>
      </c>
      <c r="G348">
        <v>1</v>
      </c>
      <c r="H348">
        <v>3</v>
      </c>
      <c r="I348" t="s">
        <v>927</v>
      </c>
      <c r="J348" t="s">
        <v>928</v>
      </c>
      <c r="K348" t="s">
        <v>929</v>
      </c>
      <c r="L348">
        <v>1348</v>
      </c>
      <c r="N348">
        <v>1009</v>
      </c>
      <c r="O348" t="s">
        <v>137</v>
      </c>
      <c r="P348" t="s">
        <v>137</v>
      </c>
      <c r="Q348">
        <v>1000</v>
      </c>
      <c r="W348">
        <v>0</v>
      </c>
      <c r="X348">
        <v>1380755080</v>
      </c>
      <c r="Y348">
        <v>2.5000000000000001E-3</v>
      </c>
      <c r="AA348">
        <v>56802.01</v>
      </c>
      <c r="AB348">
        <v>0</v>
      </c>
      <c r="AC348">
        <v>0</v>
      </c>
      <c r="AD348">
        <v>0</v>
      </c>
      <c r="AE348">
        <v>9206.16</v>
      </c>
      <c r="AF348">
        <v>0</v>
      </c>
      <c r="AG348">
        <v>0</v>
      </c>
      <c r="AH348">
        <v>0</v>
      </c>
      <c r="AI348">
        <v>6.17</v>
      </c>
      <c r="AJ348">
        <v>1</v>
      </c>
      <c r="AK348">
        <v>1</v>
      </c>
      <c r="AL348">
        <v>1</v>
      </c>
      <c r="AN348">
        <v>0</v>
      </c>
      <c r="AO348">
        <v>1</v>
      </c>
      <c r="AP348">
        <v>0</v>
      </c>
      <c r="AQ348">
        <v>0</v>
      </c>
      <c r="AR348">
        <v>0</v>
      </c>
      <c r="AS348" t="s">
        <v>6</v>
      </c>
      <c r="AT348">
        <v>2.5000000000000001E-3</v>
      </c>
      <c r="AU348" t="s">
        <v>6</v>
      </c>
      <c r="AV348">
        <v>0</v>
      </c>
      <c r="AW348">
        <v>2</v>
      </c>
      <c r="AX348">
        <v>31029482</v>
      </c>
      <c r="AY348">
        <v>1</v>
      </c>
      <c r="AZ348">
        <v>0</v>
      </c>
      <c r="BA348">
        <v>372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CX348">
        <f>Y348*Source!I173</f>
        <v>3.3500000000000001E-3</v>
      </c>
      <c r="CY348">
        <f t="shared" ref="CY348:CY353" si="61">AA348</f>
        <v>56802.01</v>
      </c>
      <c r="CZ348">
        <f t="shared" ref="CZ348:CZ353" si="62">AE348</f>
        <v>9206.16</v>
      </c>
      <c r="DA348">
        <f t="shared" ref="DA348:DA353" si="63">AI348</f>
        <v>6.17</v>
      </c>
      <c r="DB348">
        <f t="shared" ref="DB348:DB353" si="64">ROUND(ROUND(AT348*CZ348,2),6)</f>
        <v>23.02</v>
      </c>
      <c r="DC348">
        <f t="shared" ref="DC348:DC353" si="65">ROUND(ROUND(AT348*AG348,2),6)</f>
        <v>0</v>
      </c>
    </row>
    <row r="349" spans="1:107">
      <c r="A349">
        <f>ROW(Source!A173)</f>
        <v>173</v>
      </c>
      <c r="B349">
        <v>31028412</v>
      </c>
      <c r="C349">
        <v>31029467</v>
      </c>
      <c r="D349">
        <v>29151213</v>
      </c>
      <c r="E349">
        <v>1</v>
      </c>
      <c r="F349">
        <v>1</v>
      </c>
      <c r="G349">
        <v>1</v>
      </c>
      <c r="H349">
        <v>3</v>
      </c>
      <c r="I349" t="s">
        <v>930</v>
      </c>
      <c r="J349" t="s">
        <v>931</v>
      </c>
      <c r="K349" t="s">
        <v>932</v>
      </c>
      <c r="L349">
        <v>1327</v>
      </c>
      <c r="N349">
        <v>1005</v>
      </c>
      <c r="O349" t="s">
        <v>284</v>
      </c>
      <c r="P349" t="s">
        <v>284</v>
      </c>
      <c r="Q349">
        <v>1</v>
      </c>
      <c r="W349">
        <v>0</v>
      </c>
      <c r="X349">
        <v>192456891</v>
      </c>
      <c r="Y349">
        <v>108</v>
      </c>
      <c r="AA349">
        <v>57.94</v>
      </c>
      <c r="AB349">
        <v>0</v>
      </c>
      <c r="AC349">
        <v>0</v>
      </c>
      <c r="AD349">
        <v>0</v>
      </c>
      <c r="AE349">
        <v>9.39</v>
      </c>
      <c r="AF349">
        <v>0</v>
      </c>
      <c r="AG349">
        <v>0</v>
      </c>
      <c r="AH349">
        <v>0</v>
      </c>
      <c r="AI349">
        <v>6.17</v>
      </c>
      <c r="AJ349">
        <v>1</v>
      </c>
      <c r="AK349">
        <v>1</v>
      </c>
      <c r="AL349">
        <v>1</v>
      </c>
      <c r="AN349">
        <v>0</v>
      </c>
      <c r="AO349">
        <v>1</v>
      </c>
      <c r="AP349">
        <v>0</v>
      </c>
      <c r="AQ349">
        <v>0</v>
      </c>
      <c r="AR349">
        <v>0</v>
      </c>
      <c r="AS349" t="s">
        <v>6</v>
      </c>
      <c r="AT349">
        <v>108</v>
      </c>
      <c r="AU349" t="s">
        <v>6</v>
      </c>
      <c r="AV349">
        <v>0</v>
      </c>
      <c r="AW349">
        <v>2</v>
      </c>
      <c r="AX349">
        <v>31029483</v>
      </c>
      <c r="AY349">
        <v>1</v>
      </c>
      <c r="AZ349">
        <v>0</v>
      </c>
      <c r="BA349">
        <v>373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CX349">
        <f>Y349*Source!I173</f>
        <v>144.72</v>
      </c>
      <c r="CY349">
        <f t="shared" si="61"/>
        <v>57.94</v>
      </c>
      <c r="CZ349">
        <f t="shared" si="62"/>
        <v>9.39</v>
      </c>
      <c r="DA349">
        <f t="shared" si="63"/>
        <v>6.17</v>
      </c>
      <c r="DB349">
        <f t="shared" si="64"/>
        <v>1014.12</v>
      </c>
      <c r="DC349">
        <f t="shared" si="65"/>
        <v>0</v>
      </c>
    </row>
    <row r="350" spans="1:107">
      <c r="A350">
        <f>ROW(Source!A173)</f>
        <v>173</v>
      </c>
      <c r="B350">
        <v>31028412</v>
      </c>
      <c r="C350">
        <v>31029467</v>
      </c>
      <c r="D350">
        <v>29151587</v>
      </c>
      <c r="E350">
        <v>1</v>
      </c>
      <c r="F350">
        <v>1</v>
      </c>
      <c r="G350">
        <v>1</v>
      </c>
      <c r="H350">
        <v>3</v>
      </c>
      <c r="I350" t="s">
        <v>933</v>
      </c>
      <c r="J350" t="s">
        <v>934</v>
      </c>
      <c r="K350" t="s">
        <v>935</v>
      </c>
      <c r="L350">
        <v>1348</v>
      </c>
      <c r="N350">
        <v>1009</v>
      </c>
      <c r="O350" t="s">
        <v>137</v>
      </c>
      <c r="P350" t="s">
        <v>137</v>
      </c>
      <c r="Q350">
        <v>1000</v>
      </c>
      <c r="W350">
        <v>0</v>
      </c>
      <c r="X350">
        <v>-157460125</v>
      </c>
      <c r="Y350">
        <v>1.2999999999999999E-2</v>
      </c>
      <c r="AA350">
        <v>2581.71</v>
      </c>
      <c r="AB350">
        <v>0</v>
      </c>
      <c r="AC350">
        <v>0</v>
      </c>
      <c r="AD350">
        <v>0</v>
      </c>
      <c r="AE350">
        <v>418.43</v>
      </c>
      <c r="AF350">
        <v>0</v>
      </c>
      <c r="AG350">
        <v>0</v>
      </c>
      <c r="AH350">
        <v>0</v>
      </c>
      <c r="AI350">
        <v>6.17</v>
      </c>
      <c r="AJ350">
        <v>1</v>
      </c>
      <c r="AK350">
        <v>1</v>
      </c>
      <c r="AL350">
        <v>1</v>
      </c>
      <c r="AN350">
        <v>0</v>
      </c>
      <c r="AO350">
        <v>1</v>
      </c>
      <c r="AP350">
        <v>0</v>
      </c>
      <c r="AQ350">
        <v>0</v>
      </c>
      <c r="AR350">
        <v>0</v>
      </c>
      <c r="AS350" t="s">
        <v>6</v>
      </c>
      <c r="AT350">
        <v>1.2999999999999999E-2</v>
      </c>
      <c r="AU350" t="s">
        <v>6</v>
      </c>
      <c r="AV350">
        <v>0</v>
      </c>
      <c r="AW350">
        <v>2</v>
      </c>
      <c r="AX350">
        <v>31029484</v>
      </c>
      <c r="AY350">
        <v>1</v>
      </c>
      <c r="AZ350">
        <v>0</v>
      </c>
      <c r="BA350">
        <v>374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CX350">
        <f>Y350*Source!I173</f>
        <v>1.7420000000000001E-2</v>
      </c>
      <c r="CY350">
        <f t="shared" si="61"/>
        <v>2581.71</v>
      </c>
      <c r="CZ350">
        <f t="shared" si="62"/>
        <v>418.43</v>
      </c>
      <c r="DA350">
        <f t="shared" si="63"/>
        <v>6.17</v>
      </c>
      <c r="DB350">
        <f t="shared" si="64"/>
        <v>5.44</v>
      </c>
      <c r="DC350">
        <f t="shared" si="65"/>
        <v>0</v>
      </c>
    </row>
    <row r="351" spans="1:107">
      <c r="A351">
        <f>ROW(Source!A173)</f>
        <v>173</v>
      </c>
      <c r="B351">
        <v>31028412</v>
      </c>
      <c r="C351">
        <v>31029467</v>
      </c>
      <c r="D351">
        <v>29151964</v>
      </c>
      <c r="E351">
        <v>1</v>
      </c>
      <c r="F351">
        <v>1</v>
      </c>
      <c r="G351">
        <v>1</v>
      </c>
      <c r="H351">
        <v>3</v>
      </c>
      <c r="I351" t="s">
        <v>936</v>
      </c>
      <c r="J351" t="s">
        <v>937</v>
      </c>
      <c r="K351" t="s">
        <v>938</v>
      </c>
      <c r="L351">
        <v>1346</v>
      </c>
      <c r="N351">
        <v>1009</v>
      </c>
      <c r="O351" t="s">
        <v>118</v>
      </c>
      <c r="P351" t="s">
        <v>118</v>
      </c>
      <c r="Q351">
        <v>1</v>
      </c>
      <c r="W351">
        <v>0</v>
      </c>
      <c r="X351">
        <v>-699086074</v>
      </c>
      <c r="Y351">
        <v>12</v>
      </c>
      <c r="AA351">
        <v>60.47</v>
      </c>
      <c r="AB351">
        <v>0</v>
      </c>
      <c r="AC351">
        <v>0</v>
      </c>
      <c r="AD351">
        <v>0</v>
      </c>
      <c r="AE351">
        <v>9.8000000000000007</v>
      </c>
      <c r="AF351">
        <v>0</v>
      </c>
      <c r="AG351">
        <v>0</v>
      </c>
      <c r="AH351">
        <v>0</v>
      </c>
      <c r="AI351">
        <v>6.17</v>
      </c>
      <c r="AJ351">
        <v>1</v>
      </c>
      <c r="AK351">
        <v>1</v>
      </c>
      <c r="AL351">
        <v>1</v>
      </c>
      <c r="AN351">
        <v>0</v>
      </c>
      <c r="AO351">
        <v>1</v>
      </c>
      <c r="AP351">
        <v>0</v>
      </c>
      <c r="AQ351">
        <v>0</v>
      </c>
      <c r="AR351">
        <v>0</v>
      </c>
      <c r="AS351" t="s">
        <v>6</v>
      </c>
      <c r="AT351">
        <v>12</v>
      </c>
      <c r="AU351" t="s">
        <v>6</v>
      </c>
      <c r="AV351">
        <v>0</v>
      </c>
      <c r="AW351">
        <v>2</v>
      </c>
      <c r="AX351">
        <v>31029485</v>
      </c>
      <c r="AY351">
        <v>1</v>
      </c>
      <c r="AZ351">
        <v>0</v>
      </c>
      <c r="BA351">
        <v>375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CX351">
        <f>Y351*Source!I173</f>
        <v>16.080000000000002</v>
      </c>
      <c r="CY351">
        <f t="shared" si="61"/>
        <v>60.47</v>
      </c>
      <c r="CZ351">
        <f t="shared" si="62"/>
        <v>9.8000000000000007</v>
      </c>
      <c r="DA351">
        <f t="shared" si="63"/>
        <v>6.17</v>
      </c>
      <c r="DB351">
        <f t="shared" si="64"/>
        <v>117.6</v>
      </c>
      <c r="DC351">
        <f t="shared" si="65"/>
        <v>0</v>
      </c>
    </row>
    <row r="352" spans="1:107">
      <c r="A352">
        <f>ROW(Source!A173)</f>
        <v>173</v>
      </c>
      <c r="B352">
        <v>31028412</v>
      </c>
      <c r="C352">
        <v>31029467</v>
      </c>
      <c r="D352">
        <v>29186569</v>
      </c>
      <c r="E352">
        <v>1</v>
      </c>
      <c r="F352">
        <v>1</v>
      </c>
      <c r="G352">
        <v>1</v>
      </c>
      <c r="H352">
        <v>3</v>
      </c>
      <c r="I352" t="s">
        <v>939</v>
      </c>
      <c r="J352" t="s">
        <v>940</v>
      </c>
      <c r="K352" t="s">
        <v>941</v>
      </c>
      <c r="L352">
        <v>1339</v>
      </c>
      <c r="N352">
        <v>1007</v>
      </c>
      <c r="O352" t="s">
        <v>109</v>
      </c>
      <c r="P352" t="s">
        <v>109</v>
      </c>
      <c r="Q352">
        <v>1</v>
      </c>
      <c r="W352">
        <v>0</v>
      </c>
      <c r="X352">
        <v>-913915397</v>
      </c>
      <c r="Y352">
        <v>3.1</v>
      </c>
      <c r="AA352">
        <v>2827.59</v>
      </c>
      <c r="AB352">
        <v>0</v>
      </c>
      <c r="AC352">
        <v>0</v>
      </c>
      <c r="AD352">
        <v>0</v>
      </c>
      <c r="AE352">
        <v>458.28</v>
      </c>
      <c r="AF352">
        <v>0</v>
      </c>
      <c r="AG352">
        <v>0</v>
      </c>
      <c r="AH352">
        <v>0</v>
      </c>
      <c r="AI352">
        <v>6.17</v>
      </c>
      <c r="AJ352">
        <v>1</v>
      </c>
      <c r="AK352">
        <v>1</v>
      </c>
      <c r="AL352">
        <v>1</v>
      </c>
      <c r="AN352">
        <v>0</v>
      </c>
      <c r="AO352">
        <v>1</v>
      </c>
      <c r="AP352">
        <v>0</v>
      </c>
      <c r="AQ352">
        <v>0</v>
      </c>
      <c r="AR352">
        <v>0</v>
      </c>
      <c r="AS352" t="s">
        <v>6</v>
      </c>
      <c r="AT352">
        <v>3.1</v>
      </c>
      <c r="AU352" t="s">
        <v>6</v>
      </c>
      <c r="AV352">
        <v>0</v>
      </c>
      <c r="AW352">
        <v>2</v>
      </c>
      <c r="AX352">
        <v>31029486</v>
      </c>
      <c r="AY352">
        <v>1</v>
      </c>
      <c r="AZ352">
        <v>0</v>
      </c>
      <c r="BA352">
        <v>376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CX352">
        <f>Y352*Source!I173</f>
        <v>4.1540000000000008</v>
      </c>
      <c r="CY352">
        <f t="shared" si="61"/>
        <v>2827.59</v>
      </c>
      <c r="CZ352">
        <f t="shared" si="62"/>
        <v>458.28</v>
      </c>
      <c r="DA352">
        <f t="shared" si="63"/>
        <v>6.17</v>
      </c>
      <c r="DB352">
        <f t="shared" si="64"/>
        <v>1420.67</v>
      </c>
      <c r="DC352">
        <f t="shared" si="65"/>
        <v>0</v>
      </c>
    </row>
    <row r="353" spans="1:107">
      <c r="A353">
        <f>ROW(Source!A173)</f>
        <v>173</v>
      </c>
      <c r="B353">
        <v>31028412</v>
      </c>
      <c r="C353">
        <v>31029467</v>
      </c>
      <c r="D353">
        <v>29195171</v>
      </c>
      <c r="E353">
        <v>1</v>
      </c>
      <c r="F353">
        <v>1</v>
      </c>
      <c r="G353">
        <v>1</v>
      </c>
      <c r="H353">
        <v>3</v>
      </c>
      <c r="I353" t="s">
        <v>830</v>
      </c>
      <c r="J353" t="s">
        <v>831</v>
      </c>
      <c r="K353" t="s">
        <v>832</v>
      </c>
      <c r="L353">
        <v>1339</v>
      </c>
      <c r="N353">
        <v>1007</v>
      </c>
      <c r="O353" t="s">
        <v>109</v>
      </c>
      <c r="P353" t="s">
        <v>109</v>
      </c>
      <c r="Q353">
        <v>1</v>
      </c>
      <c r="W353">
        <v>0</v>
      </c>
      <c r="X353">
        <v>2050165204</v>
      </c>
      <c r="Y353">
        <v>0.01</v>
      </c>
      <c r="AA353">
        <v>15.12</v>
      </c>
      <c r="AB353">
        <v>0</v>
      </c>
      <c r="AC353">
        <v>0</v>
      </c>
      <c r="AD353">
        <v>0</v>
      </c>
      <c r="AE353">
        <v>2.4500000000000002</v>
      </c>
      <c r="AF353">
        <v>0</v>
      </c>
      <c r="AG353">
        <v>0</v>
      </c>
      <c r="AH353">
        <v>0</v>
      </c>
      <c r="AI353">
        <v>6.17</v>
      </c>
      <c r="AJ353">
        <v>1</v>
      </c>
      <c r="AK353">
        <v>1</v>
      </c>
      <c r="AL353">
        <v>1</v>
      </c>
      <c r="AN353">
        <v>0</v>
      </c>
      <c r="AO353">
        <v>1</v>
      </c>
      <c r="AP353">
        <v>0</v>
      </c>
      <c r="AQ353">
        <v>0</v>
      </c>
      <c r="AR353">
        <v>0</v>
      </c>
      <c r="AS353" t="s">
        <v>6</v>
      </c>
      <c r="AT353">
        <v>0.01</v>
      </c>
      <c r="AU353" t="s">
        <v>6</v>
      </c>
      <c r="AV353">
        <v>0</v>
      </c>
      <c r="AW353">
        <v>2</v>
      </c>
      <c r="AX353">
        <v>31029487</v>
      </c>
      <c r="AY353">
        <v>1</v>
      </c>
      <c r="AZ353">
        <v>0</v>
      </c>
      <c r="BA353">
        <v>377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CX353">
        <f>Y353*Source!I173</f>
        <v>1.34E-2</v>
      </c>
      <c r="CY353">
        <f t="shared" si="61"/>
        <v>15.12</v>
      </c>
      <c r="CZ353">
        <f t="shared" si="62"/>
        <v>2.4500000000000002</v>
      </c>
      <c r="DA353">
        <f t="shared" si="63"/>
        <v>6.17</v>
      </c>
      <c r="DB353">
        <f t="shared" si="64"/>
        <v>0.02</v>
      </c>
      <c r="DC353">
        <f t="shared" si="65"/>
        <v>0</v>
      </c>
    </row>
    <row r="354" spans="1:107">
      <c r="A354">
        <f>ROW(Source!A174)</f>
        <v>174</v>
      </c>
      <c r="B354">
        <v>31028412</v>
      </c>
      <c r="C354">
        <v>31029488</v>
      </c>
      <c r="D354">
        <v>29084596</v>
      </c>
      <c r="E354">
        <v>1</v>
      </c>
      <c r="F354">
        <v>1</v>
      </c>
      <c r="G354">
        <v>1</v>
      </c>
      <c r="H354">
        <v>1</v>
      </c>
      <c r="I354" t="s">
        <v>893</v>
      </c>
      <c r="J354" t="s">
        <v>6</v>
      </c>
      <c r="K354" t="s">
        <v>894</v>
      </c>
      <c r="L354">
        <v>1369</v>
      </c>
      <c r="N354">
        <v>1013</v>
      </c>
      <c r="O354" t="s">
        <v>773</v>
      </c>
      <c r="P354" t="s">
        <v>773</v>
      </c>
      <c r="Q354">
        <v>1</v>
      </c>
      <c r="W354">
        <v>0</v>
      </c>
      <c r="X354">
        <v>1607597053</v>
      </c>
      <c r="Y354">
        <v>15.856774999999997</v>
      </c>
      <c r="AA354">
        <v>0</v>
      </c>
      <c r="AB354">
        <v>0</v>
      </c>
      <c r="AC354">
        <v>0</v>
      </c>
      <c r="AD354">
        <v>222.34</v>
      </c>
      <c r="AE354">
        <v>0</v>
      </c>
      <c r="AF354">
        <v>0</v>
      </c>
      <c r="AG354">
        <v>0</v>
      </c>
      <c r="AH354">
        <v>9.18</v>
      </c>
      <c r="AI354">
        <v>1</v>
      </c>
      <c r="AJ354">
        <v>1</v>
      </c>
      <c r="AK354">
        <v>1</v>
      </c>
      <c r="AL354">
        <v>24.22</v>
      </c>
      <c r="AN354">
        <v>0</v>
      </c>
      <c r="AO354">
        <v>1</v>
      </c>
      <c r="AP354">
        <v>1</v>
      </c>
      <c r="AQ354">
        <v>0</v>
      </c>
      <c r="AR354">
        <v>0</v>
      </c>
      <c r="AS354" t="s">
        <v>6</v>
      </c>
      <c r="AT354">
        <v>11.99</v>
      </c>
      <c r="AU354" t="s">
        <v>127</v>
      </c>
      <c r="AV354">
        <v>1</v>
      </c>
      <c r="AW354">
        <v>2</v>
      </c>
      <c r="AX354">
        <v>31029496</v>
      </c>
      <c r="AY354">
        <v>1</v>
      </c>
      <c r="AZ354">
        <v>0</v>
      </c>
      <c r="BA354">
        <v>378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CX354">
        <f>Y354*Source!I174</f>
        <v>7.1038351999999989</v>
      </c>
      <c r="CY354">
        <f>AD354</f>
        <v>222.34</v>
      </c>
      <c r="CZ354">
        <f>AH354</f>
        <v>9.18</v>
      </c>
      <c r="DA354">
        <f>AL354</f>
        <v>24.22</v>
      </c>
      <c r="DB354">
        <f>ROUND((ROUND(AT354*CZ354,2)*ROUND((1.15*1.15),7)),6)</f>
        <v>145.56757500000001</v>
      </c>
      <c r="DC354">
        <f>ROUND((ROUND(AT354*AG354,2)*ROUND((1.15*1.15),7)),6)</f>
        <v>0</v>
      </c>
    </row>
    <row r="355" spans="1:107">
      <c r="A355">
        <f>ROW(Source!A174)</f>
        <v>174</v>
      </c>
      <c r="B355">
        <v>31028412</v>
      </c>
      <c r="C355">
        <v>31029488</v>
      </c>
      <c r="D355">
        <v>29084573</v>
      </c>
      <c r="E355">
        <v>1</v>
      </c>
      <c r="F355">
        <v>1</v>
      </c>
      <c r="G355">
        <v>1</v>
      </c>
      <c r="H355">
        <v>1</v>
      </c>
      <c r="I355" t="s">
        <v>774</v>
      </c>
      <c r="J355" t="s">
        <v>6</v>
      </c>
      <c r="K355" t="s">
        <v>775</v>
      </c>
      <c r="L355">
        <v>608254</v>
      </c>
      <c r="N355">
        <v>1013</v>
      </c>
      <c r="O355" t="s">
        <v>776</v>
      </c>
      <c r="P355" t="s">
        <v>776</v>
      </c>
      <c r="Q355">
        <v>1</v>
      </c>
      <c r="W355">
        <v>0</v>
      </c>
      <c r="X355">
        <v>95408949</v>
      </c>
      <c r="Y355">
        <v>1.4374999999999999E-2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1</v>
      </c>
      <c r="AJ355">
        <v>1</v>
      </c>
      <c r="AK355">
        <v>24.22</v>
      </c>
      <c r="AL355">
        <v>1</v>
      </c>
      <c r="AN355">
        <v>0</v>
      </c>
      <c r="AO355">
        <v>1</v>
      </c>
      <c r="AP355">
        <v>1</v>
      </c>
      <c r="AQ355">
        <v>0</v>
      </c>
      <c r="AR355">
        <v>0</v>
      </c>
      <c r="AS355" t="s">
        <v>6</v>
      </c>
      <c r="AT355">
        <v>0.01</v>
      </c>
      <c r="AU355" t="s">
        <v>126</v>
      </c>
      <c r="AV355">
        <v>2</v>
      </c>
      <c r="AW355">
        <v>2</v>
      </c>
      <c r="AX355">
        <v>31029497</v>
      </c>
      <c r="AY355">
        <v>1</v>
      </c>
      <c r="AZ355">
        <v>0</v>
      </c>
      <c r="BA355">
        <v>379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CX355">
        <f>Y355*Source!I174</f>
        <v>6.4399999999999995E-3</v>
      </c>
      <c r="CY355">
        <f>AD355</f>
        <v>0</v>
      </c>
      <c r="CZ355">
        <f>AH355</f>
        <v>0</v>
      </c>
      <c r="DA355">
        <f>AL355</f>
        <v>1</v>
      </c>
      <c r="DB355">
        <f>ROUND((ROUND(AT355*CZ355,2)*ROUND((1.25*1.15),7)),6)</f>
        <v>0</v>
      </c>
      <c r="DC355">
        <f>ROUND((ROUND(AT355*AG355,2)*ROUND((1.25*1.15),7)),6)</f>
        <v>0</v>
      </c>
    </row>
    <row r="356" spans="1:107">
      <c r="A356">
        <f>ROW(Source!A174)</f>
        <v>174</v>
      </c>
      <c r="B356">
        <v>31028412</v>
      </c>
      <c r="C356">
        <v>31029488</v>
      </c>
      <c r="D356">
        <v>29147732</v>
      </c>
      <c r="E356">
        <v>1</v>
      </c>
      <c r="F356">
        <v>1</v>
      </c>
      <c r="G356">
        <v>1</v>
      </c>
      <c r="H356">
        <v>2</v>
      </c>
      <c r="I356" t="s">
        <v>846</v>
      </c>
      <c r="J356" t="s">
        <v>847</v>
      </c>
      <c r="K356" t="s">
        <v>848</v>
      </c>
      <c r="L356">
        <v>1368</v>
      </c>
      <c r="N356">
        <v>1011</v>
      </c>
      <c r="O356" t="s">
        <v>780</v>
      </c>
      <c r="P356" t="s">
        <v>780</v>
      </c>
      <c r="Q356">
        <v>1</v>
      </c>
      <c r="W356">
        <v>0</v>
      </c>
      <c r="X356">
        <v>-1205898307</v>
      </c>
      <c r="Y356">
        <v>1.4374999999999999E-2</v>
      </c>
      <c r="AA356">
        <v>0</v>
      </c>
      <c r="AB356">
        <v>235.69</v>
      </c>
      <c r="AC356">
        <v>315.58999999999997</v>
      </c>
      <c r="AD356">
        <v>0</v>
      </c>
      <c r="AE356">
        <v>0</v>
      </c>
      <c r="AF356">
        <v>30.85</v>
      </c>
      <c r="AG356">
        <v>13.03</v>
      </c>
      <c r="AH356">
        <v>0</v>
      </c>
      <c r="AI356">
        <v>1</v>
      </c>
      <c r="AJ356">
        <v>7.64</v>
      </c>
      <c r="AK356">
        <v>24.22</v>
      </c>
      <c r="AL356">
        <v>1</v>
      </c>
      <c r="AN356">
        <v>0</v>
      </c>
      <c r="AO356">
        <v>1</v>
      </c>
      <c r="AP356">
        <v>1</v>
      </c>
      <c r="AQ356">
        <v>0</v>
      </c>
      <c r="AR356">
        <v>0</v>
      </c>
      <c r="AS356" t="s">
        <v>6</v>
      </c>
      <c r="AT356">
        <v>0.01</v>
      </c>
      <c r="AU356" t="s">
        <v>126</v>
      </c>
      <c r="AV356">
        <v>0</v>
      </c>
      <c r="AW356">
        <v>2</v>
      </c>
      <c r="AX356">
        <v>31029498</v>
      </c>
      <c r="AY356">
        <v>1</v>
      </c>
      <c r="AZ356">
        <v>0</v>
      </c>
      <c r="BA356">
        <v>380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CX356">
        <f>Y356*Source!I174</f>
        <v>6.4399999999999995E-3</v>
      </c>
      <c r="CY356">
        <f>AB356</f>
        <v>235.69</v>
      </c>
      <c r="CZ356">
        <f>AF356</f>
        <v>30.85</v>
      </c>
      <c r="DA356">
        <f>AJ356</f>
        <v>7.64</v>
      </c>
      <c r="DB356">
        <f>ROUND((ROUND(AT356*CZ356,2)*ROUND((1.25*1.15),7)),6)</f>
        <v>0.44562499999999999</v>
      </c>
      <c r="DC356">
        <f>ROUND((ROUND(AT356*AG356,2)*ROUND((1.25*1.15),7)),6)</f>
        <v>0.18687500000000001</v>
      </c>
    </row>
    <row r="357" spans="1:107">
      <c r="A357">
        <f>ROW(Source!A174)</f>
        <v>174</v>
      </c>
      <c r="B357">
        <v>31028412</v>
      </c>
      <c r="C357">
        <v>31029488</v>
      </c>
      <c r="D357">
        <v>29149520</v>
      </c>
      <c r="E357">
        <v>1</v>
      </c>
      <c r="F357">
        <v>1</v>
      </c>
      <c r="G357">
        <v>1</v>
      </c>
      <c r="H357">
        <v>2</v>
      </c>
      <c r="I357" t="s">
        <v>790</v>
      </c>
      <c r="J357" t="s">
        <v>791</v>
      </c>
      <c r="K357" t="s">
        <v>792</v>
      </c>
      <c r="L357">
        <v>1368</v>
      </c>
      <c r="N357">
        <v>1011</v>
      </c>
      <c r="O357" t="s">
        <v>780</v>
      </c>
      <c r="P357" t="s">
        <v>780</v>
      </c>
      <c r="Q357">
        <v>1</v>
      </c>
      <c r="W357">
        <v>0</v>
      </c>
      <c r="X357">
        <v>-1931461795</v>
      </c>
      <c r="Y357">
        <v>4.3124999999999997E-2</v>
      </c>
      <c r="AA357">
        <v>0</v>
      </c>
      <c r="AB357">
        <v>699.98</v>
      </c>
      <c r="AC357">
        <v>0</v>
      </c>
      <c r="AD357">
        <v>0</v>
      </c>
      <c r="AE357">
        <v>0</v>
      </c>
      <c r="AF357">
        <v>91.62</v>
      </c>
      <c r="AG357">
        <v>0</v>
      </c>
      <c r="AH357">
        <v>0</v>
      </c>
      <c r="AI357">
        <v>1</v>
      </c>
      <c r="AJ357">
        <v>7.64</v>
      </c>
      <c r="AK357">
        <v>24.22</v>
      </c>
      <c r="AL357">
        <v>1</v>
      </c>
      <c r="AN357">
        <v>0</v>
      </c>
      <c r="AO357">
        <v>1</v>
      </c>
      <c r="AP357">
        <v>1</v>
      </c>
      <c r="AQ357">
        <v>0</v>
      </c>
      <c r="AR357">
        <v>0</v>
      </c>
      <c r="AS357" t="s">
        <v>6</v>
      </c>
      <c r="AT357">
        <v>0.03</v>
      </c>
      <c r="AU357" t="s">
        <v>126</v>
      </c>
      <c r="AV357">
        <v>0</v>
      </c>
      <c r="AW357">
        <v>2</v>
      </c>
      <c r="AX357">
        <v>31029499</v>
      </c>
      <c r="AY357">
        <v>1</v>
      </c>
      <c r="AZ357">
        <v>0</v>
      </c>
      <c r="BA357">
        <v>381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CX357">
        <f>Y357*Source!I174</f>
        <v>1.932E-2</v>
      </c>
      <c r="CY357">
        <f>AB357</f>
        <v>699.98</v>
      </c>
      <c r="CZ357">
        <f>AF357</f>
        <v>91.62</v>
      </c>
      <c r="DA357">
        <f>AJ357</f>
        <v>7.64</v>
      </c>
      <c r="DB357">
        <f>ROUND((ROUND(AT357*CZ357,2)*ROUND((1.25*1.15),7)),6)</f>
        <v>3.953125</v>
      </c>
      <c r="DC357">
        <f>ROUND((ROUND(AT357*AG357,2)*ROUND((1.25*1.15),7)),6)</f>
        <v>0</v>
      </c>
    </row>
    <row r="358" spans="1:107">
      <c r="A358">
        <f>ROW(Source!A174)</f>
        <v>174</v>
      </c>
      <c r="B358">
        <v>31028412</v>
      </c>
      <c r="C358">
        <v>31029488</v>
      </c>
      <c r="D358">
        <v>29151861</v>
      </c>
      <c r="E358">
        <v>1</v>
      </c>
      <c r="F358">
        <v>1</v>
      </c>
      <c r="G358">
        <v>1</v>
      </c>
      <c r="H358">
        <v>3</v>
      </c>
      <c r="I358" t="s">
        <v>835</v>
      </c>
      <c r="J358" t="s">
        <v>836</v>
      </c>
      <c r="K358" t="s">
        <v>837</v>
      </c>
      <c r="L358">
        <v>1327</v>
      </c>
      <c r="N358">
        <v>1005</v>
      </c>
      <c r="O358" t="s">
        <v>284</v>
      </c>
      <c r="P358" t="s">
        <v>284</v>
      </c>
      <c r="Q358">
        <v>1</v>
      </c>
      <c r="W358">
        <v>0</v>
      </c>
      <c r="X358">
        <v>1527270933</v>
      </c>
      <c r="Y358">
        <v>4.4000000000000004</v>
      </c>
      <c r="AA358">
        <v>452.82</v>
      </c>
      <c r="AB358">
        <v>0</v>
      </c>
      <c r="AC358">
        <v>0</v>
      </c>
      <c r="AD358">
        <v>0</v>
      </c>
      <c r="AE358">
        <v>73.39</v>
      </c>
      <c r="AF358">
        <v>0</v>
      </c>
      <c r="AG358">
        <v>0</v>
      </c>
      <c r="AH358">
        <v>0</v>
      </c>
      <c r="AI358">
        <v>6.17</v>
      </c>
      <c r="AJ358">
        <v>1</v>
      </c>
      <c r="AK358">
        <v>1</v>
      </c>
      <c r="AL358">
        <v>1</v>
      </c>
      <c r="AN358">
        <v>0</v>
      </c>
      <c r="AO358">
        <v>1</v>
      </c>
      <c r="AP358">
        <v>0</v>
      </c>
      <c r="AQ358">
        <v>0</v>
      </c>
      <c r="AR358">
        <v>0</v>
      </c>
      <c r="AS358" t="s">
        <v>6</v>
      </c>
      <c r="AT358">
        <v>4.4000000000000004</v>
      </c>
      <c r="AU358" t="s">
        <v>6</v>
      </c>
      <c r="AV358">
        <v>0</v>
      </c>
      <c r="AW358">
        <v>2</v>
      </c>
      <c r="AX358">
        <v>31029500</v>
      </c>
      <c r="AY358">
        <v>1</v>
      </c>
      <c r="AZ358">
        <v>0</v>
      </c>
      <c r="BA358">
        <v>382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CX358">
        <f>Y358*Source!I174</f>
        <v>1.9712000000000003</v>
      </c>
      <c r="CY358">
        <f>AA358</f>
        <v>452.82</v>
      </c>
      <c r="CZ358">
        <f>AE358</f>
        <v>73.39</v>
      </c>
      <c r="DA358">
        <f>AI358</f>
        <v>6.17</v>
      </c>
      <c r="DB358">
        <f>ROUND(ROUND(AT358*CZ358,2),6)</f>
        <v>322.92</v>
      </c>
      <c r="DC358">
        <f>ROUND(ROUND(AT358*AG358,2),6)</f>
        <v>0</v>
      </c>
    </row>
    <row r="359" spans="1:107">
      <c r="A359">
        <f>ROW(Source!A174)</f>
        <v>174</v>
      </c>
      <c r="B359">
        <v>31028412</v>
      </c>
      <c r="C359">
        <v>31029488</v>
      </c>
      <c r="D359">
        <v>29151929</v>
      </c>
      <c r="E359">
        <v>1</v>
      </c>
      <c r="F359">
        <v>1</v>
      </c>
      <c r="G359">
        <v>1</v>
      </c>
      <c r="H359">
        <v>3</v>
      </c>
      <c r="I359" t="s">
        <v>914</v>
      </c>
      <c r="J359" t="s">
        <v>915</v>
      </c>
      <c r="K359" t="s">
        <v>916</v>
      </c>
      <c r="L359">
        <v>1348</v>
      </c>
      <c r="N359">
        <v>1009</v>
      </c>
      <c r="O359" t="s">
        <v>137</v>
      </c>
      <c r="P359" t="s">
        <v>137</v>
      </c>
      <c r="Q359">
        <v>1000</v>
      </c>
      <c r="W359">
        <v>0</v>
      </c>
      <c r="X359">
        <v>-706211403</v>
      </c>
      <c r="Y359">
        <v>2.9000000000000001E-2</v>
      </c>
      <c r="AA359">
        <v>19447.53</v>
      </c>
      <c r="AB359">
        <v>0</v>
      </c>
      <c r="AC359">
        <v>0</v>
      </c>
      <c r="AD359">
        <v>0</v>
      </c>
      <c r="AE359">
        <v>3151.95</v>
      </c>
      <c r="AF359">
        <v>0</v>
      </c>
      <c r="AG359">
        <v>0</v>
      </c>
      <c r="AH359">
        <v>0</v>
      </c>
      <c r="AI359">
        <v>6.17</v>
      </c>
      <c r="AJ359">
        <v>1</v>
      </c>
      <c r="AK359">
        <v>1</v>
      </c>
      <c r="AL359">
        <v>1</v>
      </c>
      <c r="AN359">
        <v>0</v>
      </c>
      <c r="AO359">
        <v>1</v>
      </c>
      <c r="AP359">
        <v>0</v>
      </c>
      <c r="AQ359">
        <v>0</v>
      </c>
      <c r="AR359">
        <v>0</v>
      </c>
      <c r="AS359" t="s">
        <v>6</v>
      </c>
      <c r="AT359">
        <v>2.9000000000000001E-2</v>
      </c>
      <c r="AU359" t="s">
        <v>6</v>
      </c>
      <c r="AV359">
        <v>0</v>
      </c>
      <c r="AW359">
        <v>2</v>
      </c>
      <c r="AX359">
        <v>31029501</v>
      </c>
      <c r="AY359">
        <v>1</v>
      </c>
      <c r="AZ359">
        <v>0</v>
      </c>
      <c r="BA359">
        <v>383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CX359">
        <f>Y359*Source!I174</f>
        <v>1.2992E-2</v>
      </c>
      <c r="CY359">
        <f>AA359</f>
        <v>19447.53</v>
      </c>
      <c r="CZ359">
        <f>AE359</f>
        <v>3151.95</v>
      </c>
      <c r="DA359">
        <f>AI359</f>
        <v>6.17</v>
      </c>
      <c r="DB359">
        <f>ROUND(ROUND(AT359*CZ359,2),6)</f>
        <v>91.41</v>
      </c>
      <c r="DC359">
        <f>ROUND(ROUND(AT359*AG359,2),6)</f>
        <v>0</v>
      </c>
    </row>
    <row r="360" spans="1:107">
      <c r="A360">
        <f>ROW(Source!A174)</f>
        <v>174</v>
      </c>
      <c r="B360">
        <v>31028412</v>
      </c>
      <c r="C360">
        <v>31029488</v>
      </c>
      <c r="D360">
        <v>29152014</v>
      </c>
      <c r="E360">
        <v>1</v>
      </c>
      <c r="F360">
        <v>1</v>
      </c>
      <c r="G360">
        <v>1</v>
      </c>
      <c r="H360">
        <v>3</v>
      </c>
      <c r="I360" t="s">
        <v>838</v>
      </c>
      <c r="J360" t="s">
        <v>839</v>
      </c>
      <c r="K360" t="s">
        <v>840</v>
      </c>
      <c r="L360">
        <v>1346</v>
      </c>
      <c r="N360">
        <v>1009</v>
      </c>
      <c r="O360" t="s">
        <v>118</v>
      </c>
      <c r="P360" t="s">
        <v>118</v>
      </c>
      <c r="Q360">
        <v>1</v>
      </c>
      <c r="W360">
        <v>0</v>
      </c>
      <c r="X360">
        <v>-1526040720</v>
      </c>
      <c r="Y360">
        <v>0.15</v>
      </c>
      <c r="AA360">
        <v>11.97</v>
      </c>
      <c r="AB360">
        <v>0</v>
      </c>
      <c r="AC360">
        <v>0</v>
      </c>
      <c r="AD360">
        <v>0</v>
      </c>
      <c r="AE360">
        <v>1.94</v>
      </c>
      <c r="AF360">
        <v>0</v>
      </c>
      <c r="AG360">
        <v>0</v>
      </c>
      <c r="AH360">
        <v>0</v>
      </c>
      <c r="AI360">
        <v>6.17</v>
      </c>
      <c r="AJ360">
        <v>1</v>
      </c>
      <c r="AK360">
        <v>1</v>
      </c>
      <c r="AL360">
        <v>1</v>
      </c>
      <c r="AN360">
        <v>0</v>
      </c>
      <c r="AO360">
        <v>1</v>
      </c>
      <c r="AP360">
        <v>0</v>
      </c>
      <c r="AQ360">
        <v>0</v>
      </c>
      <c r="AR360">
        <v>0</v>
      </c>
      <c r="AS360" t="s">
        <v>6</v>
      </c>
      <c r="AT360">
        <v>0.15</v>
      </c>
      <c r="AU360" t="s">
        <v>6</v>
      </c>
      <c r="AV360">
        <v>0</v>
      </c>
      <c r="AW360">
        <v>2</v>
      </c>
      <c r="AX360">
        <v>31029502</v>
      </c>
      <c r="AY360">
        <v>1</v>
      </c>
      <c r="AZ360">
        <v>0</v>
      </c>
      <c r="BA360">
        <v>384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CX360">
        <f>Y360*Source!I174</f>
        <v>6.7199999999999996E-2</v>
      </c>
      <c r="CY360">
        <f>AA360</f>
        <v>11.97</v>
      </c>
      <c r="CZ360">
        <f>AE360</f>
        <v>1.94</v>
      </c>
      <c r="DA360">
        <f>AI360</f>
        <v>6.17</v>
      </c>
      <c r="DB360">
        <f>ROUND(ROUND(AT360*CZ360,2),6)</f>
        <v>0.28999999999999998</v>
      </c>
      <c r="DC360">
        <f>ROUND(ROUND(AT360*AG360,2),6)</f>
        <v>0</v>
      </c>
    </row>
    <row r="361" spans="1:107">
      <c r="A361">
        <f>ROW(Source!A175)</f>
        <v>175</v>
      </c>
      <c r="B361">
        <v>31028412</v>
      </c>
      <c r="C361">
        <v>31029503</v>
      </c>
      <c r="D361">
        <v>29084594</v>
      </c>
      <c r="E361">
        <v>1</v>
      </c>
      <c r="F361">
        <v>1</v>
      </c>
      <c r="G361">
        <v>1</v>
      </c>
      <c r="H361">
        <v>1</v>
      </c>
      <c r="I361" t="s">
        <v>922</v>
      </c>
      <c r="J361" t="s">
        <v>6</v>
      </c>
      <c r="K361" t="s">
        <v>923</v>
      </c>
      <c r="L361">
        <v>1369</v>
      </c>
      <c r="N361">
        <v>1013</v>
      </c>
      <c r="O361" t="s">
        <v>773</v>
      </c>
      <c r="P361" t="s">
        <v>773</v>
      </c>
      <c r="Q361">
        <v>1</v>
      </c>
      <c r="W361">
        <v>0</v>
      </c>
      <c r="X361">
        <v>-1364176711</v>
      </c>
      <c r="Y361">
        <v>211.16357499999995</v>
      </c>
      <c r="AA361">
        <v>0</v>
      </c>
      <c r="AB361">
        <v>0</v>
      </c>
      <c r="AC361">
        <v>0</v>
      </c>
      <c r="AD361">
        <v>214.59</v>
      </c>
      <c r="AE361">
        <v>0</v>
      </c>
      <c r="AF361">
        <v>0</v>
      </c>
      <c r="AG361">
        <v>0</v>
      </c>
      <c r="AH361">
        <v>8.86</v>
      </c>
      <c r="AI361">
        <v>1</v>
      </c>
      <c r="AJ361">
        <v>1</v>
      </c>
      <c r="AK361">
        <v>1</v>
      </c>
      <c r="AL361">
        <v>24.22</v>
      </c>
      <c r="AN361">
        <v>0</v>
      </c>
      <c r="AO361">
        <v>1</v>
      </c>
      <c r="AP361">
        <v>1</v>
      </c>
      <c r="AQ361">
        <v>0</v>
      </c>
      <c r="AR361">
        <v>0</v>
      </c>
      <c r="AS361" t="s">
        <v>6</v>
      </c>
      <c r="AT361">
        <v>159.66999999999999</v>
      </c>
      <c r="AU361" t="s">
        <v>127</v>
      </c>
      <c r="AV361">
        <v>1</v>
      </c>
      <c r="AW361">
        <v>2</v>
      </c>
      <c r="AX361">
        <v>31029518</v>
      </c>
      <c r="AY361">
        <v>1</v>
      </c>
      <c r="AZ361">
        <v>0</v>
      </c>
      <c r="BA361">
        <v>385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CX361">
        <f>Y361*Source!I175</f>
        <v>188.35790889999996</v>
      </c>
      <c r="CY361">
        <f>AD361</f>
        <v>214.59</v>
      </c>
      <c r="CZ361">
        <f>AH361</f>
        <v>8.86</v>
      </c>
      <c r="DA361">
        <f>AL361</f>
        <v>24.22</v>
      </c>
      <c r="DB361">
        <f>ROUND((ROUND(AT361*CZ361,2)*ROUND((1.15*1.15),7)),6)</f>
        <v>1870.9142999999999</v>
      </c>
      <c r="DC361">
        <f>ROUND((ROUND(AT361*AG361,2)*ROUND((1.15*1.15),7)),6)</f>
        <v>0</v>
      </c>
    </row>
    <row r="362" spans="1:107">
      <c r="A362">
        <f>ROW(Source!A175)</f>
        <v>175</v>
      </c>
      <c r="B362">
        <v>31028412</v>
      </c>
      <c r="C362">
        <v>31029503</v>
      </c>
      <c r="D362">
        <v>29084573</v>
      </c>
      <c r="E362">
        <v>1</v>
      </c>
      <c r="F362">
        <v>1</v>
      </c>
      <c r="G362">
        <v>1</v>
      </c>
      <c r="H362">
        <v>1</v>
      </c>
      <c r="I362" t="s">
        <v>774</v>
      </c>
      <c r="J362" t="s">
        <v>6</v>
      </c>
      <c r="K362" t="s">
        <v>775</v>
      </c>
      <c r="L362">
        <v>608254</v>
      </c>
      <c r="N362">
        <v>1013</v>
      </c>
      <c r="O362" t="s">
        <v>776</v>
      </c>
      <c r="P362" t="s">
        <v>776</v>
      </c>
      <c r="Q362">
        <v>1</v>
      </c>
      <c r="W362">
        <v>0</v>
      </c>
      <c r="X362">
        <v>95408949</v>
      </c>
      <c r="Y362">
        <v>2.3718749999999997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1</v>
      </c>
      <c r="AJ362">
        <v>1</v>
      </c>
      <c r="AK362">
        <v>24.22</v>
      </c>
      <c r="AL362">
        <v>1</v>
      </c>
      <c r="AN362">
        <v>0</v>
      </c>
      <c r="AO362">
        <v>1</v>
      </c>
      <c r="AP362">
        <v>1</v>
      </c>
      <c r="AQ362">
        <v>0</v>
      </c>
      <c r="AR362">
        <v>0</v>
      </c>
      <c r="AS362" t="s">
        <v>6</v>
      </c>
      <c r="AT362">
        <v>1.65</v>
      </c>
      <c r="AU362" t="s">
        <v>126</v>
      </c>
      <c r="AV362">
        <v>2</v>
      </c>
      <c r="AW362">
        <v>2</v>
      </c>
      <c r="AX362">
        <v>31029519</v>
      </c>
      <c r="AY362">
        <v>1</v>
      </c>
      <c r="AZ362">
        <v>0</v>
      </c>
      <c r="BA362">
        <v>386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CX362">
        <f>Y362*Source!I175</f>
        <v>2.1157124999999999</v>
      </c>
      <c r="CY362">
        <f>AD362</f>
        <v>0</v>
      </c>
      <c r="CZ362">
        <f>AH362</f>
        <v>0</v>
      </c>
      <c r="DA362">
        <f>AL362</f>
        <v>1</v>
      </c>
      <c r="DB362">
        <f>ROUND((ROUND(AT362*CZ362,2)*ROUND((1.25*1.15),7)),6)</f>
        <v>0</v>
      </c>
      <c r="DC362">
        <f>ROUND((ROUND(AT362*AG362,2)*ROUND((1.25*1.15),7)),6)</f>
        <v>0</v>
      </c>
    </row>
    <row r="363" spans="1:107">
      <c r="A363">
        <f>ROW(Source!A175)</f>
        <v>175</v>
      </c>
      <c r="B363">
        <v>31028412</v>
      </c>
      <c r="C363">
        <v>31029503</v>
      </c>
      <c r="D363">
        <v>29147673</v>
      </c>
      <c r="E363">
        <v>1</v>
      </c>
      <c r="F363">
        <v>1</v>
      </c>
      <c r="G363">
        <v>1</v>
      </c>
      <c r="H363">
        <v>2</v>
      </c>
      <c r="I363" t="s">
        <v>924</v>
      </c>
      <c r="J363" t="s">
        <v>925</v>
      </c>
      <c r="K363" t="s">
        <v>926</v>
      </c>
      <c r="L363">
        <v>1368</v>
      </c>
      <c r="N363">
        <v>1011</v>
      </c>
      <c r="O363" t="s">
        <v>780</v>
      </c>
      <c r="P363" t="s">
        <v>780</v>
      </c>
      <c r="Q363">
        <v>1</v>
      </c>
      <c r="W363">
        <v>0</v>
      </c>
      <c r="X363">
        <v>-149788903</v>
      </c>
      <c r="Y363">
        <v>0.11499999999999999</v>
      </c>
      <c r="AA363">
        <v>0</v>
      </c>
      <c r="AB363">
        <v>748.34</v>
      </c>
      <c r="AC363">
        <v>235.18</v>
      </c>
      <c r="AD363">
        <v>0</v>
      </c>
      <c r="AE363">
        <v>0</v>
      </c>
      <c r="AF363">
        <v>97.95</v>
      </c>
      <c r="AG363">
        <v>9.7100000000000009</v>
      </c>
      <c r="AH363">
        <v>0</v>
      </c>
      <c r="AI363">
        <v>1</v>
      </c>
      <c r="AJ363">
        <v>7.64</v>
      </c>
      <c r="AK363">
        <v>24.22</v>
      </c>
      <c r="AL363">
        <v>1</v>
      </c>
      <c r="AN363">
        <v>0</v>
      </c>
      <c r="AO363">
        <v>1</v>
      </c>
      <c r="AP363">
        <v>1</v>
      </c>
      <c r="AQ363">
        <v>0</v>
      </c>
      <c r="AR363">
        <v>0</v>
      </c>
      <c r="AS363" t="s">
        <v>6</v>
      </c>
      <c r="AT363">
        <v>0.08</v>
      </c>
      <c r="AU363" t="s">
        <v>126</v>
      </c>
      <c r="AV363">
        <v>0</v>
      </c>
      <c r="AW363">
        <v>2</v>
      </c>
      <c r="AX363">
        <v>31029520</v>
      </c>
      <c r="AY363">
        <v>1</v>
      </c>
      <c r="AZ363">
        <v>0</v>
      </c>
      <c r="BA363">
        <v>387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CX363">
        <f>Y363*Source!I175</f>
        <v>0.10257999999999999</v>
      </c>
      <c r="CY363">
        <f>AB363</f>
        <v>748.34</v>
      </c>
      <c r="CZ363">
        <f>AF363</f>
        <v>97.95</v>
      </c>
      <c r="DA363">
        <f>AJ363</f>
        <v>7.64</v>
      </c>
      <c r="DB363">
        <f>ROUND((ROUND(AT363*CZ363,2)*ROUND((1.25*1.15),7)),6)</f>
        <v>11.27</v>
      </c>
      <c r="DC363">
        <f>ROUND((ROUND(AT363*AG363,2)*ROUND((1.25*1.15),7)),6)</f>
        <v>1.1212500000000001</v>
      </c>
    </row>
    <row r="364" spans="1:107">
      <c r="A364">
        <f>ROW(Source!A175)</f>
        <v>175</v>
      </c>
      <c r="B364">
        <v>31028412</v>
      </c>
      <c r="C364">
        <v>31029503</v>
      </c>
      <c r="D364">
        <v>29147732</v>
      </c>
      <c r="E364">
        <v>1</v>
      </c>
      <c r="F364">
        <v>1</v>
      </c>
      <c r="G364">
        <v>1</v>
      </c>
      <c r="H364">
        <v>2</v>
      </c>
      <c r="I364" t="s">
        <v>846</v>
      </c>
      <c r="J364" t="s">
        <v>847</v>
      </c>
      <c r="K364" t="s">
        <v>848</v>
      </c>
      <c r="L364">
        <v>1368</v>
      </c>
      <c r="N364">
        <v>1011</v>
      </c>
      <c r="O364" t="s">
        <v>780</v>
      </c>
      <c r="P364" t="s">
        <v>780</v>
      </c>
      <c r="Q364">
        <v>1</v>
      </c>
      <c r="W364">
        <v>0</v>
      </c>
      <c r="X364">
        <v>-1205898307</v>
      </c>
      <c r="Y364">
        <v>0.388125</v>
      </c>
      <c r="AA364">
        <v>0</v>
      </c>
      <c r="AB364">
        <v>235.69</v>
      </c>
      <c r="AC364">
        <v>315.58999999999997</v>
      </c>
      <c r="AD364">
        <v>0</v>
      </c>
      <c r="AE364">
        <v>0</v>
      </c>
      <c r="AF364">
        <v>30.85</v>
      </c>
      <c r="AG364">
        <v>13.03</v>
      </c>
      <c r="AH364">
        <v>0</v>
      </c>
      <c r="AI364">
        <v>1</v>
      </c>
      <c r="AJ364">
        <v>7.64</v>
      </c>
      <c r="AK364">
        <v>24.22</v>
      </c>
      <c r="AL364">
        <v>1</v>
      </c>
      <c r="AN364">
        <v>0</v>
      </c>
      <c r="AO364">
        <v>1</v>
      </c>
      <c r="AP364">
        <v>1</v>
      </c>
      <c r="AQ364">
        <v>0</v>
      </c>
      <c r="AR364">
        <v>0</v>
      </c>
      <c r="AS364" t="s">
        <v>6</v>
      </c>
      <c r="AT364">
        <v>0.27</v>
      </c>
      <c r="AU364" t="s">
        <v>126</v>
      </c>
      <c r="AV364">
        <v>0</v>
      </c>
      <c r="AW364">
        <v>2</v>
      </c>
      <c r="AX364">
        <v>31029521</v>
      </c>
      <c r="AY364">
        <v>1</v>
      </c>
      <c r="AZ364">
        <v>0</v>
      </c>
      <c r="BA364">
        <v>388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CX364">
        <f>Y364*Source!I175</f>
        <v>0.3462075</v>
      </c>
      <c r="CY364">
        <f>AB364</f>
        <v>235.69</v>
      </c>
      <c r="CZ364">
        <f>AF364</f>
        <v>30.85</v>
      </c>
      <c r="DA364">
        <f>AJ364</f>
        <v>7.64</v>
      </c>
      <c r="DB364">
        <f>ROUND((ROUND(AT364*CZ364,2)*ROUND((1.25*1.15),7)),6)</f>
        <v>11.974375</v>
      </c>
      <c r="DC364">
        <f>ROUND((ROUND(AT364*AG364,2)*ROUND((1.25*1.15),7)),6)</f>
        <v>5.0599999999999996</v>
      </c>
    </row>
    <row r="365" spans="1:107">
      <c r="A365">
        <f>ROW(Source!A175)</f>
        <v>175</v>
      </c>
      <c r="B365">
        <v>31028412</v>
      </c>
      <c r="C365">
        <v>31029503</v>
      </c>
      <c r="D365">
        <v>29148135</v>
      </c>
      <c r="E365">
        <v>1</v>
      </c>
      <c r="F365">
        <v>1</v>
      </c>
      <c r="G365">
        <v>1</v>
      </c>
      <c r="H365">
        <v>2</v>
      </c>
      <c r="I365" t="s">
        <v>948</v>
      </c>
      <c r="J365" t="s">
        <v>949</v>
      </c>
      <c r="K365" t="s">
        <v>950</v>
      </c>
      <c r="L365">
        <v>1368</v>
      </c>
      <c r="N365">
        <v>1011</v>
      </c>
      <c r="O365" t="s">
        <v>780</v>
      </c>
      <c r="P365" t="s">
        <v>780</v>
      </c>
      <c r="Q365">
        <v>1</v>
      </c>
      <c r="W365">
        <v>0</v>
      </c>
      <c r="X365">
        <v>-1933209150</v>
      </c>
      <c r="Y365">
        <v>1.8687499999999999</v>
      </c>
      <c r="AA365">
        <v>0</v>
      </c>
      <c r="AB365">
        <v>91.99</v>
      </c>
      <c r="AC365">
        <v>235.18</v>
      </c>
      <c r="AD365">
        <v>0</v>
      </c>
      <c r="AE365">
        <v>0</v>
      </c>
      <c r="AF365">
        <v>12.04</v>
      </c>
      <c r="AG365">
        <v>9.7100000000000009</v>
      </c>
      <c r="AH365">
        <v>0</v>
      </c>
      <c r="AI365">
        <v>1</v>
      </c>
      <c r="AJ365">
        <v>7.64</v>
      </c>
      <c r="AK365">
        <v>24.22</v>
      </c>
      <c r="AL365">
        <v>1</v>
      </c>
      <c r="AN365">
        <v>0</v>
      </c>
      <c r="AO365">
        <v>1</v>
      </c>
      <c r="AP365">
        <v>1</v>
      </c>
      <c r="AQ365">
        <v>0</v>
      </c>
      <c r="AR365">
        <v>0</v>
      </c>
      <c r="AS365" t="s">
        <v>6</v>
      </c>
      <c r="AT365">
        <v>1.3</v>
      </c>
      <c r="AU365" t="s">
        <v>126</v>
      </c>
      <c r="AV365">
        <v>0</v>
      </c>
      <c r="AW365">
        <v>2</v>
      </c>
      <c r="AX365">
        <v>31029522</v>
      </c>
      <c r="AY365">
        <v>1</v>
      </c>
      <c r="AZ365">
        <v>0</v>
      </c>
      <c r="BA365">
        <v>389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CX365">
        <f>Y365*Source!I175</f>
        <v>1.666925</v>
      </c>
      <c r="CY365">
        <f>AB365</f>
        <v>91.99</v>
      </c>
      <c r="CZ365">
        <f>AF365</f>
        <v>12.04</v>
      </c>
      <c r="DA365">
        <f>AJ365</f>
        <v>7.64</v>
      </c>
      <c r="DB365">
        <f>ROUND((ROUND(AT365*CZ365,2)*ROUND((1.25*1.15),7)),6)</f>
        <v>22.496874999999999</v>
      </c>
      <c r="DC365">
        <f>ROUND((ROUND(AT365*AG365,2)*ROUND((1.25*1.15),7)),6)</f>
        <v>18.141249999999999</v>
      </c>
    </row>
    <row r="366" spans="1:107">
      <c r="A366">
        <f>ROW(Source!A175)</f>
        <v>175</v>
      </c>
      <c r="B366">
        <v>31028412</v>
      </c>
      <c r="C366">
        <v>31029503</v>
      </c>
      <c r="D366">
        <v>29150615</v>
      </c>
      <c r="E366">
        <v>1</v>
      </c>
      <c r="F366">
        <v>1</v>
      </c>
      <c r="G366">
        <v>1</v>
      </c>
      <c r="H366">
        <v>3</v>
      </c>
      <c r="I366" t="s">
        <v>951</v>
      </c>
      <c r="J366" t="s">
        <v>952</v>
      </c>
      <c r="K366" t="s">
        <v>953</v>
      </c>
      <c r="L366">
        <v>1327</v>
      </c>
      <c r="N366">
        <v>1005</v>
      </c>
      <c r="O366" t="s">
        <v>284</v>
      </c>
      <c r="P366" t="s">
        <v>284</v>
      </c>
      <c r="Q366">
        <v>1</v>
      </c>
      <c r="W366">
        <v>0</v>
      </c>
      <c r="X366">
        <v>393653988</v>
      </c>
      <c r="Y366">
        <v>100</v>
      </c>
      <c r="AA366">
        <v>450.22</v>
      </c>
      <c r="AB366">
        <v>0</v>
      </c>
      <c r="AC366">
        <v>0</v>
      </c>
      <c r="AD366">
        <v>0</v>
      </c>
      <c r="AE366">
        <v>72.97</v>
      </c>
      <c r="AF366">
        <v>0</v>
      </c>
      <c r="AG366">
        <v>0</v>
      </c>
      <c r="AH366">
        <v>0</v>
      </c>
      <c r="AI366">
        <v>6.17</v>
      </c>
      <c r="AJ366">
        <v>1</v>
      </c>
      <c r="AK366">
        <v>1</v>
      </c>
      <c r="AL366">
        <v>1</v>
      </c>
      <c r="AN366">
        <v>0</v>
      </c>
      <c r="AO366">
        <v>1</v>
      </c>
      <c r="AP366">
        <v>0</v>
      </c>
      <c r="AQ366">
        <v>0</v>
      </c>
      <c r="AR366">
        <v>0</v>
      </c>
      <c r="AS366" t="s">
        <v>6</v>
      </c>
      <c r="AT366">
        <v>100</v>
      </c>
      <c r="AU366" t="s">
        <v>6</v>
      </c>
      <c r="AV366">
        <v>0</v>
      </c>
      <c r="AW366">
        <v>2</v>
      </c>
      <c r="AX366">
        <v>31029523</v>
      </c>
      <c r="AY366">
        <v>1</v>
      </c>
      <c r="AZ366">
        <v>0</v>
      </c>
      <c r="BA366">
        <v>390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CX366">
        <f>Y366*Source!I175</f>
        <v>89.2</v>
      </c>
      <c r="CY366">
        <f>AA366</f>
        <v>450.22</v>
      </c>
      <c r="CZ366">
        <f>AE366</f>
        <v>72.97</v>
      </c>
      <c r="DA366">
        <f>AI366</f>
        <v>6.17</v>
      </c>
      <c r="DB366">
        <f>ROUND(ROUND(AT366*CZ366,2),6)</f>
        <v>7297</v>
      </c>
      <c r="DC366">
        <f>ROUND(ROUND(AT366*AG366,2),6)</f>
        <v>0</v>
      </c>
    </row>
    <row r="367" spans="1:107">
      <c r="A367">
        <f>ROW(Source!A175)</f>
        <v>175</v>
      </c>
      <c r="B367">
        <v>31028412</v>
      </c>
      <c r="C367">
        <v>31029503</v>
      </c>
      <c r="D367">
        <v>29152014</v>
      </c>
      <c r="E367">
        <v>1</v>
      </c>
      <c r="F367">
        <v>1</v>
      </c>
      <c r="G367">
        <v>1</v>
      </c>
      <c r="H367">
        <v>3</v>
      </c>
      <c r="I367" t="s">
        <v>838</v>
      </c>
      <c r="J367" t="s">
        <v>839</v>
      </c>
      <c r="K367" t="s">
        <v>840</v>
      </c>
      <c r="L367">
        <v>1346</v>
      </c>
      <c r="N367">
        <v>1009</v>
      </c>
      <c r="O367" t="s">
        <v>118</v>
      </c>
      <c r="P367" t="s">
        <v>118</v>
      </c>
      <c r="Q367">
        <v>1</v>
      </c>
      <c r="W367">
        <v>0</v>
      </c>
      <c r="X367">
        <v>-1526040720</v>
      </c>
      <c r="Y367">
        <v>0.5</v>
      </c>
      <c r="AA367">
        <v>11.97</v>
      </c>
      <c r="AB367">
        <v>0</v>
      </c>
      <c r="AC367">
        <v>0</v>
      </c>
      <c r="AD367">
        <v>0</v>
      </c>
      <c r="AE367">
        <v>1.94</v>
      </c>
      <c r="AF367">
        <v>0</v>
      </c>
      <c r="AG367">
        <v>0</v>
      </c>
      <c r="AH367">
        <v>0</v>
      </c>
      <c r="AI367">
        <v>6.17</v>
      </c>
      <c r="AJ367">
        <v>1</v>
      </c>
      <c r="AK367">
        <v>1</v>
      </c>
      <c r="AL367">
        <v>1</v>
      </c>
      <c r="AN367">
        <v>0</v>
      </c>
      <c r="AO367">
        <v>1</v>
      </c>
      <c r="AP367">
        <v>0</v>
      </c>
      <c r="AQ367">
        <v>0</v>
      </c>
      <c r="AR367">
        <v>0</v>
      </c>
      <c r="AS367" t="s">
        <v>6</v>
      </c>
      <c r="AT367">
        <v>0.5</v>
      </c>
      <c r="AU367" t="s">
        <v>6</v>
      </c>
      <c r="AV367">
        <v>0</v>
      </c>
      <c r="AW367">
        <v>2</v>
      </c>
      <c r="AX367">
        <v>31029514</v>
      </c>
      <c r="AY367">
        <v>1</v>
      </c>
      <c r="AZ367">
        <v>0</v>
      </c>
      <c r="BA367">
        <v>391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CX367">
        <f>Y367*Source!I175</f>
        <v>0.44600000000000001</v>
      </c>
      <c r="CY367">
        <f>AA367</f>
        <v>11.97</v>
      </c>
      <c r="CZ367">
        <f>AE367</f>
        <v>1.94</v>
      </c>
      <c r="DA367">
        <f>AI367</f>
        <v>6.17</v>
      </c>
      <c r="DB367">
        <f>ROUND(ROUND(AT367*CZ367,2),6)</f>
        <v>0.97</v>
      </c>
      <c r="DC367">
        <f>ROUND(ROUND(AT367*AG367,2),6)</f>
        <v>0</v>
      </c>
    </row>
    <row r="368" spans="1:107">
      <c r="A368">
        <f>ROW(Source!A175)</f>
        <v>175</v>
      </c>
      <c r="B368">
        <v>31028412</v>
      </c>
      <c r="C368">
        <v>31029503</v>
      </c>
      <c r="D368">
        <v>29152032</v>
      </c>
      <c r="E368">
        <v>1</v>
      </c>
      <c r="F368">
        <v>1</v>
      </c>
      <c r="G368">
        <v>1</v>
      </c>
      <c r="H368">
        <v>3</v>
      </c>
      <c r="I368" t="s">
        <v>954</v>
      </c>
      <c r="J368" t="s">
        <v>955</v>
      </c>
      <c r="K368" t="s">
        <v>956</v>
      </c>
      <c r="L368">
        <v>1348</v>
      </c>
      <c r="N368">
        <v>1009</v>
      </c>
      <c r="O368" t="s">
        <v>137</v>
      </c>
      <c r="P368" t="s">
        <v>137</v>
      </c>
      <c r="Q368">
        <v>1000</v>
      </c>
      <c r="W368">
        <v>0</v>
      </c>
      <c r="X368">
        <v>2020986646</v>
      </c>
      <c r="Y368">
        <v>0.375</v>
      </c>
      <c r="AA368">
        <v>28343.31</v>
      </c>
      <c r="AB368">
        <v>0</v>
      </c>
      <c r="AC368">
        <v>0</v>
      </c>
      <c r="AD368">
        <v>0</v>
      </c>
      <c r="AE368">
        <v>4593.7299999999996</v>
      </c>
      <c r="AF368">
        <v>0</v>
      </c>
      <c r="AG368">
        <v>0</v>
      </c>
      <c r="AH368">
        <v>0</v>
      </c>
      <c r="AI368">
        <v>6.17</v>
      </c>
      <c r="AJ368">
        <v>1</v>
      </c>
      <c r="AK368">
        <v>1</v>
      </c>
      <c r="AL368">
        <v>1</v>
      </c>
      <c r="AN368">
        <v>0</v>
      </c>
      <c r="AO368">
        <v>1</v>
      </c>
      <c r="AP368">
        <v>0</v>
      </c>
      <c r="AQ368">
        <v>0</v>
      </c>
      <c r="AR368">
        <v>0</v>
      </c>
      <c r="AS368" t="s">
        <v>6</v>
      </c>
      <c r="AT368">
        <v>0.375</v>
      </c>
      <c r="AU368" t="s">
        <v>6</v>
      </c>
      <c r="AV368">
        <v>0</v>
      </c>
      <c r="AW368">
        <v>2</v>
      </c>
      <c r="AX368">
        <v>31029515</v>
      </c>
      <c r="AY368">
        <v>1</v>
      </c>
      <c r="AZ368">
        <v>0</v>
      </c>
      <c r="BA368">
        <v>392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CX368">
        <f>Y368*Source!I175</f>
        <v>0.33450000000000002</v>
      </c>
      <c r="CY368">
        <f>AA368</f>
        <v>28343.31</v>
      </c>
      <c r="CZ368">
        <f>AE368</f>
        <v>4593.7299999999996</v>
      </c>
      <c r="DA368">
        <f>AI368</f>
        <v>6.17</v>
      </c>
      <c r="DB368">
        <f>ROUND(ROUND(AT368*CZ368,2),6)</f>
        <v>1722.65</v>
      </c>
      <c r="DC368">
        <f>ROUND(ROUND(AT368*AG368,2),6)</f>
        <v>0</v>
      </c>
    </row>
    <row r="369" spans="1:107">
      <c r="A369">
        <f>ROW(Source!A175)</f>
        <v>175</v>
      </c>
      <c r="B369">
        <v>31028412</v>
      </c>
      <c r="C369">
        <v>31029503</v>
      </c>
      <c r="D369">
        <v>29186553</v>
      </c>
      <c r="E369">
        <v>1</v>
      </c>
      <c r="F369">
        <v>1</v>
      </c>
      <c r="G369">
        <v>1</v>
      </c>
      <c r="H369">
        <v>3</v>
      </c>
      <c r="I369" t="s">
        <v>957</v>
      </c>
      <c r="J369" t="s">
        <v>958</v>
      </c>
      <c r="K369" t="s">
        <v>959</v>
      </c>
      <c r="L369">
        <v>1348</v>
      </c>
      <c r="N369">
        <v>1009</v>
      </c>
      <c r="O369" t="s">
        <v>137</v>
      </c>
      <c r="P369" t="s">
        <v>137</v>
      </c>
      <c r="Q369">
        <v>1000</v>
      </c>
      <c r="W369">
        <v>0</v>
      </c>
      <c r="X369">
        <v>-1990267052</v>
      </c>
      <c r="Y369">
        <v>0.05</v>
      </c>
      <c r="AA369">
        <v>59571.23</v>
      </c>
      <c r="AB369">
        <v>0</v>
      </c>
      <c r="AC369">
        <v>0</v>
      </c>
      <c r="AD369">
        <v>0</v>
      </c>
      <c r="AE369">
        <v>9654.98</v>
      </c>
      <c r="AF369">
        <v>0</v>
      </c>
      <c r="AG369">
        <v>0</v>
      </c>
      <c r="AH369">
        <v>0</v>
      </c>
      <c r="AI369">
        <v>6.17</v>
      </c>
      <c r="AJ369">
        <v>1</v>
      </c>
      <c r="AK369">
        <v>1</v>
      </c>
      <c r="AL369">
        <v>1</v>
      </c>
      <c r="AN369">
        <v>0</v>
      </c>
      <c r="AO369">
        <v>1</v>
      </c>
      <c r="AP369">
        <v>0</v>
      </c>
      <c r="AQ369">
        <v>0</v>
      </c>
      <c r="AR369">
        <v>0</v>
      </c>
      <c r="AS369" t="s">
        <v>6</v>
      </c>
      <c r="AT369">
        <v>0.05</v>
      </c>
      <c r="AU369" t="s">
        <v>6</v>
      </c>
      <c r="AV369">
        <v>0</v>
      </c>
      <c r="AW369">
        <v>2</v>
      </c>
      <c r="AX369">
        <v>31029516</v>
      </c>
      <c r="AY369">
        <v>1</v>
      </c>
      <c r="AZ369">
        <v>0</v>
      </c>
      <c r="BA369">
        <v>393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CX369">
        <f>Y369*Source!I175</f>
        <v>4.4600000000000001E-2</v>
      </c>
      <c r="CY369">
        <f>AA369</f>
        <v>59571.23</v>
      </c>
      <c r="CZ369">
        <f>AE369</f>
        <v>9654.98</v>
      </c>
      <c r="DA369">
        <f>AI369</f>
        <v>6.17</v>
      </c>
      <c r="DB369">
        <f>ROUND(ROUND(AT369*CZ369,2),6)</f>
        <v>482.75</v>
      </c>
      <c r="DC369">
        <f>ROUND(ROUND(AT369*AG369,2),6)</f>
        <v>0</v>
      </c>
    </row>
    <row r="370" spans="1:107">
      <c r="A370">
        <f>ROW(Source!A175)</f>
        <v>175</v>
      </c>
      <c r="B370">
        <v>31028412</v>
      </c>
      <c r="C370">
        <v>31029503</v>
      </c>
      <c r="D370">
        <v>29195171</v>
      </c>
      <c r="E370">
        <v>1</v>
      </c>
      <c r="F370">
        <v>1</v>
      </c>
      <c r="G370">
        <v>1</v>
      </c>
      <c r="H370">
        <v>3</v>
      </c>
      <c r="I370" t="s">
        <v>830</v>
      </c>
      <c r="J370" t="s">
        <v>831</v>
      </c>
      <c r="K370" t="s">
        <v>832</v>
      </c>
      <c r="L370">
        <v>1339</v>
      </c>
      <c r="N370">
        <v>1007</v>
      </c>
      <c r="O370" t="s">
        <v>109</v>
      </c>
      <c r="P370" t="s">
        <v>109</v>
      </c>
      <c r="Q370">
        <v>1</v>
      </c>
      <c r="W370">
        <v>0</v>
      </c>
      <c r="X370">
        <v>2050165204</v>
      </c>
      <c r="Y370">
        <v>0.93</v>
      </c>
      <c r="AA370">
        <v>15.12</v>
      </c>
      <c r="AB370">
        <v>0</v>
      </c>
      <c r="AC370">
        <v>0</v>
      </c>
      <c r="AD370">
        <v>0</v>
      </c>
      <c r="AE370">
        <v>2.4500000000000002</v>
      </c>
      <c r="AF370">
        <v>0</v>
      </c>
      <c r="AG370">
        <v>0</v>
      </c>
      <c r="AH370">
        <v>0</v>
      </c>
      <c r="AI370">
        <v>6.17</v>
      </c>
      <c r="AJ370">
        <v>1</v>
      </c>
      <c r="AK370">
        <v>1</v>
      </c>
      <c r="AL370">
        <v>1</v>
      </c>
      <c r="AN370">
        <v>0</v>
      </c>
      <c r="AO370">
        <v>1</v>
      </c>
      <c r="AP370">
        <v>0</v>
      </c>
      <c r="AQ370">
        <v>0</v>
      </c>
      <c r="AR370">
        <v>0</v>
      </c>
      <c r="AS370" t="s">
        <v>6</v>
      </c>
      <c r="AT370">
        <v>0.93</v>
      </c>
      <c r="AU370" t="s">
        <v>6</v>
      </c>
      <c r="AV370">
        <v>0</v>
      </c>
      <c r="AW370">
        <v>2</v>
      </c>
      <c r="AX370">
        <v>31029517</v>
      </c>
      <c r="AY370">
        <v>1</v>
      </c>
      <c r="AZ370">
        <v>0</v>
      </c>
      <c r="BA370">
        <v>394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CX370">
        <f>Y370*Source!I175</f>
        <v>0.82956000000000008</v>
      </c>
      <c r="CY370">
        <f>AA370</f>
        <v>15.12</v>
      </c>
      <c r="CZ370">
        <f>AE370</f>
        <v>2.4500000000000002</v>
      </c>
      <c r="DA370">
        <f>AI370</f>
        <v>6.17</v>
      </c>
      <c r="DB370">
        <f>ROUND(ROUND(AT370*CZ370,2),6)</f>
        <v>2.2799999999999998</v>
      </c>
      <c r="DC370">
        <f>ROUND(ROUND(AT370*AG370,2),6)</f>
        <v>0</v>
      </c>
    </row>
    <row r="371" spans="1:107">
      <c r="A371">
        <f>ROW(Source!A176)</f>
        <v>176</v>
      </c>
      <c r="B371">
        <v>31028412</v>
      </c>
      <c r="C371">
        <v>31029524</v>
      </c>
      <c r="D371">
        <v>29084579</v>
      </c>
      <c r="E371">
        <v>1</v>
      </c>
      <c r="F371">
        <v>1</v>
      </c>
      <c r="G371">
        <v>1</v>
      </c>
      <c r="H371">
        <v>1</v>
      </c>
      <c r="I371" t="s">
        <v>849</v>
      </c>
      <c r="J371" t="s">
        <v>6</v>
      </c>
      <c r="K371" t="s">
        <v>850</v>
      </c>
      <c r="L371">
        <v>1369</v>
      </c>
      <c r="N371">
        <v>1013</v>
      </c>
      <c r="O371" t="s">
        <v>773</v>
      </c>
      <c r="P371" t="s">
        <v>773</v>
      </c>
      <c r="Q371">
        <v>1</v>
      </c>
      <c r="W371">
        <v>0</v>
      </c>
      <c r="X371">
        <v>260198247</v>
      </c>
      <c r="Y371">
        <v>90.921875</v>
      </c>
      <c r="AA371">
        <v>0</v>
      </c>
      <c r="AB371">
        <v>0</v>
      </c>
      <c r="AC371">
        <v>0</v>
      </c>
      <c r="AD371">
        <v>225</v>
      </c>
      <c r="AE371">
        <v>0</v>
      </c>
      <c r="AF371">
        <v>0</v>
      </c>
      <c r="AG371">
        <v>0</v>
      </c>
      <c r="AH371">
        <v>9.2899999999999991</v>
      </c>
      <c r="AI371">
        <v>1</v>
      </c>
      <c r="AJ371">
        <v>1</v>
      </c>
      <c r="AK371">
        <v>1</v>
      </c>
      <c r="AL371">
        <v>24.22</v>
      </c>
      <c r="AN371">
        <v>0</v>
      </c>
      <c r="AO371">
        <v>1</v>
      </c>
      <c r="AP371">
        <v>1</v>
      </c>
      <c r="AQ371">
        <v>0</v>
      </c>
      <c r="AR371">
        <v>0</v>
      </c>
      <c r="AS371" t="s">
        <v>6</v>
      </c>
      <c r="AT371">
        <v>68.75</v>
      </c>
      <c r="AU371" t="s">
        <v>127</v>
      </c>
      <c r="AV371">
        <v>1</v>
      </c>
      <c r="AW371">
        <v>2</v>
      </c>
      <c r="AX371">
        <v>31029533</v>
      </c>
      <c r="AY371">
        <v>1</v>
      </c>
      <c r="AZ371">
        <v>0</v>
      </c>
      <c r="BA371">
        <v>395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CX371">
        <f>Y371*Source!I176</f>
        <v>40.733000000000004</v>
      </c>
      <c r="CY371">
        <f>AD371</f>
        <v>225</v>
      </c>
      <c r="CZ371">
        <f>AH371</f>
        <v>9.2899999999999991</v>
      </c>
      <c r="DA371">
        <f>AL371</f>
        <v>24.22</v>
      </c>
      <c r="DB371">
        <f>ROUND((ROUND(AT371*CZ371,2)*ROUND((1.15*1.15),7)),6)</f>
        <v>844.66752499999996</v>
      </c>
      <c r="DC371">
        <f>ROUND((ROUND(AT371*AG371,2)*ROUND((1.15*1.15),7)),6)</f>
        <v>0</v>
      </c>
    </row>
    <row r="372" spans="1:107">
      <c r="A372">
        <f>ROW(Source!A176)</f>
        <v>176</v>
      </c>
      <c r="B372">
        <v>31028412</v>
      </c>
      <c r="C372">
        <v>31029524</v>
      </c>
      <c r="D372">
        <v>29084573</v>
      </c>
      <c r="E372">
        <v>1</v>
      </c>
      <c r="F372">
        <v>1</v>
      </c>
      <c r="G372">
        <v>1</v>
      </c>
      <c r="H372">
        <v>1</v>
      </c>
      <c r="I372" t="s">
        <v>774</v>
      </c>
      <c r="J372" t="s">
        <v>6</v>
      </c>
      <c r="K372" t="s">
        <v>775</v>
      </c>
      <c r="L372">
        <v>608254</v>
      </c>
      <c r="N372">
        <v>1013</v>
      </c>
      <c r="O372" t="s">
        <v>776</v>
      </c>
      <c r="P372" t="s">
        <v>776</v>
      </c>
      <c r="Q372">
        <v>1</v>
      </c>
      <c r="W372">
        <v>0</v>
      </c>
      <c r="X372">
        <v>95408949</v>
      </c>
      <c r="Y372">
        <v>4.3124999999999997E-2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1</v>
      </c>
      <c r="AJ372">
        <v>1</v>
      </c>
      <c r="AK372">
        <v>24.22</v>
      </c>
      <c r="AL372">
        <v>1</v>
      </c>
      <c r="AN372">
        <v>0</v>
      </c>
      <c r="AO372">
        <v>1</v>
      </c>
      <c r="AP372">
        <v>1</v>
      </c>
      <c r="AQ372">
        <v>0</v>
      </c>
      <c r="AR372">
        <v>0</v>
      </c>
      <c r="AS372" t="s">
        <v>6</v>
      </c>
      <c r="AT372">
        <v>0.03</v>
      </c>
      <c r="AU372" t="s">
        <v>126</v>
      </c>
      <c r="AV372">
        <v>2</v>
      </c>
      <c r="AW372">
        <v>2</v>
      </c>
      <c r="AX372">
        <v>31029534</v>
      </c>
      <c r="AY372">
        <v>1</v>
      </c>
      <c r="AZ372">
        <v>0</v>
      </c>
      <c r="BA372">
        <v>396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CX372">
        <f>Y372*Source!I176</f>
        <v>1.932E-2</v>
      </c>
      <c r="CY372">
        <f>AD372</f>
        <v>0</v>
      </c>
      <c r="CZ372">
        <f>AH372</f>
        <v>0</v>
      </c>
      <c r="DA372">
        <f>AL372</f>
        <v>1</v>
      </c>
      <c r="DB372">
        <f>ROUND((ROUND(AT372*CZ372,2)*ROUND((1.25*1.15),7)),6)</f>
        <v>0</v>
      </c>
      <c r="DC372">
        <f>ROUND((ROUND(AT372*AG372,2)*ROUND((1.25*1.15),7)),6)</f>
        <v>0</v>
      </c>
    </row>
    <row r="373" spans="1:107">
      <c r="A373">
        <f>ROW(Source!A176)</f>
        <v>176</v>
      </c>
      <c r="B373">
        <v>31028412</v>
      </c>
      <c r="C373">
        <v>31029524</v>
      </c>
      <c r="D373">
        <v>29147732</v>
      </c>
      <c r="E373">
        <v>1</v>
      </c>
      <c r="F373">
        <v>1</v>
      </c>
      <c r="G373">
        <v>1</v>
      </c>
      <c r="H373">
        <v>2</v>
      </c>
      <c r="I373" t="s">
        <v>846</v>
      </c>
      <c r="J373" t="s">
        <v>847</v>
      </c>
      <c r="K373" t="s">
        <v>848</v>
      </c>
      <c r="L373">
        <v>1368</v>
      </c>
      <c r="N373">
        <v>1011</v>
      </c>
      <c r="O373" t="s">
        <v>780</v>
      </c>
      <c r="P373" t="s">
        <v>780</v>
      </c>
      <c r="Q373">
        <v>1</v>
      </c>
      <c r="W373">
        <v>0</v>
      </c>
      <c r="X373">
        <v>-1205898307</v>
      </c>
      <c r="Y373">
        <v>4.3124999999999997E-2</v>
      </c>
      <c r="AA373">
        <v>0</v>
      </c>
      <c r="AB373">
        <v>235.69</v>
      </c>
      <c r="AC373">
        <v>315.58999999999997</v>
      </c>
      <c r="AD373">
        <v>0</v>
      </c>
      <c r="AE373">
        <v>0</v>
      </c>
      <c r="AF373">
        <v>30.85</v>
      </c>
      <c r="AG373">
        <v>13.03</v>
      </c>
      <c r="AH373">
        <v>0</v>
      </c>
      <c r="AI373">
        <v>1</v>
      </c>
      <c r="AJ373">
        <v>7.64</v>
      </c>
      <c r="AK373">
        <v>24.22</v>
      </c>
      <c r="AL373">
        <v>1</v>
      </c>
      <c r="AN373">
        <v>0</v>
      </c>
      <c r="AO373">
        <v>1</v>
      </c>
      <c r="AP373">
        <v>1</v>
      </c>
      <c r="AQ373">
        <v>0</v>
      </c>
      <c r="AR373">
        <v>0</v>
      </c>
      <c r="AS373" t="s">
        <v>6</v>
      </c>
      <c r="AT373">
        <v>0.03</v>
      </c>
      <c r="AU373" t="s">
        <v>126</v>
      </c>
      <c r="AV373">
        <v>0</v>
      </c>
      <c r="AW373">
        <v>2</v>
      </c>
      <c r="AX373">
        <v>31029535</v>
      </c>
      <c r="AY373">
        <v>1</v>
      </c>
      <c r="AZ373">
        <v>0</v>
      </c>
      <c r="BA373">
        <v>397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CX373">
        <f>Y373*Source!I176</f>
        <v>1.932E-2</v>
      </c>
      <c r="CY373">
        <f>AB373</f>
        <v>235.69</v>
      </c>
      <c r="CZ373">
        <f>AF373</f>
        <v>30.85</v>
      </c>
      <c r="DA373">
        <f>AJ373</f>
        <v>7.64</v>
      </c>
      <c r="DB373">
        <f>ROUND((ROUND(AT373*CZ373,2)*ROUND((1.25*1.15),7)),6)</f>
        <v>1.336875</v>
      </c>
      <c r="DC373">
        <f>ROUND((ROUND(AT373*AG373,2)*ROUND((1.25*1.15),7)),6)</f>
        <v>0.56062500000000004</v>
      </c>
    </row>
    <row r="374" spans="1:107">
      <c r="A374">
        <f>ROW(Source!A176)</f>
        <v>176</v>
      </c>
      <c r="B374">
        <v>31028412</v>
      </c>
      <c r="C374">
        <v>31029524</v>
      </c>
      <c r="D374">
        <v>29149520</v>
      </c>
      <c r="E374">
        <v>1</v>
      </c>
      <c r="F374">
        <v>1</v>
      </c>
      <c r="G374">
        <v>1</v>
      </c>
      <c r="H374">
        <v>2</v>
      </c>
      <c r="I374" t="s">
        <v>790</v>
      </c>
      <c r="J374" t="s">
        <v>791</v>
      </c>
      <c r="K374" t="s">
        <v>792</v>
      </c>
      <c r="L374">
        <v>1368</v>
      </c>
      <c r="N374">
        <v>1011</v>
      </c>
      <c r="O374" t="s">
        <v>780</v>
      </c>
      <c r="P374" t="s">
        <v>780</v>
      </c>
      <c r="Q374">
        <v>1</v>
      </c>
      <c r="W374">
        <v>0</v>
      </c>
      <c r="X374">
        <v>-1931461795</v>
      </c>
      <c r="Y374">
        <v>0.28749999999999998</v>
      </c>
      <c r="AA374">
        <v>0</v>
      </c>
      <c r="AB374">
        <v>699.98</v>
      </c>
      <c r="AC374">
        <v>0</v>
      </c>
      <c r="AD374">
        <v>0</v>
      </c>
      <c r="AE374">
        <v>0</v>
      </c>
      <c r="AF374">
        <v>91.62</v>
      </c>
      <c r="AG374">
        <v>0</v>
      </c>
      <c r="AH374">
        <v>0</v>
      </c>
      <c r="AI374">
        <v>1</v>
      </c>
      <c r="AJ374">
        <v>7.64</v>
      </c>
      <c r="AK374">
        <v>24.22</v>
      </c>
      <c r="AL374">
        <v>1</v>
      </c>
      <c r="AN374">
        <v>0</v>
      </c>
      <c r="AO374">
        <v>1</v>
      </c>
      <c r="AP374">
        <v>1</v>
      </c>
      <c r="AQ374">
        <v>0</v>
      </c>
      <c r="AR374">
        <v>0</v>
      </c>
      <c r="AS374" t="s">
        <v>6</v>
      </c>
      <c r="AT374">
        <v>0.2</v>
      </c>
      <c r="AU374" t="s">
        <v>126</v>
      </c>
      <c r="AV374">
        <v>0</v>
      </c>
      <c r="AW374">
        <v>2</v>
      </c>
      <c r="AX374">
        <v>31029536</v>
      </c>
      <c r="AY374">
        <v>1</v>
      </c>
      <c r="AZ374">
        <v>0</v>
      </c>
      <c r="BA374">
        <v>398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CX374">
        <f>Y374*Source!I176</f>
        <v>0.1288</v>
      </c>
      <c r="CY374">
        <f>AB374</f>
        <v>699.98</v>
      </c>
      <c r="CZ374">
        <f>AF374</f>
        <v>91.62</v>
      </c>
      <c r="DA374">
        <f>AJ374</f>
        <v>7.64</v>
      </c>
      <c r="DB374">
        <f>ROUND((ROUND(AT374*CZ374,2)*ROUND((1.25*1.15),7)),6)</f>
        <v>26.335000000000001</v>
      </c>
      <c r="DC374">
        <f>ROUND((ROUND(AT374*AG374,2)*ROUND((1.25*1.15),7)),6)</f>
        <v>0</v>
      </c>
    </row>
    <row r="375" spans="1:107">
      <c r="A375">
        <f>ROW(Source!A176)</f>
        <v>176</v>
      </c>
      <c r="B375">
        <v>31028412</v>
      </c>
      <c r="C375">
        <v>31029524</v>
      </c>
      <c r="D375">
        <v>29151861</v>
      </c>
      <c r="E375">
        <v>1</v>
      </c>
      <c r="F375">
        <v>1</v>
      </c>
      <c r="G375">
        <v>1</v>
      </c>
      <c r="H375">
        <v>3</v>
      </c>
      <c r="I375" t="s">
        <v>835</v>
      </c>
      <c r="J375" t="s">
        <v>836</v>
      </c>
      <c r="K375" t="s">
        <v>837</v>
      </c>
      <c r="L375">
        <v>1327</v>
      </c>
      <c r="N375">
        <v>1005</v>
      </c>
      <c r="O375" t="s">
        <v>284</v>
      </c>
      <c r="P375" t="s">
        <v>284</v>
      </c>
      <c r="Q375">
        <v>1</v>
      </c>
      <c r="W375">
        <v>0</v>
      </c>
      <c r="X375">
        <v>1527270933</v>
      </c>
      <c r="Y375">
        <v>0.88</v>
      </c>
      <c r="AA375">
        <v>452.82</v>
      </c>
      <c r="AB375">
        <v>0</v>
      </c>
      <c r="AC375">
        <v>0</v>
      </c>
      <c r="AD375">
        <v>0</v>
      </c>
      <c r="AE375">
        <v>73.39</v>
      </c>
      <c r="AF375">
        <v>0</v>
      </c>
      <c r="AG375">
        <v>0</v>
      </c>
      <c r="AH375">
        <v>0</v>
      </c>
      <c r="AI375">
        <v>6.17</v>
      </c>
      <c r="AJ375">
        <v>1</v>
      </c>
      <c r="AK375">
        <v>1</v>
      </c>
      <c r="AL375">
        <v>1</v>
      </c>
      <c r="AN375">
        <v>0</v>
      </c>
      <c r="AO375">
        <v>1</v>
      </c>
      <c r="AP375">
        <v>0</v>
      </c>
      <c r="AQ375">
        <v>0</v>
      </c>
      <c r="AR375">
        <v>0</v>
      </c>
      <c r="AS375" t="s">
        <v>6</v>
      </c>
      <c r="AT375">
        <v>0.88</v>
      </c>
      <c r="AU375" t="s">
        <v>6</v>
      </c>
      <c r="AV375">
        <v>0</v>
      </c>
      <c r="AW375">
        <v>2</v>
      </c>
      <c r="AX375">
        <v>31029537</v>
      </c>
      <c r="AY375">
        <v>1</v>
      </c>
      <c r="AZ375">
        <v>0</v>
      </c>
      <c r="BA375">
        <v>399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CX375">
        <f>Y375*Source!I176</f>
        <v>0.39424000000000003</v>
      </c>
      <c r="CY375">
        <f>AA375</f>
        <v>452.82</v>
      </c>
      <c r="CZ375">
        <f>AE375</f>
        <v>73.39</v>
      </c>
      <c r="DA375">
        <f>AI375</f>
        <v>6.17</v>
      </c>
      <c r="DB375">
        <f>ROUND(ROUND(AT375*CZ375,2),6)</f>
        <v>64.58</v>
      </c>
      <c r="DC375">
        <f>ROUND(ROUND(AT375*AG375,2),6)</f>
        <v>0</v>
      </c>
    </row>
    <row r="376" spans="1:107">
      <c r="A376">
        <f>ROW(Source!A176)</f>
        <v>176</v>
      </c>
      <c r="B376">
        <v>31028412</v>
      </c>
      <c r="C376">
        <v>31029524</v>
      </c>
      <c r="D376">
        <v>29151971</v>
      </c>
      <c r="E376">
        <v>1</v>
      </c>
      <c r="F376">
        <v>1</v>
      </c>
      <c r="G376">
        <v>1</v>
      </c>
      <c r="H376">
        <v>3</v>
      </c>
      <c r="I376" t="s">
        <v>942</v>
      </c>
      <c r="J376" t="s">
        <v>943</v>
      </c>
      <c r="K376" t="s">
        <v>944</v>
      </c>
      <c r="L376">
        <v>1348</v>
      </c>
      <c r="N376">
        <v>1009</v>
      </c>
      <c r="O376" t="s">
        <v>137</v>
      </c>
      <c r="P376" t="s">
        <v>137</v>
      </c>
      <c r="Q376">
        <v>1000</v>
      </c>
      <c r="W376">
        <v>0</v>
      </c>
      <c r="X376">
        <v>-1321245919</v>
      </c>
      <c r="Y376">
        <v>7.9000000000000001E-2</v>
      </c>
      <c r="AA376">
        <v>20431.34</v>
      </c>
      <c r="AB376">
        <v>0</v>
      </c>
      <c r="AC376">
        <v>0</v>
      </c>
      <c r="AD376">
        <v>0</v>
      </c>
      <c r="AE376">
        <v>3311.4</v>
      </c>
      <c r="AF376">
        <v>0</v>
      </c>
      <c r="AG376">
        <v>0</v>
      </c>
      <c r="AH376">
        <v>0</v>
      </c>
      <c r="AI376">
        <v>6.17</v>
      </c>
      <c r="AJ376">
        <v>1</v>
      </c>
      <c r="AK376">
        <v>1</v>
      </c>
      <c r="AL376">
        <v>1</v>
      </c>
      <c r="AN376">
        <v>0</v>
      </c>
      <c r="AO376">
        <v>1</v>
      </c>
      <c r="AP376">
        <v>0</v>
      </c>
      <c r="AQ376">
        <v>0</v>
      </c>
      <c r="AR376">
        <v>0</v>
      </c>
      <c r="AS376" t="s">
        <v>6</v>
      </c>
      <c r="AT376">
        <v>7.9000000000000001E-2</v>
      </c>
      <c r="AU376" t="s">
        <v>6</v>
      </c>
      <c r="AV376">
        <v>0</v>
      </c>
      <c r="AW376">
        <v>2</v>
      </c>
      <c r="AX376">
        <v>31029538</v>
      </c>
      <c r="AY376">
        <v>1</v>
      </c>
      <c r="AZ376">
        <v>0</v>
      </c>
      <c r="BA376">
        <v>400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CX376">
        <f>Y376*Source!I176</f>
        <v>3.5392E-2</v>
      </c>
      <c r="CY376">
        <f>AA376</f>
        <v>20431.34</v>
      </c>
      <c r="CZ376">
        <f>AE376</f>
        <v>3311.4</v>
      </c>
      <c r="DA376">
        <f>AI376</f>
        <v>6.17</v>
      </c>
      <c r="DB376">
        <f>ROUND(ROUND(AT376*CZ376,2),6)</f>
        <v>261.60000000000002</v>
      </c>
      <c r="DC376">
        <f>ROUND(ROUND(AT376*AG376,2),6)</f>
        <v>0</v>
      </c>
    </row>
    <row r="377" spans="1:107">
      <c r="A377">
        <f>ROW(Source!A176)</f>
        <v>176</v>
      </c>
      <c r="B377">
        <v>31028412</v>
      </c>
      <c r="C377">
        <v>31029524</v>
      </c>
      <c r="D377">
        <v>29152014</v>
      </c>
      <c r="E377">
        <v>1</v>
      </c>
      <c r="F377">
        <v>1</v>
      </c>
      <c r="G377">
        <v>1</v>
      </c>
      <c r="H377">
        <v>3</v>
      </c>
      <c r="I377" t="s">
        <v>838</v>
      </c>
      <c r="J377" t="s">
        <v>839</v>
      </c>
      <c r="K377" t="s">
        <v>840</v>
      </c>
      <c r="L377">
        <v>1346</v>
      </c>
      <c r="N377">
        <v>1009</v>
      </c>
      <c r="O377" t="s">
        <v>118</v>
      </c>
      <c r="P377" t="s">
        <v>118</v>
      </c>
      <c r="Q377">
        <v>1</v>
      </c>
      <c r="W377">
        <v>0</v>
      </c>
      <c r="X377">
        <v>-1526040720</v>
      </c>
      <c r="Y377">
        <v>0.36</v>
      </c>
      <c r="AA377">
        <v>11.97</v>
      </c>
      <c r="AB377">
        <v>0</v>
      </c>
      <c r="AC377">
        <v>0</v>
      </c>
      <c r="AD377">
        <v>0</v>
      </c>
      <c r="AE377">
        <v>1.94</v>
      </c>
      <c r="AF377">
        <v>0</v>
      </c>
      <c r="AG377">
        <v>0</v>
      </c>
      <c r="AH377">
        <v>0</v>
      </c>
      <c r="AI377">
        <v>6.17</v>
      </c>
      <c r="AJ377">
        <v>1</v>
      </c>
      <c r="AK377">
        <v>1</v>
      </c>
      <c r="AL377">
        <v>1</v>
      </c>
      <c r="AN377">
        <v>0</v>
      </c>
      <c r="AO377">
        <v>1</v>
      </c>
      <c r="AP377">
        <v>0</v>
      </c>
      <c r="AQ377">
        <v>0</v>
      </c>
      <c r="AR377">
        <v>0</v>
      </c>
      <c r="AS377" t="s">
        <v>6</v>
      </c>
      <c r="AT377">
        <v>0.36</v>
      </c>
      <c r="AU377" t="s">
        <v>6</v>
      </c>
      <c r="AV377">
        <v>0</v>
      </c>
      <c r="AW377">
        <v>2</v>
      </c>
      <c r="AX377">
        <v>31029539</v>
      </c>
      <c r="AY377">
        <v>1</v>
      </c>
      <c r="AZ377">
        <v>0</v>
      </c>
      <c r="BA377">
        <v>401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CX377">
        <f>Y377*Source!I176</f>
        <v>0.16128000000000001</v>
      </c>
      <c r="CY377">
        <f>AA377</f>
        <v>11.97</v>
      </c>
      <c r="CZ377">
        <f>AE377</f>
        <v>1.94</v>
      </c>
      <c r="DA377">
        <f>AI377</f>
        <v>6.17</v>
      </c>
      <c r="DB377">
        <f>ROUND(ROUND(AT377*CZ377,2),6)</f>
        <v>0.7</v>
      </c>
      <c r="DC377">
        <f>ROUND(ROUND(AT377*AG377,2),6)</f>
        <v>0</v>
      </c>
    </row>
    <row r="378" spans="1:107">
      <c r="A378">
        <f>ROW(Source!A176)</f>
        <v>176</v>
      </c>
      <c r="B378">
        <v>31028412</v>
      </c>
      <c r="C378">
        <v>31029524</v>
      </c>
      <c r="D378">
        <v>29152186</v>
      </c>
      <c r="E378">
        <v>1</v>
      </c>
      <c r="F378">
        <v>1</v>
      </c>
      <c r="G378">
        <v>1</v>
      </c>
      <c r="H378">
        <v>3</v>
      </c>
      <c r="I378" t="s">
        <v>945</v>
      </c>
      <c r="J378" t="s">
        <v>946</v>
      </c>
      <c r="K378" t="s">
        <v>947</v>
      </c>
      <c r="L378">
        <v>1348</v>
      </c>
      <c r="N378">
        <v>1009</v>
      </c>
      <c r="O378" t="s">
        <v>137</v>
      </c>
      <c r="P378" t="s">
        <v>137</v>
      </c>
      <c r="Q378">
        <v>1000</v>
      </c>
      <c r="W378">
        <v>0</v>
      </c>
      <c r="X378">
        <v>-1792658963</v>
      </c>
      <c r="Y378">
        <v>6.3E-2</v>
      </c>
      <c r="AA378">
        <v>103671.36</v>
      </c>
      <c r="AB378">
        <v>0</v>
      </c>
      <c r="AC378">
        <v>0</v>
      </c>
      <c r="AD378">
        <v>0</v>
      </c>
      <c r="AE378">
        <v>16802.490000000002</v>
      </c>
      <c r="AF378">
        <v>0</v>
      </c>
      <c r="AG378">
        <v>0</v>
      </c>
      <c r="AH378">
        <v>0</v>
      </c>
      <c r="AI378">
        <v>6.17</v>
      </c>
      <c r="AJ378">
        <v>1</v>
      </c>
      <c r="AK378">
        <v>1</v>
      </c>
      <c r="AL378">
        <v>1</v>
      </c>
      <c r="AN378">
        <v>0</v>
      </c>
      <c r="AO378">
        <v>1</v>
      </c>
      <c r="AP378">
        <v>0</v>
      </c>
      <c r="AQ378">
        <v>0</v>
      </c>
      <c r="AR378">
        <v>0</v>
      </c>
      <c r="AS378" t="s">
        <v>6</v>
      </c>
      <c r="AT378">
        <v>6.3E-2</v>
      </c>
      <c r="AU378" t="s">
        <v>6</v>
      </c>
      <c r="AV378">
        <v>0</v>
      </c>
      <c r="AW378">
        <v>2</v>
      </c>
      <c r="AX378">
        <v>31029540</v>
      </c>
      <c r="AY378">
        <v>1</v>
      </c>
      <c r="AZ378">
        <v>0</v>
      </c>
      <c r="BA378">
        <v>402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CX378">
        <f>Y378*Source!I176</f>
        <v>2.8223999999999999E-2</v>
      </c>
      <c r="CY378">
        <f>AA378</f>
        <v>103671.36</v>
      </c>
      <c r="CZ378">
        <f>AE378</f>
        <v>16802.490000000002</v>
      </c>
      <c r="DA378">
        <f>AI378</f>
        <v>6.17</v>
      </c>
      <c r="DB378">
        <f>ROUND(ROUND(AT378*CZ378,2),6)</f>
        <v>1058.56</v>
      </c>
      <c r="DC378">
        <f>ROUND(ROUND(AT378*AG378,2),6)</f>
        <v>0</v>
      </c>
    </row>
    <row r="379" spans="1:107">
      <c r="A379">
        <f>ROW(Source!A177)</f>
        <v>177</v>
      </c>
      <c r="B379">
        <v>31028412</v>
      </c>
      <c r="C379">
        <v>31029541</v>
      </c>
      <c r="D379">
        <v>29084580</v>
      </c>
      <c r="E379">
        <v>1</v>
      </c>
      <c r="F379">
        <v>1</v>
      </c>
      <c r="G379">
        <v>1</v>
      </c>
      <c r="H379">
        <v>1</v>
      </c>
      <c r="I379" t="s">
        <v>960</v>
      </c>
      <c r="J379" t="s">
        <v>6</v>
      </c>
      <c r="K379" t="s">
        <v>961</v>
      </c>
      <c r="L379">
        <v>1369</v>
      </c>
      <c r="N379">
        <v>1013</v>
      </c>
      <c r="O379" t="s">
        <v>773</v>
      </c>
      <c r="P379" t="s">
        <v>773</v>
      </c>
      <c r="Q379">
        <v>1</v>
      </c>
      <c r="W379">
        <v>0</v>
      </c>
      <c r="X379">
        <v>-953108061</v>
      </c>
      <c r="Y379">
        <v>122.88669999999998</v>
      </c>
      <c r="AA379">
        <v>0</v>
      </c>
      <c r="AB379">
        <v>0</v>
      </c>
      <c r="AC379">
        <v>0</v>
      </c>
      <c r="AD379">
        <v>219.92</v>
      </c>
      <c r="AE379">
        <v>0</v>
      </c>
      <c r="AF379">
        <v>0</v>
      </c>
      <c r="AG379">
        <v>0</v>
      </c>
      <c r="AH379">
        <v>9.08</v>
      </c>
      <c r="AI379">
        <v>1</v>
      </c>
      <c r="AJ379">
        <v>1</v>
      </c>
      <c r="AK379">
        <v>1</v>
      </c>
      <c r="AL379">
        <v>24.22</v>
      </c>
      <c r="AN379">
        <v>0</v>
      </c>
      <c r="AO379">
        <v>1</v>
      </c>
      <c r="AP379">
        <v>1</v>
      </c>
      <c r="AQ379">
        <v>0</v>
      </c>
      <c r="AR379">
        <v>0</v>
      </c>
      <c r="AS379" t="s">
        <v>6</v>
      </c>
      <c r="AT379">
        <v>92.92</v>
      </c>
      <c r="AU379" t="s">
        <v>127</v>
      </c>
      <c r="AV379">
        <v>1</v>
      </c>
      <c r="AW379">
        <v>2</v>
      </c>
      <c r="AX379">
        <v>31029558</v>
      </c>
      <c r="AY379">
        <v>1</v>
      </c>
      <c r="AZ379">
        <v>0</v>
      </c>
      <c r="BA379">
        <v>403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CX379">
        <f>Y379*Source!I177</f>
        <v>40.552610999999992</v>
      </c>
      <c r="CY379">
        <f>AD379</f>
        <v>219.92</v>
      </c>
      <c r="CZ379">
        <f>AH379</f>
        <v>9.08</v>
      </c>
      <c r="DA379">
        <f>AL379</f>
        <v>24.22</v>
      </c>
      <c r="DB379">
        <f>ROUND((ROUND(AT379*CZ379,2)*ROUND((1.15*1.15),7)),6)</f>
        <v>1115.8064750000001</v>
      </c>
      <c r="DC379">
        <f>ROUND((ROUND(AT379*AG379,2)*ROUND((1.15*1.15),7)),6)</f>
        <v>0</v>
      </c>
    </row>
    <row r="380" spans="1:107">
      <c r="A380">
        <f>ROW(Source!A177)</f>
        <v>177</v>
      </c>
      <c r="B380">
        <v>31028412</v>
      </c>
      <c r="C380">
        <v>31029541</v>
      </c>
      <c r="D380">
        <v>29084573</v>
      </c>
      <c r="E380">
        <v>1</v>
      </c>
      <c r="F380">
        <v>1</v>
      </c>
      <c r="G380">
        <v>1</v>
      </c>
      <c r="H380">
        <v>1</v>
      </c>
      <c r="I380" t="s">
        <v>774</v>
      </c>
      <c r="J380" t="s">
        <v>6</v>
      </c>
      <c r="K380" t="s">
        <v>775</v>
      </c>
      <c r="L380">
        <v>608254</v>
      </c>
      <c r="N380">
        <v>1013</v>
      </c>
      <c r="O380" t="s">
        <v>776</v>
      </c>
      <c r="P380" t="s">
        <v>776</v>
      </c>
      <c r="Q380">
        <v>1</v>
      </c>
      <c r="W380">
        <v>0</v>
      </c>
      <c r="X380">
        <v>95408949</v>
      </c>
      <c r="Y380">
        <v>12.146875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1</v>
      </c>
      <c r="AJ380">
        <v>1</v>
      </c>
      <c r="AK380">
        <v>24.22</v>
      </c>
      <c r="AL380">
        <v>1</v>
      </c>
      <c r="AN380">
        <v>0</v>
      </c>
      <c r="AO380">
        <v>1</v>
      </c>
      <c r="AP380">
        <v>1</v>
      </c>
      <c r="AQ380">
        <v>0</v>
      </c>
      <c r="AR380">
        <v>0</v>
      </c>
      <c r="AS380" t="s">
        <v>6</v>
      </c>
      <c r="AT380">
        <v>8.4499999999999993</v>
      </c>
      <c r="AU380" t="s">
        <v>126</v>
      </c>
      <c r="AV380">
        <v>2</v>
      </c>
      <c r="AW380">
        <v>2</v>
      </c>
      <c r="AX380">
        <v>31029559</v>
      </c>
      <c r="AY380">
        <v>1</v>
      </c>
      <c r="AZ380">
        <v>0</v>
      </c>
      <c r="BA380">
        <v>404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CX380">
        <f>Y380*Source!I177</f>
        <v>4.0084687500000005</v>
      </c>
      <c r="CY380">
        <f>AD380</f>
        <v>0</v>
      </c>
      <c r="CZ380">
        <f>AH380</f>
        <v>0</v>
      </c>
      <c r="DA380">
        <f>AL380</f>
        <v>1</v>
      </c>
      <c r="DB380">
        <f>ROUND((ROUND(AT380*CZ380,2)*ROUND((1.25*1.15),7)),6)</f>
        <v>0</v>
      </c>
      <c r="DC380">
        <f>ROUND((ROUND(AT380*AG380,2)*ROUND((1.25*1.15),7)),6)</f>
        <v>0</v>
      </c>
    </row>
    <row r="381" spans="1:107">
      <c r="A381">
        <f>ROW(Source!A177)</f>
        <v>177</v>
      </c>
      <c r="B381">
        <v>31028412</v>
      </c>
      <c r="C381">
        <v>31029541</v>
      </c>
      <c r="D381">
        <v>29147520</v>
      </c>
      <c r="E381">
        <v>1</v>
      </c>
      <c r="F381">
        <v>1</v>
      </c>
      <c r="G381">
        <v>1</v>
      </c>
      <c r="H381">
        <v>2</v>
      </c>
      <c r="I381" t="s">
        <v>777</v>
      </c>
      <c r="J381" t="s">
        <v>778</v>
      </c>
      <c r="K381" t="s">
        <v>779</v>
      </c>
      <c r="L381">
        <v>1368</v>
      </c>
      <c r="N381">
        <v>1011</v>
      </c>
      <c r="O381" t="s">
        <v>780</v>
      </c>
      <c r="P381" t="s">
        <v>780</v>
      </c>
      <c r="Q381">
        <v>1</v>
      </c>
      <c r="W381">
        <v>0</v>
      </c>
      <c r="X381">
        <v>-2048414082</v>
      </c>
      <c r="Y381">
        <v>10.177499999999998</v>
      </c>
      <c r="AA381">
        <v>0</v>
      </c>
      <c r="AB381">
        <v>656.51</v>
      </c>
      <c r="AC381">
        <v>315.58999999999997</v>
      </c>
      <c r="AD381">
        <v>0</v>
      </c>
      <c r="AE381">
        <v>0</v>
      </c>
      <c r="AF381">
        <v>85.93</v>
      </c>
      <c r="AG381">
        <v>13.03</v>
      </c>
      <c r="AH381">
        <v>0</v>
      </c>
      <c r="AI381">
        <v>1</v>
      </c>
      <c r="AJ381">
        <v>7.64</v>
      </c>
      <c r="AK381">
        <v>24.22</v>
      </c>
      <c r="AL381">
        <v>1</v>
      </c>
      <c r="AN381">
        <v>0</v>
      </c>
      <c r="AO381">
        <v>1</v>
      </c>
      <c r="AP381">
        <v>1</v>
      </c>
      <c r="AQ381">
        <v>0</v>
      </c>
      <c r="AR381">
        <v>0</v>
      </c>
      <c r="AS381" t="s">
        <v>6</v>
      </c>
      <c r="AT381">
        <v>7.08</v>
      </c>
      <c r="AU381" t="s">
        <v>126</v>
      </c>
      <c r="AV381">
        <v>0</v>
      </c>
      <c r="AW381">
        <v>2</v>
      </c>
      <c r="AX381">
        <v>31029560</v>
      </c>
      <c r="AY381">
        <v>1</v>
      </c>
      <c r="AZ381">
        <v>0</v>
      </c>
      <c r="BA381">
        <v>405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CX381">
        <f>Y381*Source!I177</f>
        <v>3.3585749999999996</v>
      </c>
      <c r="CY381">
        <f>AB381</f>
        <v>656.51</v>
      </c>
      <c r="CZ381">
        <f>AF381</f>
        <v>85.93</v>
      </c>
      <c r="DA381">
        <f>AJ381</f>
        <v>7.64</v>
      </c>
      <c r="DB381">
        <f>ROUND((ROUND(AT381*CZ381,2)*ROUND((1.25*1.15),7)),6)</f>
        <v>874.54624999999999</v>
      </c>
      <c r="DC381">
        <f>ROUND((ROUND(AT381*AG381,2)*ROUND((1.25*1.15),7)),6)</f>
        <v>132.609375</v>
      </c>
    </row>
    <row r="382" spans="1:107">
      <c r="A382">
        <f>ROW(Source!A177)</f>
        <v>177</v>
      </c>
      <c r="B382">
        <v>31028412</v>
      </c>
      <c r="C382">
        <v>31029541</v>
      </c>
      <c r="D382">
        <v>29147601</v>
      </c>
      <c r="E382">
        <v>1</v>
      </c>
      <c r="F382">
        <v>1</v>
      </c>
      <c r="G382">
        <v>1</v>
      </c>
      <c r="H382">
        <v>2</v>
      </c>
      <c r="I382" t="s">
        <v>781</v>
      </c>
      <c r="J382" t="s">
        <v>782</v>
      </c>
      <c r="K382" t="s">
        <v>783</v>
      </c>
      <c r="L382">
        <v>1368</v>
      </c>
      <c r="N382">
        <v>1011</v>
      </c>
      <c r="O382" t="s">
        <v>780</v>
      </c>
      <c r="P382" t="s">
        <v>780</v>
      </c>
      <c r="Q382">
        <v>1</v>
      </c>
      <c r="W382">
        <v>0</v>
      </c>
      <c r="X382">
        <v>1170567961</v>
      </c>
      <c r="Y382">
        <v>1.9693750000000001</v>
      </c>
      <c r="AA382">
        <v>0</v>
      </c>
      <c r="AB382">
        <v>828.56</v>
      </c>
      <c r="AC382">
        <v>315.58999999999997</v>
      </c>
      <c r="AD382">
        <v>0</v>
      </c>
      <c r="AE382">
        <v>0</v>
      </c>
      <c r="AF382">
        <v>108.45</v>
      </c>
      <c r="AG382">
        <v>13.03</v>
      </c>
      <c r="AH382">
        <v>0</v>
      </c>
      <c r="AI382">
        <v>1</v>
      </c>
      <c r="AJ382">
        <v>7.64</v>
      </c>
      <c r="AK382">
        <v>24.22</v>
      </c>
      <c r="AL382">
        <v>1</v>
      </c>
      <c r="AN382">
        <v>0</v>
      </c>
      <c r="AO382">
        <v>1</v>
      </c>
      <c r="AP382">
        <v>1</v>
      </c>
      <c r="AQ382">
        <v>0</v>
      </c>
      <c r="AR382">
        <v>0</v>
      </c>
      <c r="AS382" t="s">
        <v>6</v>
      </c>
      <c r="AT382">
        <v>1.37</v>
      </c>
      <c r="AU382" t="s">
        <v>126</v>
      </c>
      <c r="AV382">
        <v>0</v>
      </c>
      <c r="AW382">
        <v>2</v>
      </c>
      <c r="AX382">
        <v>31029561</v>
      </c>
      <c r="AY382">
        <v>1</v>
      </c>
      <c r="AZ382">
        <v>0</v>
      </c>
      <c r="BA382">
        <v>406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CX382">
        <f>Y382*Source!I177</f>
        <v>0.64989375000000005</v>
      </c>
      <c r="CY382">
        <f>AB382</f>
        <v>828.56</v>
      </c>
      <c r="CZ382">
        <f>AF382</f>
        <v>108.45</v>
      </c>
      <c r="DA382">
        <f>AJ382</f>
        <v>7.64</v>
      </c>
      <c r="DB382">
        <f>ROUND((ROUND(AT382*CZ382,2)*ROUND((1.25*1.15),7)),6)</f>
        <v>213.58375000000001</v>
      </c>
      <c r="DC382">
        <f>ROUND((ROUND(AT382*AG382,2)*ROUND((1.25*1.15),7)),6)</f>
        <v>25.659375000000001</v>
      </c>
    </row>
    <row r="383" spans="1:107">
      <c r="A383">
        <f>ROW(Source!A177)</f>
        <v>177</v>
      </c>
      <c r="B383">
        <v>31028412</v>
      </c>
      <c r="C383">
        <v>31029541</v>
      </c>
      <c r="D383">
        <v>29148219</v>
      </c>
      <c r="E383">
        <v>1</v>
      </c>
      <c r="F383">
        <v>1</v>
      </c>
      <c r="G383">
        <v>1</v>
      </c>
      <c r="H383">
        <v>2</v>
      </c>
      <c r="I383" t="s">
        <v>784</v>
      </c>
      <c r="J383" t="s">
        <v>785</v>
      </c>
      <c r="K383" t="s">
        <v>786</v>
      </c>
      <c r="L383">
        <v>1368</v>
      </c>
      <c r="N383">
        <v>1011</v>
      </c>
      <c r="O383" t="s">
        <v>780</v>
      </c>
      <c r="P383" t="s">
        <v>780</v>
      </c>
      <c r="Q383">
        <v>1</v>
      </c>
      <c r="W383">
        <v>0</v>
      </c>
      <c r="X383">
        <v>-1347779909</v>
      </c>
      <c r="Y383">
        <v>1.8831250000000002</v>
      </c>
      <c r="AA383">
        <v>0</v>
      </c>
      <c r="AB383">
        <v>229.2</v>
      </c>
      <c r="AC383">
        <v>0</v>
      </c>
      <c r="AD383">
        <v>0</v>
      </c>
      <c r="AE383">
        <v>0</v>
      </c>
      <c r="AF383">
        <v>30</v>
      </c>
      <c r="AG383">
        <v>0</v>
      </c>
      <c r="AH383">
        <v>0</v>
      </c>
      <c r="AI383">
        <v>1</v>
      </c>
      <c r="AJ383">
        <v>7.64</v>
      </c>
      <c r="AK383">
        <v>24.22</v>
      </c>
      <c r="AL383">
        <v>1</v>
      </c>
      <c r="AN383">
        <v>0</v>
      </c>
      <c r="AO383">
        <v>1</v>
      </c>
      <c r="AP383">
        <v>1</v>
      </c>
      <c r="AQ383">
        <v>0</v>
      </c>
      <c r="AR383">
        <v>0</v>
      </c>
      <c r="AS383" t="s">
        <v>6</v>
      </c>
      <c r="AT383">
        <v>1.31</v>
      </c>
      <c r="AU383" t="s">
        <v>126</v>
      </c>
      <c r="AV383">
        <v>0</v>
      </c>
      <c r="AW383">
        <v>2</v>
      </c>
      <c r="AX383">
        <v>31029562</v>
      </c>
      <c r="AY383">
        <v>1</v>
      </c>
      <c r="AZ383">
        <v>0</v>
      </c>
      <c r="BA383">
        <v>407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CX383">
        <f>Y383*Source!I177</f>
        <v>0.6214312500000001</v>
      </c>
      <c r="CY383">
        <f>AB383</f>
        <v>229.2</v>
      </c>
      <c r="CZ383">
        <f>AF383</f>
        <v>30</v>
      </c>
      <c r="DA383">
        <f>AJ383</f>
        <v>7.64</v>
      </c>
      <c r="DB383">
        <f>ROUND((ROUND(AT383*CZ383,2)*ROUND((1.25*1.15),7)),6)</f>
        <v>56.493749999999999</v>
      </c>
      <c r="DC383">
        <f>ROUND((ROUND(AT383*AG383,2)*ROUND((1.25*1.15),7)),6)</f>
        <v>0</v>
      </c>
    </row>
    <row r="384" spans="1:107">
      <c r="A384">
        <f>ROW(Source!A177)</f>
        <v>177</v>
      </c>
      <c r="B384">
        <v>31028412</v>
      </c>
      <c r="C384">
        <v>31029541</v>
      </c>
      <c r="D384">
        <v>29149520</v>
      </c>
      <c r="E384">
        <v>1</v>
      </c>
      <c r="F384">
        <v>1</v>
      </c>
      <c r="G384">
        <v>1</v>
      </c>
      <c r="H384">
        <v>2</v>
      </c>
      <c r="I384" t="s">
        <v>790</v>
      </c>
      <c r="J384" t="s">
        <v>791</v>
      </c>
      <c r="K384" t="s">
        <v>792</v>
      </c>
      <c r="L384">
        <v>1368</v>
      </c>
      <c r="N384">
        <v>1011</v>
      </c>
      <c r="O384" t="s">
        <v>780</v>
      </c>
      <c r="P384" t="s">
        <v>780</v>
      </c>
      <c r="Q384">
        <v>1</v>
      </c>
      <c r="W384">
        <v>0</v>
      </c>
      <c r="X384">
        <v>-1931461795</v>
      </c>
      <c r="Y384">
        <v>2.9756249999999995</v>
      </c>
      <c r="AA384">
        <v>0</v>
      </c>
      <c r="AB384">
        <v>699.98</v>
      </c>
      <c r="AC384">
        <v>0</v>
      </c>
      <c r="AD384">
        <v>0</v>
      </c>
      <c r="AE384">
        <v>0</v>
      </c>
      <c r="AF384">
        <v>91.62</v>
      </c>
      <c r="AG384">
        <v>0</v>
      </c>
      <c r="AH384">
        <v>0</v>
      </c>
      <c r="AI384">
        <v>1</v>
      </c>
      <c r="AJ384">
        <v>7.64</v>
      </c>
      <c r="AK384">
        <v>24.22</v>
      </c>
      <c r="AL384">
        <v>1</v>
      </c>
      <c r="AN384">
        <v>0</v>
      </c>
      <c r="AO384">
        <v>1</v>
      </c>
      <c r="AP384">
        <v>1</v>
      </c>
      <c r="AQ384">
        <v>0</v>
      </c>
      <c r="AR384">
        <v>0</v>
      </c>
      <c r="AS384" t="s">
        <v>6</v>
      </c>
      <c r="AT384">
        <v>2.0699999999999998</v>
      </c>
      <c r="AU384" t="s">
        <v>126</v>
      </c>
      <c r="AV384">
        <v>0</v>
      </c>
      <c r="AW384">
        <v>2</v>
      </c>
      <c r="AX384">
        <v>31029563</v>
      </c>
      <c r="AY384">
        <v>1</v>
      </c>
      <c r="AZ384">
        <v>0</v>
      </c>
      <c r="BA384">
        <v>408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CX384">
        <f>Y384*Source!I177</f>
        <v>0.98195624999999986</v>
      </c>
      <c r="CY384">
        <f>AB384</f>
        <v>699.98</v>
      </c>
      <c r="CZ384">
        <f>AF384</f>
        <v>91.62</v>
      </c>
      <c r="DA384">
        <f>AJ384</f>
        <v>7.64</v>
      </c>
      <c r="DB384">
        <f>ROUND((ROUND(AT384*CZ384,2)*ROUND((1.25*1.15),7)),6)</f>
        <v>272.62187499999999</v>
      </c>
      <c r="DC384">
        <f>ROUND((ROUND(AT384*AG384,2)*ROUND((1.25*1.15),7)),6)</f>
        <v>0</v>
      </c>
    </row>
    <row r="385" spans="1:107">
      <c r="A385">
        <f>ROW(Source!A177)</f>
        <v>177</v>
      </c>
      <c r="B385">
        <v>31028412</v>
      </c>
      <c r="C385">
        <v>31029541</v>
      </c>
      <c r="D385">
        <v>29150561</v>
      </c>
      <c r="E385">
        <v>1</v>
      </c>
      <c r="F385">
        <v>1</v>
      </c>
      <c r="G385">
        <v>1</v>
      </c>
      <c r="H385">
        <v>3</v>
      </c>
      <c r="I385" t="s">
        <v>793</v>
      </c>
      <c r="J385" t="s">
        <v>794</v>
      </c>
      <c r="K385" t="s">
        <v>795</v>
      </c>
      <c r="L385">
        <v>1348</v>
      </c>
      <c r="N385">
        <v>1009</v>
      </c>
      <c r="O385" t="s">
        <v>137</v>
      </c>
      <c r="P385" t="s">
        <v>137</v>
      </c>
      <c r="Q385">
        <v>1000</v>
      </c>
      <c r="W385">
        <v>0</v>
      </c>
      <c r="X385">
        <v>-592936270</v>
      </c>
      <c r="Y385">
        <v>1.5200000000000001E-3</v>
      </c>
      <c r="AA385">
        <v>52235.839999999997</v>
      </c>
      <c r="AB385">
        <v>0</v>
      </c>
      <c r="AC385">
        <v>0</v>
      </c>
      <c r="AD385">
        <v>0</v>
      </c>
      <c r="AE385">
        <v>8466.1</v>
      </c>
      <c r="AF385">
        <v>0</v>
      </c>
      <c r="AG385">
        <v>0</v>
      </c>
      <c r="AH385">
        <v>0</v>
      </c>
      <c r="AI385">
        <v>6.17</v>
      </c>
      <c r="AJ385">
        <v>1</v>
      </c>
      <c r="AK385">
        <v>1</v>
      </c>
      <c r="AL385">
        <v>1</v>
      </c>
      <c r="AN385">
        <v>0</v>
      </c>
      <c r="AO385">
        <v>1</v>
      </c>
      <c r="AP385">
        <v>0</v>
      </c>
      <c r="AQ385">
        <v>0</v>
      </c>
      <c r="AR385">
        <v>0</v>
      </c>
      <c r="AS385" t="s">
        <v>6</v>
      </c>
      <c r="AT385">
        <v>1.5200000000000001E-3</v>
      </c>
      <c r="AU385" t="s">
        <v>6</v>
      </c>
      <c r="AV385">
        <v>0</v>
      </c>
      <c r="AW385">
        <v>2</v>
      </c>
      <c r="AX385">
        <v>31029564</v>
      </c>
      <c r="AY385">
        <v>1</v>
      </c>
      <c r="AZ385">
        <v>0</v>
      </c>
      <c r="BA385">
        <v>409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CX385">
        <f>Y385*Source!I177</f>
        <v>5.0160000000000005E-4</v>
      </c>
      <c r="CY385">
        <f t="shared" ref="CY385:CY394" si="66">AA385</f>
        <v>52235.839999999997</v>
      </c>
      <c r="CZ385">
        <f t="shared" ref="CZ385:CZ394" si="67">AE385</f>
        <v>8466.1</v>
      </c>
      <c r="DA385">
        <f t="shared" ref="DA385:DA394" si="68">AI385</f>
        <v>6.17</v>
      </c>
      <c r="DB385">
        <f t="shared" ref="DB385:DB394" si="69">ROUND(ROUND(AT385*CZ385,2),6)</f>
        <v>12.87</v>
      </c>
      <c r="DC385">
        <f t="shared" ref="DC385:DC394" si="70">ROUND(ROUND(AT385*AG385,2),6)</f>
        <v>0</v>
      </c>
    </row>
    <row r="386" spans="1:107">
      <c r="A386">
        <f>ROW(Source!A177)</f>
        <v>177</v>
      </c>
      <c r="B386">
        <v>31028412</v>
      </c>
      <c r="C386">
        <v>31029541</v>
      </c>
      <c r="D386">
        <v>29151859</v>
      </c>
      <c r="E386">
        <v>1</v>
      </c>
      <c r="F386">
        <v>1</v>
      </c>
      <c r="G386">
        <v>1</v>
      </c>
      <c r="H386">
        <v>3</v>
      </c>
      <c r="I386" t="s">
        <v>799</v>
      </c>
      <c r="J386" t="s">
        <v>800</v>
      </c>
      <c r="K386" t="s">
        <v>801</v>
      </c>
      <c r="L386">
        <v>1348</v>
      </c>
      <c r="N386">
        <v>1009</v>
      </c>
      <c r="O386" t="s">
        <v>137</v>
      </c>
      <c r="P386" t="s">
        <v>137</v>
      </c>
      <c r="Q386">
        <v>1000</v>
      </c>
      <c r="W386">
        <v>0</v>
      </c>
      <c r="X386">
        <v>-1890625626</v>
      </c>
      <c r="Y386">
        <v>1.7100000000000001E-2</v>
      </c>
      <c r="AA386">
        <v>7501.49</v>
      </c>
      <c r="AB386">
        <v>0</v>
      </c>
      <c r="AC386">
        <v>0</v>
      </c>
      <c r="AD386">
        <v>0</v>
      </c>
      <c r="AE386">
        <v>1215.8</v>
      </c>
      <c r="AF386">
        <v>0</v>
      </c>
      <c r="AG386">
        <v>0</v>
      </c>
      <c r="AH386">
        <v>0</v>
      </c>
      <c r="AI386">
        <v>6.17</v>
      </c>
      <c r="AJ386">
        <v>1</v>
      </c>
      <c r="AK386">
        <v>1</v>
      </c>
      <c r="AL386">
        <v>1</v>
      </c>
      <c r="AN386">
        <v>0</v>
      </c>
      <c r="AO386">
        <v>1</v>
      </c>
      <c r="AP386">
        <v>0</v>
      </c>
      <c r="AQ386">
        <v>0</v>
      </c>
      <c r="AR386">
        <v>0</v>
      </c>
      <c r="AS386" t="s">
        <v>6</v>
      </c>
      <c r="AT386">
        <v>1.7100000000000001E-2</v>
      </c>
      <c r="AU386" t="s">
        <v>6</v>
      </c>
      <c r="AV386">
        <v>0</v>
      </c>
      <c r="AW386">
        <v>2</v>
      </c>
      <c r="AX386">
        <v>31029565</v>
      </c>
      <c r="AY386">
        <v>1</v>
      </c>
      <c r="AZ386">
        <v>0</v>
      </c>
      <c r="BA386">
        <v>410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CX386">
        <f>Y386*Source!I177</f>
        <v>5.6430000000000004E-3</v>
      </c>
      <c r="CY386">
        <f t="shared" si="66"/>
        <v>7501.49</v>
      </c>
      <c r="CZ386">
        <f t="shared" si="67"/>
        <v>1215.8</v>
      </c>
      <c r="DA386">
        <f t="shared" si="68"/>
        <v>6.17</v>
      </c>
      <c r="DB386">
        <f t="shared" si="69"/>
        <v>20.79</v>
      </c>
      <c r="DC386">
        <f t="shared" si="70"/>
        <v>0</v>
      </c>
    </row>
    <row r="387" spans="1:107">
      <c r="A387">
        <f>ROW(Source!A177)</f>
        <v>177</v>
      </c>
      <c r="B387">
        <v>31028412</v>
      </c>
      <c r="C387">
        <v>31029541</v>
      </c>
      <c r="D387">
        <v>29151997</v>
      </c>
      <c r="E387">
        <v>1</v>
      </c>
      <c r="F387">
        <v>1</v>
      </c>
      <c r="G387">
        <v>1</v>
      </c>
      <c r="H387">
        <v>3</v>
      </c>
      <c r="I387" t="s">
        <v>802</v>
      </c>
      <c r="J387" t="s">
        <v>803</v>
      </c>
      <c r="K387" t="s">
        <v>804</v>
      </c>
      <c r="L387">
        <v>1327</v>
      </c>
      <c r="N387">
        <v>1005</v>
      </c>
      <c r="O387" t="s">
        <v>284</v>
      </c>
      <c r="P387" t="s">
        <v>284</v>
      </c>
      <c r="Q387">
        <v>1</v>
      </c>
      <c r="W387">
        <v>0</v>
      </c>
      <c r="X387">
        <v>1834989622</v>
      </c>
      <c r="Y387">
        <v>65</v>
      </c>
      <c r="AA387">
        <v>38.07</v>
      </c>
      <c r="AB387">
        <v>0</v>
      </c>
      <c r="AC387">
        <v>0</v>
      </c>
      <c r="AD387">
        <v>0</v>
      </c>
      <c r="AE387">
        <v>6.17</v>
      </c>
      <c r="AF387">
        <v>0</v>
      </c>
      <c r="AG387">
        <v>0</v>
      </c>
      <c r="AH387">
        <v>0</v>
      </c>
      <c r="AI387">
        <v>6.17</v>
      </c>
      <c r="AJ387">
        <v>1</v>
      </c>
      <c r="AK387">
        <v>1</v>
      </c>
      <c r="AL387">
        <v>1</v>
      </c>
      <c r="AN387">
        <v>0</v>
      </c>
      <c r="AO387">
        <v>1</v>
      </c>
      <c r="AP387">
        <v>0</v>
      </c>
      <c r="AQ387">
        <v>0</v>
      </c>
      <c r="AR387">
        <v>0</v>
      </c>
      <c r="AS387" t="s">
        <v>6</v>
      </c>
      <c r="AT387">
        <v>65</v>
      </c>
      <c r="AU387" t="s">
        <v>6</v>
      </c>
      <c r="AV387">
        <v>0</v>
      </c>
      <c r="AW387">
        <v>2</v>
      </c>
      <c r="AX387">
        <v>31029566</v>
      </c>
      <c r="AY387">
        <v>1</v>
      </c>
      <c r="AZ387">
        <v>0</v>
      </c>
      <c r="BA387">
        <v>411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CX387">
        <f>Y387*Source!I177</f>
        <v>21.45</v>
      </c>
      <c r="CY387">
        <f t="shared" si="66"/>
        <v>38.07</v>
      </c>
      <c r="CZ387">
        <f t="shared" si="67"/>
        <v>6.17</v>
      </c>
      <c r="DA387">
        <f t="shared" si="68"/>
        <v>6.17</v>
      </c>
      <c r="DB387">
        <f t="shared" si="69"/>
        <v>401.05</v>
      </c>
      <c r="DC387">
        <f t="shared" si="70"/>
        <v>0</v>
      </c>
    </row>
    <row r="388" spans="1:107">
      <c r="A388">
        <f>ROW(Source!A177)</f>
        <v>177</v>
      </c>
      <c r="B388">
        <v>31028412</v>
      </c>
      <c r="C388">
        <v>31029541</v>
      </c>
      <c r="D388">
        <v>29152039</v>
      </c>
      <c r="E388">
        <v>1</v>
      </c>
      <c r="F388">
        <v>1</v>
      </c>
      <c r="G388">
        <v>1</v>
      </c>
      <c r="H388">
        <v>3</v>
      </c>
      <c r="I388" t="s">
        <v>962</v>
      </c>
      <c r="J388" t="s">
        <v>963</v>
      </c>
      <c r="K388" t="s">
        <v>964</v>
      </c>
      <c r="L388">
        <v>1346</v>
      </c>
      <c r="N388">
        <v>1009</v>
      </c>
      <c r="O388" t="s">
        <v>118</v>
      </c>
      <c r="P388" t="s">
        <v>118</v>
      </c>
      <c r="Q388">
        <v>1</v>
      </c>
      <c r="W388">
        <v>0</v>
      </c>
      <c r="X388">
        <v>-422621290</v>
      </c>
      <c r="Y388">
        <v>22.41</v>
      </c>
      <c r="AA388">
        <v>68.61</v>
      </c>
      <c r="AB388">
        <v>0</v>
      </c>
      <c r="AC388">
        <v>0</v>
      </c>
      <c r="AD388">
        <v>0</v>
      </c>
      <c r="AE388">
        <v>11.12</v>
      </c>
      <c r="AF388">
        <v>0</v>
      </c>
      <c r="AG388">
        <v>0</v>
      </c>
      <c r="AH388">
        <v>0</v>
      </c>
      <c r="AI388">
        <v>6.17</v>
      </c>
      <c r="AJ388">
        <v>1</v>
      </c>
      <c r="AK388">
        <v>1</v>
      </c>
      <c r="AL388">
        <v>1</v>
      </c>
      <c r="AN388">
        <v>0</v>
      </c>
      <c r="AO388">
        <v>1</v>
      </c>
      <c r="AP388">
        <v>0</v>
      </c>
      <c r="AQ388">
        <v>0</v>
      </c>
      <c r="AR388">
        <v>0</v>
      </c>
      <c r="AS388" t="s">
        <v>6</v>
      </c>
      <c r="AT388">
        <v>22.41</v>
      </c>
      <c r="AU388" t="s">
        <v>6</v>
      </c>
      <c r="AV388">
        <v>0</v>
      </c>
      <c r="AW388">
        <v>2</v>
      </c>
      <c r="AX388">
        <v>31029567</v>
      </c>
      <c r="AY388">
        <v>1</v>
      </c>
      <c r="AZ388">
        <v>0</v>
      </c>
      <c r="BA388">
        <v>412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CX388">
        <f>Y388*Source!I177</f>
        <v>7.3953000000000007</v>
      </c>
      <c r="CY388">
        <f t="shared" si="66"/>
        <v>68.61</v>
      </c>
      <c r="CZ388">
        <f t="shared" si="67"/>
        <v>11.12</v>
      </c>
      <c r="DA388">
        <f t="shared" si="68"/>
        <v>6.17</v>
      </c>
      <c r="DB388">
        <f t="shared" si="69"/>
        <v>249.2</v>
      </c>
      <c r="DC388">
        <f t="shared" si="70"/>
        <v>0</v>
      </c>
    </row>
    <row r="389" spans="1:107">
      <c r="A389">
        <f>ROW(Source!A177)</f>
        <v>177</v>
      </c>
      <c r="B389">
        <v>31028412</v>
      </c>
      <c r="C389">
        <v>31029541</v>
      </c>
      <c r="D389">
        <v>29152054</v>
      </c>
      <c r="E389">
        <v>1</v>
      </c>
      <c r="F389">
        <v>1</v>
      </c>
      <c r="G389">
        <v>1</v>
      </c>
      <c r="H389">
        <v>3</v>
      </c>
      <c r="I389" t="s">
        <v>805</v>
      </c>
      <c r="J389" t="s">
        <v>806</v>
      </c>
      <c r="K389" t="s">
        <v>807</v>
      </c>
      <c r="L389">
        <v>1348</v>
      </c>
      <c r="N389">
        <v>1009</v>
      </c>
      <c r="O389" t="s">
        <v>137</v>
      </c>
      <c r="P389" t="s">
        <v>137</v>
      </c>
      <c r="Q389">
        <v>1000</v>
      </c>
      <c r="W389">
        <v>0</v>
      </c>
      <c r="X389">
        <v>-444487765</v>
      </c>
      <c r="Y389">
        <v>1.6800000000000001E-3</v>
      </c>
      <c r="AA389">
        <v>62829.11</v>
      </c>
      <c r="AB389">
        <v>0</v>
      </c>
      <c r="AC389">
        <v>0</v>
      </c>
      <c r="AD389">
        <v>0</v>
      </c>
      <c r="AE389">
        <v>10183</v>
      </c>
      <c r="AF389">
        <v>0</v>
      </c>
      <c r="AG389">
        <v>0</v>
      </c>
      <c r="AH389">
        <v>0</v>
      </c>
      <c r="AI389">
        <v>6.17</v>
      </c>
      <c r="AJ389">
        <v>1</v>
      </c>
      <c r="AK389">
        <v>1</v>
      </c>
      <c r="AL389">
        <v>1</v>
      </c>
      <c r="AN389">
        <v>0</v>
      </c>
      <c r="AO389">
        <v>1</v>
      </c>
      <c r="AP389">
        <v>0</v>
      </c>
      <c r="AQ389">
        <v>0</v>
      </c>
      <c r="AR389">
        <v>0</v>
      </c>
      <c r="AS389" t="s">
        <v>6</v>
      </c>
      <c r="AT389">
        <v>1.6800000000000001E-3</v>
      </c>
      <c r="AU389" t="s">
        <v>6</v>
      </c>
      <c r="AV389">
        <v>0</v>
      </c>
      <c r="AW389">
        <v>2</v>
      </c>
      <c r="AX389">
        <v>31029568</v>
      </c>
      <c r="AY389">
        <v>1</v>
      </c>
      <c r="AZ389">
        <v>0</v>
      </c>
      <c r="BA389">
        <v>413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CX389">
        <f>Y389*Source!I177</f>
        <v>5.5440000000000003E-4</v>
      </c>
      <c r="CY389">
        <f t="shared" si="66"/>
        <v>62829.11</v>
      </c>
      <c r="CZ389">
        <f t="shared" si="67"/>
        <v>10183</v>
      </c>
      <c r="DA389">
        <f t="shared" si="68"/>
        <v>6.17</v>
      </c>
      <c r="DB389">
        <f t="shared" si="69"/>
        <v>17.11</v>
      </c>
      <c r="DC389">
        <f t="shared" si="70"/>
        <v>0</v>
      </c>
    </row>
    <row r="390" spans="1:107">
      <c r="A390">
        <f>ROW(Source!A177)</f>
        <v>177</v>
      </c>
      <c r="B390">
        <v>31028412</v>
      </c>
      <c r="C390">
        <v>31029541</v>
      </c>
      <c r="D390">
        <v>29157674</v>
      </c>
      <c r="E390">
        <v>1</v>
      </c>
      <c r="F390">
        <v>1</v>
      </c>
      <c r="G390">
        <v>1</v>
      </c>
      <c r="H390">
        <v>3</v>
      </c>
      <c r="I390" t="s">
        <v>808</v>
      </c>
      <c r="J390" t="s">
        <v>809</v>
      </c>
      <c r="K390" t="s">
        <v>810</v>
      </c>
      <c r="L390">
        <v>1296</v>
      </c>
      <c r="N390">
        <v>1002</v>
      </c>
      <c r="O390" t="s">
        <v>142</v>
      </c>
      <c r="P390" t="s">
        <v>142</v>
      </c>
      <c r="Q390">
        <v>1</v>
      </c>
      <c r="W390">
        <v>0</v>
      </c>
      <c r="X390">
        <v>1606941307</v>
      </c>
      <c r="Y390">
        <v>22.2</v>
      </c>
      <c r="AA390">
        <v>311.52</v>
      </c>
      <c r="AB390">
        <v>0</v>
      </c>
      <c r="AC390">
        <v>0</v>
      </c>
      <c r="AD390">
        <v>0</v>
      </c>
      <c r="AE390">
        <v>50.49</v>
      </c>
      <c r="AF390">
        <v>0</v>
      </c>
      <c r="AG390">
        <v>0</v>
      </c>
      <c r="AH390">
        <v>0</v>
      </c>
      <c r="AI390">
        <v>6.17</v>
      </c>
      <c r="AJ390">
        <v>1</v>
      </c>
      <c r="AK390">
        <v>1</v>
      </c>
      <c r="AL390">
        <v>1</v>
      </c>
      <c r="AN390">
        <v>0</v>
      </c>
      <c r="AO390">
        <v>1</v>
      </c>
      <c r="AP390">
        <v>0</v>
      </c>
      <c r="AQ390">
        <v>0</v>
      </c>
      <c r="AR390">
        <v>0</v>
      </c>
      <c r="AS390" t="s">
        <v>6</v>
      </c>
      <c r="AT390">
        <v>22.2</v>
      </c>
      <c r="AU390" t="s">
        <v>6</v>
      </c>
      <c r="AV390">
        <v>0</v>
      </c>
      <c r="AW390">
        <v>2</v>
      </c>
      <c r="AX390">
        <v>31029569</v>
      </c>
      <c r="AY390">
        <v>1</v>
      </c>
      <c r="AZ390">
        <v>0</v>
      </c>
      <c r="BA390">
        <v>414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CX390">
        <f>Y390*Source!I177</f>
        <v>7.3260000000000005</v>
      </c>
      <c r="CY390">
        <f t="shared" si="66"/>
        <v>311.52</v>
      </c>
      <c r="CZ390">
        <f t="shared" si="67"/>
        <v>50.49</v>
      </c>
      <c r="DA390">
        <f t="shared" si="68"/>
        <v>6.17</v>
      </c>
      <c r="DB390">
        <f t="shared" si="69"/>
        <v>1120.8800000000001</v>
      </c>
      <c r="DC390">
        <f t="shared" si="70"/>
        <v>0</v>
      </c>
    </row>
    <row r="391" spans="1:107">
      <c r="A391">
        <f>ROW(Source!A177)</f>
        <v>177</v>
      </c>
      <c r="B391">
        <v>31028412</v>
      </c>
      <c r="C391">
        <v>31029541</v>
      </c>
      <c r="D391">
        <v>29157993</v>
      </c>
      <c r="E391">
        <v>1</v>
      </c>
      <c r="F391">
        <v>1</v>
      </c>
      <c r="G391">
        <v>1</v>
      </c>
      <c r="H391">
        <v>3</v>
      </c>
      <c r="I391" t="s">
        <v>811</v>
      </c>
      <c r="J391" t="s">
        <v>812</v>
      </c>
      <c r="K391" t="s">
        <v>813</v>
      </c>
      <c r="L391">
        <v>1035</v>
      </c>
      <c r="N391">
        <v>1013</v>
      </c>
      <c r="O391" t="s">
        <v>292</v>
      </c>
      <c r="P391" t="s">
        <v>292</v>
      </c>
      <c r="Q391">
        <v>1</v>
      </c>
      <c r="W391">
        <v>0</v>
      </c>
      <c r="X391">
        <v>-1257397784</v>
      </c>
      <c r="Y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6.17</v>
      </c>
      <c r="AJ391">
        <v>1</v>
      </c>
      <c r="AK391">
        <v>1</v>
      </c>
      <c r="AL391">
        <v>1</v>
      </c>
      <c r="AN391">
        <v>1</v>
      </c>
      <c r="AO391">
        <v>0</v>
      </c>
      <c r="AP391">
        <v>0</v>
      </c>
      <c r="AQ391">
        <v>0</v>
      </c>
      <c r="AR391">
        <v>0</v>
      </c>
      <c r="AS391" t="s">
        <v>6</v>
      </c>
      <c r="AT391">
        <v>0</v>
      </c>
      <c r="AU391" t="s">
        <v>6</v>
      </c>
      <c r="AV391">
        <v>0</v>
      </c>
      <c r="AW391">
        <v>2</v>
      </c>
      <c r="AX391">
        <v>31029570</v>
      </c>
      <c r="AY391">
        <v>1</v>
      </c>
      <c r="AZ391">
        <v>0</v>
      </c>
      <c r="BA391">
        <v>415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CX391">
        <f>Y391*Source!I177</f>
        <v>0</v>
      </c>
      <c r="CY391">
        <f t="shared" si="66"/>
        <v>0</v>
      </c>
      <c r="CZ391">
        <f t="shared" si="67"/>
        <v>0</v>
      </c>
      <c r="DA391">
        <f t="shared" si="68"/>
        <v>6.17</v>
      </c>
      <c r="DB391">
        <f t="shared" si="69"/>
        <v>0</v>
      </c>
      <c r="DC391">
        <f t="shared" si="70"/>
        <v>0</v>
      </c>
    </row>
    <row r="392" spans="1:107">
      <c r="A392">
        <f>ROW(Source!A177)</f>
        <v>177</v>
      </c>
      <c r="B392">
        <v>31028412</v>
      </c>
      <c r="C392">
        <v>31029541</v>
      </c>
      <c r="D392">
        <v>29158165</v>
      </c>
      <c r="E392">
        <v>1</v>
      </c>
      <c r="F392">
        <v>1</v>
      </c>
      <c r="G392">
        <v>1</v>
      </c>
      <c r="H392">
        <v>3</v>
      </c>
      <c r="I392" t="s">
        <v>965</v>
      </c>
      <c r="J392" t="s">
        <v>966</v>
      </c>
      <c r="K392" t="s">
        <v>967</v>
      </c>
      <c r="L392">
        <v>1339</v>
      </c>
      <c r="N392">
        <v>1007</v>
      </c>
      <c r="O392" t="s">
        <v>109</v>
      </c>
      <c r="P392" t="s">
        <v>109</v>
      </c>
      <c r="Q392">
        <v>1</v>
      </c>
      <c r="W392">
        <v>0</v>
      </c>
      <c r="X392">
        <v>-1295938293</v>
      </c>
      <c r="Y392">
        <v>7.0000000000000007E-2</v>
      </c>
      <c r="AA392">
        <v>5210.5</v>
      </c>
      <c r="AB392">
        <v>0</v>
      </c>
      <c r="AC392">
        <v>0</v>
      </c>
      <c r="AD392">
        <v>0</v>
      </c>
      <c r="AE392">
        <v>844.49</v>
      </c>
      <c r="AF392">
        <v>0</v>
      </c>
      <c r="AG392">
        <v>0</v>
      </c>
      <c r="AH392">
        <v>0</v>
      </c>
      <c r="AI392">
        <v>6.17</v>
      </c>
      <c r="AJ392">
        <v>1</v>
      </c>
      <c r="AK392">
        <v>1</v>
      </c>
      <c r="AL392">
        <v>1</v>
      </c>
      <c r="AN392">
        <v>0</v>
      </c>
      <c r="AO392">
        <v>1</v>
      </c>
      <c r="AP392">
        <v>0</v>
      </c>
      <c r="AQ392">
        <v>0</v>
      </c>
      <c r="AR392">
        <v>0</v>
      </c>
      <c r="AS392" t="s">
        <v>6</v>
      </c>
      <c r="AT392">
        <v>7.0000000000000007E-2</v>
      </c>
      <c r="AU392" t="s">
        <v>6</v>
      </c>
      <c r="AV392">
        <v>0</v>
      </c>
      <c r="AW392">
        <v>2</v>
      </c>
      <c r="AX392">
        <v>31029571</v>
      </c>
      <c r="AY392">
        <v>1</v>
      </c>
      <c r="AZ392">
        <v>0</v>
      </c>
      <c r="BA392">
        <v>416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CX392">
        <f>Y392*Source!I177</f>
        <v>2.3100000000000002E-2</v>
      </c>
      <c r="CY392">
        <f t="shared" si="66"/>
        <v>5210.5</v>
      </c>
      <c r="CZ392">
        <f t="shared" si="67"/>
        <v>844.49</v>
      </c>
      <c r="DA392">
        <f t="shared" si="68"/>
        <v>6.17</v>
      </c>
      <c r="DB392">
        <f t="shared" si="69"/>
        <v>59.11</v>
      </c>
      <c r="DC392">
        <f t="shared" si="70"/>
        <v>0</v>
      </c>
    </row>
    <row r="393" spans="1:107">
      <c r="A393">
        <f>ROW(Source!A177)</f>
        <v>177</v>
      </c>
      <c r="B393">
        <v>31028412</v>
      </c>
      <c r="C393">
        <v>31029541</v>
      </c>
      <c r="D393">
        <v>29186570</v>
      </c>
      <c r="E393">
        <v>1</v>
      </c>
      <c r="F393">
        <v>1</v>
      </c>
      <c r="G393">
        <v>1</v>
      </c>
      <c r="H393">
        <v>3</v>
      </c>
      <c r="I393" t="s">
        <v>814</v>
      </c>
      <c r="J393" t="s">
        <v>815</v>
      </c>
      <c r="K393" t="s">
        <v>816</v>
      </c>
      <c r="L393">
        <v>1339</v>
      </c>
      <c r="N393">
        <v>1007</v>
      </c>
      <c r="O393" t="s">
        <v>109</v>
      </c>
      <c r="P393" t="s">
        <v>109</v>
      </c>
      <c r="Q393">
        <v>1</v>
      </c>
      <c r="W393">
        <v>0</v>
      </c>
      <c r="X393">
        <v>451862466</v>
      </c>
      <c r="Y393">
        <v>7.5999999999999998E-2</v>
      </c>
      <c r="AA393">
        <v>2939.02</v>
      </c>
      <c r="AB393">
        <v>0</v>
      </c>
      <c r="AC393">
        <v>0</v>
      </c>
      <c r="AD393">
        <v>0</v>
      </c>
      <c r="AE393">
        <v>476.34</v>
      </c>
      <c r="AF393">
        <v>0</v>
      </c>
      <c r="AG393">
        <v>0</v>
      </c>
      <c r="AH393">
        <v>0</v>
      </c>
      <c r="AI393">
        <v>6.17</v>
      </c>
      <c r="AJ393">
        <v>1</v>
      </c>
      <c r="AK393">
        <v>1</v>
      </c>
      <c r="AL393">
        <v>1</v>
      </c>
      <c r="AN393">
        <v>0</v>
      </c>
      <c r="AO393">
        <v>1</v>
      </c>
      <c r="AP393">
        <v>0</v>
      </c>
      <c r="AQ393">
        <v>0</v>
      </c>
      <c r="AR393">
        <v>0</v>
      </c>
      <c r="AS393" t="s">
        <v>6</v>
      </c>
      <c r="AT393">
        <v>7.5999999999999998E-2</v>
      </c>
      <c r="AU393" t="s">
        <v>6</v>
      </c>
      <c r="AV393">
        <v>0</v>
      </c>
      <c r="AW393">
        <v>2</v>
      </c>
      <c r="AX393">
        <v>31029573</v>
      </c>
      <c r="AY393">
        <v>1</v>
      </c>
      <c r="AZ393">
        <v>0</v>
      </c>
      <c r="BA393">
        <v>418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CX393">
        <f>Y393*Source!I177</f>
        <v>2.5080000000000002E-2</v>
      </c>
      <c r="CY393">
        <f t="shared" si="66"/>
        <v>2939.02</v>
      </c>
      <c r="CZ393">
        <f t="shared" si="67"/>
        <v>476.34</v>
      </c>
      <c r="DA393">
        <f t="shared" si="68"/>
        <v>6.17</v>
      </c>
      <c r="DB393">
        <f t="shared" si="69"/>
        <v>36.200000000000003</v>
      </c>
      <c r="DC393">
        <f t="shared" si="70"/>
        <v>0</v>
      </c>
    </row>
    <row r="394" spans="1:107">
      <c r="A394">
        <f>ROW(Source!A177)</f>
        <v>177</v>
      </c>
      <c r="B394">
        <v>31028412</v>
      </c>
      <c r="C394">
        <v>31029541</v>
      </c>
      <c r="D394">
        <v>29194450</v>
      </c>
      <c r="E394">
        <v>1</v>
      </c>
      <c r="F394">
        <v>1</v>
      </c>
      <c r="G394">
        <v>1</v>
      </c>
      <c r="H394">
        <v>3</v>
      </c>
      <c r="I394" t="s">
        <v>817</v>
      </c>
      <c r="J394" t="s">
        <v>818</v>
      </c>
      <c r="K394" t="s">
        <v>819</v>
      </c>
      <c r="L394">
        <v>1348</v>
      </c>
      <c r="N394">
        <v>1009</v>
      </c>
      <c r="O394" t="s">
        <v>137</v>
      </c>
      <c r="P394" t="s">
        <v>137</v>
      </c>
      <c r="Q394">
        <v>1000</v>
      </c>
      <c r="W394">
        <v>0</v>
      </c>
      <c r="X394">
        <v>1536930468</v>
      </c>
      <c r="Y394">
        <v>1.0999999999999999E-2</v>
      </c>
      <c r="AA394">
        <v>4497.8100000000004</v>
      </c>
      <c r="AB394">
        <v>0</v>
      </c>
      <c r="AC394">
        <v>0</v>
      </c>
      <c r="AD394">
        <v>0</v>
      </c>
      <c r="AE394">
        <v>728.98</v>
      </c>
      <c r="AF394">
        <v>0</v>
      </c>
      <c r="AG394">
        <v>0</v>
      </c>
      <c r="AH394">
        <v>0</v>
      </c>
      <c r="AI394">
        <v>6.17</v>
      </c>
      <c r="AJ394">
        <v>1</v>
      </c>
      <c r="AK394">
        <v>1</v>
      </c>
      <c r="AL394">
        <v>1</v>
      </c>
      <c r="AN394">
        <v>0</v>
      </c>
      <c r="AO394">
        <v>1</v>
      </c>
      <c r="AP394">
        <v>0</v>
      </c>
      <c r="AQ394">
        <v>0</v>
      </c>
      <c r="AR394">
        <v>0</v>
      </c>
      <c r="AS394" t="s">
        <v>6</v>
      </c>
      <c r="AT394">
        <v>1.0999999999999999E-2</v>
      </c>
      <c r="AU394" t="s">
        <v>6</v>
      </c>
      <c r="AV394">
        <v>0</v>
      </c>
      <c r="AW394">
        <v>2</v>
      </c>
      <c r="AX394">
        <v>31029574</v>
      </c>
      <c r="AY394">
        <v>1</v>
      </c>
      <c r="AZ394">
        <v>0</v>
      </c>
      <c r="BA394">
        <v>419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CX394">
        <f>Y394*Source!I177</f>
        <v>3.63E-3</v>
      </c>
      <c r="CY394">
        <f t="shared" si="66"/>
        <v>4497.8100000000004</v>
      </c>
      <c r="CZ394">
        <f t="shared" si="67"/>
        <v>728.98</v>
      </c>
      <c r="DA394">
        <f t="shared" si="68"/>
        <v>6.17</v>
      </c>
      <c r="DB394">
        <f t="shared" si="69"/>
        <v>8.02</v>
      </c>
      <c r="DC394">
        <f t="shared" si="70"/>
        <v>0</v>
      </c>
    </row>
    <row r="395" spans="1:107">
      <c r="A395">
        <f>ROW(Source!A182)</f>
        <v>182</v>
      </c>
      <c r="B395">
        <v>31028412</v>
      </c>
      <c r="C395">
        <v>31029579</v>
      </c>
      <c r="D395">
        <v>29084679</v>
      </c>
      <c r="E395">
        <v>1</v>
      </c>
      <c r="F395">
        <v>1</v>
      </c>
      <c r="G395">
        <v>1</v>
      </c>
      <c r="H395">
        <v>1</v>
      </c>
      <c r="I395" t="s">
        <v>968</v>
      </c>
      <c r="J395" t="s">
        <v>6</v>
      </c>
      <c r="K395" t="s">
        <v>969</v>
      </c>
      <c r="L395">
        <v>1369</v>
      </c>
      <c r="N395">
        <v>1013</v>
      </c>
      <c r="O395" t="s">
        <v>773</v>
      </c>
      <c r="P395" t="s">
        <v>773</v>
      </c>
      <c r="Q395">
        <v>1</v>
      </c>
      <c r="W395">
        <v>0</v>
      </c>
      <c r="X395">
        <v>1671774857</v>
      </c>
      <c r="Y395">
        <v>1.1844999999999999</v>
      </c>
      <c r="AA395">
        <v>0</v>
      </c>
      <c r="AB395">
        <v>0</v>
      </c>
      <c r="AC395">
        <v>0</v>
      </c>
      <c r="AD395">
        <v>168.09</v>
      </c>
      <c r="AE395">
        <v>0</v>
      </c>
      <c r="AF395">
        <v>0</v>
      </c>
      <c r="AG395">
        <v>0</v>
      </c>
      <c r="AH395">
        <v>6.94</v>
      </c>
      <c r="AI395">
        <v>1</v>
      </c>
      <c r="AJ395">
        <v>1</v>
      </c>
      <c r="AK395">
        <v>1</v>
      </c>
      <c r="AL395">
        <v>24.22</v>
      </c>
      <c r="AN395">
        <v>0</v>
      </c>
      <c r="AO395">
        <v>1</v>
      </c>
      <c r="AP395">
        <v>1</v>
      </c>
      <c r="AQ395">
        <v>0</v>
      </c>
      <c r="AR395">
        <v>0</v>
      </c>
      <c r="AS395" t="s">
        <v>6</v>
      </c>
      <c r="AT395">
        <v>1.03</v>
      </c>
      <c r="AU395" t="s">
        <v>36</v>
      </c>
      <c r="AV395">
        <v>1</v>
      </c>
      <c r="AW395">
        <v>2</v>
      </c>
      <c r="AX395">
        <v>31029582</v>
      </c>
      <c r="AY395">
        <v>1</v>
      </c>
      <c r="AZ395">
        <v>0</v>
      </c>
      <c r="BA395">
        <v>420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CX395">
        <f>Y395*Source!I182</f>
        <v>88.837499999999991</v>
      </c>
      <c r="CY395">
        <f>AD395</f>
        <v>168.09</v>
      </c>
      <c r="CZ395">
        <f>AH395</f>
        <v>6.94</v>
      </c>
      <c r="DA395">
        <f>AL395</f>
        <v>24.22</v>
      </c>
      <c r="DB395">
        <f>ROUND((ROUND(AT395*CZ395,2)*ROUND(1.15,7)),6)</f>
        <v>8.2225000000000001</v>
      </c>
      <c r="DC395">
        <f>ROUND((ROUND(AT395*AG395,2)*ROUND(1.15,7)),6)</f>
        <v>0</v>
      </c>
    </row>
    <row r="396" spans="1:107">
      <c r="A396">
        <f>ROW(Source!A182)</f>
        <v>182</v>
      </c>
      <c r="B396">
        <v>31028412</v>
      </c>
      <c r="C396">
        <v>31029579</v>
      </c>
      <c r="D396">
        <v>29156232</v>
      </c>
      <c r="E396">
        <v>1</v>
      </c>
      <c r="F396">
        <v>1</v>
      </c>
      <c r="G396">
        <v>1</v>
      </c>
      <c r="H396">
        <v>3</v>
      </c>
      <c r="I396" t="s">
        <v>970</v>
      </c>
      <c r="J396" t="s">
        <v>971</v>
      </c>
      <c r="K396" t="s">
        <v>972</v>
      </c>
      <c r="L396">
        <v>1354</v>
      </c>
      <c r="N396">
        <v>1010</v>
      </c>
      <c r="O396" t="s">
        <v>704</v>
      </c>
      <c r="P396" t="s">
        <v>704</v>
      </c>
      <c r="Q396">
        <v>1</v>
      </c>
      <c r="W396">
        <v>0</v>
      </c>
      <c r="X396">
        <v>1285892893</v>
      </c>
      <c r="Y396">
        <v>20</v>
      </c>
      <c r="AA396">
        <v>5.49</v>
      </c>
      <c r="AB396">
        <v>0</v>
      </c>
      <c r="AC396">
        <v>0</v>
      </c>
      <c r="AD396">
        <v>0</v>
      </c>
      <c r="AE396">
        <v>0.89</v>
      </c>
      <c r="AF396">
        <v>0</v>
      </c>
      <c r="AG396">
        <v>0</v>
      </c>
      <c r="AH396">
        <v>0</v>
      </c>
      <c r="AI396">
        <v>6.17</v>
      </c>
      <c r="AJ396">
        <v>1</v>
      </c>
      <c r="AK396">
        <v>1</v>
      </c>
      <c r="AL396">
        <v>1</v>
      </c>
      <c r="AN396">
        <v>0</v>
      </c>
      <c r="AO396">
        <v>1</v>
      </c>
      <c r="AP396">
        <v>0</v>
      </c>
      <c r="AQ396">
        <v>0</v>
      </c>
      <c r="AR396">
        <v>0</v>
      </c>
      <c r="AS396" t="s">
        <v>6</v>
      </c>
      <c r="AT396">
        <v>20</v>
      </c>
      <c r="AU396" t="s">
        <v>6</v>
      </c>
      <c r="AV396">
        <v>0</v>
      </c>
      <c r="AW396">
        <v>2</v>
      </c>
      <c r="AX396">
        <v>31029583</v>
      </c>
      <c r="AY396">
        <v>1</v>
      </c>
      <c r="AZ396">
        <v>0</v>
      </c>
      <c r="BA396">
        <v>421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CX396">
        <f>Y396*Source!I182</f>
        <v>1500</v>
      </c>
      <c r="CY396">
        <f>AA396</f>
        <v>5.49</v>
      </c>
      <c r="CZ396">
        <f>AE396</f>
        <v>0.89</v>
      </c>
      <c r="DA396">
        <f>AI396</f>
        <v>6.17</v>
      </c>
      <c r="DB396">
        <f>ROUND(ROUND(AT396*CZ396,2),6)</f>
        <v>17.8</v>
      </c>
      <c r="DC396">
        <f>ROUND(ROUND(AT396*AG396,2),6)</f>
        <v>0</v>
      </c>
    </row>
    <row r="397" spans="1:107">
      <c r="A397">
        <f>ROW(Source!A183)</f>
        <v>183</v>
      </c>
      <c r="B397">
        <v>31028412</v>
      </c>
      <c r="C397">
        <v>31029584</v>
      </c>
      <c r="D397">
        <v>29084574</v>
      </c>
      <c r="E397">
        <v>1</v>
      </c>
      <c r="F397">
        <v>1</v>
      </c>
      <c r="G397">
        <v>1</v>
      </c>
      <c r="H397">
        <v>1</v>
      </c>
      <c r="I397" t="s">
        <v>820</v>
      </c>
      <c r="J397" t="s">
        <v>6</v>
      </c>
      <c r="K397" t="s">
        <v>821</v>
      </c>
      <c r="L397">
        <v>1369</v>
      </c>
      <c r="N397">
        <v>1013</v>
      </c>
      <c r="O397" t="s">
        <v>773</v>
      </c>
      <c r="P397" t="s">
        <v>773</v>
      </c>
      <c r="Q397">
        <v>1</v>
      </c>
      <c r="W397">
        <v>0</v>
      </c>
      <c r="X397">
        <v>-1263252757</v>
      </c>
      <c r="Y397">
        <v>0.45700000000000002</v>
      </c>
      <c r="AA397">
        <v>0</v>
      </c>
      <c r="AB397">
        <v>0</v>
      </c>
      <c r="AC397">
        <v>0</v>
      </c>
      <c r="AD397">
        <v>182.38</v>
      </c>
      <c r="AE397">
        <v>0</v>
      </c>
      <c r="AF397">
        <v>0</v>
      </c>
      <c r="AG397">
        <v>0</v>
      </c>
      <c r="AH397">
        <v>7.53</v>
      </c>
      <c r="AI397">
        <v>1</v>
      </c>
      <c r="AJ397">
        <v>1</v>
      </c>
      <c r="AK397">
        <v>1</v>
      </c>
      <c r="AL397">
        <v>24.22</v>
      </c>
      <c r="AN397">
        <v>0</v>
      </c>
      <c r="AO397">
        <v>1</v>
      </c>
      <c r="AP397">
        <v>0</v>
      </c>
      <c r="AQ397">
        <v>0</v>
      </c>
      <c r="AR397">
        <v>0</v>
      </c>
      <c r="AS397" t="s">
        <v>6</v>
      </c>
      <c r="AT397">
        <v>0.45700000000000002</v>
      </c>
      <c r="AU397" t="s">
        <v>6</v>
      </c>
      <c r="AV397">
        <v>1</v>
      </c>
      <c r="AW397">
        <v>2</v>
      </c>
      <c r="AX397">
        <v>31029588</v>
      </c>
      <c r="AY397">
        <v>1</v>
      </c>
      <c r="AZ397">
        <v>0</v>
      </c>
      <c r="BA397">
        <v>422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CX397">
        <f>Y397*Source!I183</f>
        <v>34.274999999999999</v>
      </c>
      <c r="CY397">
        <f>AD397</f>
        <v>182.38</v>
      </c>
      <c r="CZ397">
        <f>AH397</f>
        <v>7.53</v>
      </c>
      <c r="DA397">
        <f>AL397</f>
        <v>24.22</v>
      </c>
      <c r="DB397">
        <f>ROUND(ROUND(AT397*CZ397,2),6)</f>
        <v>3.44</v>
      </c>
      <c r="DC397">
        <f>ROUND(ROUND(AT397*AG397,2),6)</f>
        <v>0</v>
      </c>
    </row>
    <row r="398" spans="1:107">
      <c r="A398">
        <f>ROW(Source!A183)</f>
        <v>183</v>
      </c>
      <c r="B398">
        <v>31028412</v>
      </c>
      <c r="C398">
        <v>31029584</v>
      </c>
      <c r="D398">
        <v>29084573</v>
      </c>
      <c r="E398">
        <v>1</v>
      </c>
      <c r="F398">
        <v>1</v>
      </c>
      <c r="G398">
        <v>1</v>
      </c>
      <c r="H398">
        <v>1</v>
      </c>
      <c r="I398" t="s">
        <v>774</v>
      </c>
      <c r="J398" t="s">
        <v>6</v>
      </c>
      <c r="K398" t="s">
        <v>775</v>
      </c>
      <c r="L398">
        <v>608254</v>
      </c>
      <c r="N398">
        <v>1013</v>
      </c>
      <c r="O398" t="s">
        <v>776</v>
      </c>
      <c r="P398" t="s">
        <v>776</v>
      </c>
      <c r="Q398">
        <v>1</v>
      </c>
      <c r="W398">
        <v>0</v>
      </c>
      <c r="X398">
        <v>95408949</v>
      </c>
      <c r="Y398">
        <v>0.10100000000000001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1</v>
      </c>
      <c r="AJ398">
        <v>1</v>
      </c>
      <c r="AK398">
        <v>24.22</v>
      </c>
      <c r="AL398">
        <v>1</v>
      </c>
      <c r="AN398">
        <v>0</v>
      </c>
      <c r="AO398">
        <v>1</v>
      </c>
      <c r="AP398">
        <v>0</v>
      </c>
      <c r="AQ398">
        <v>0</v>
      </c>
      <c r="AR398">
        <v>0</v>
      </c>
      <c r="AS398" t="s">
        <v>6</v>
      </c>
      <c r="AT398">
        <v>0.10100000000000001</v>
      </c>
      <c r="AU398" t="s">
        <v>6</v>
      </c>
      <c r="AV398">
        <v>2</v>
      </c>
      <c r="AW398">
        <v>2</v>
      </c>
      <c r="AX398">
        <v>31029589</v>
      </c>
      <c r="AY398">
        <v>1</v>
      </c>
      <c r="AZ398">
        <v>0</v>
      </c>
      <c r="BA398">
        <v>423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CX398">
        <f>Y398*Source!I183</f>
        <v>7.5750000000000002</v>
      </c>
      <c r="CY398">
        <f>AD398</f>
        <v>0</v>
      </c>
      <c r="CZ398">
        <f>AH398</f>
        <v>0</v>
      </c>
      <c r="DA398">
        <f>AL398</f>
        <v>1</v>
      </c>
      <c r="DB398">
        <f>ROUND(ROUND(AT398*CZ398,2),6)</f>
        <v>0</v>
      </c>
      <c r="DC398">
        <f>ROUND(ROUND(AT398*AG398,2),6)</f>
        <v>0</v>
      </c>
    </row>
    <row r="399" spans="1:107">
      <c r="A399">
        <f>ROW(Source!A183)</f>
        <v>183</v>
      </c>
      <c r="B399">
        <v>31028412</v>
      </c>
      <c r="C399">
        <v>31029584</v>
      </c>
      <c r="D399">
        <v>29147673</v>
      </c>
      <c r="E399">
        <v>1</v>
      </c>
      <c r="F399">
        <v>1</v>
      </c>
      <c r="G399">
        <v>1</v>
      </c>
      <c r="H399">
        <v>2</v>
      </c>
      <c r="I399" t="s">
        <v>924</v>
      </c>
      <c r="J399" t="s">
        <v>925</v>
      </c>
      <c r="K399" t="s">
        <v>926</v>
      </c>
      <c r="L399">
        <v>1368</v>
      </c>
      <c r="N399">
        <v>1011</v>
      </c>
      <c r="O399" t="s">
        <v>780</v>
      </c>
      <c r="P399" t="s">
        <v>780</v>
      </c>
      <c r="Q399">
        <v>1</v>
      </c>
      <c r="W399">
        <v>0</v>
      </c>
      <c r="X399">
        <v>-149788903</v>
      </c>
      <c r="Y399">
        <v>0.10100000000000001</v>
      </c>
      <c r="AA399">
        <v>0</v>
      </c>
      <c r="AB399">
        <v>748.34</v>
      </c>
      <c r="AC399">
        <v>235.18</v>
      </c>
      <c r="AD399">
        <v>0</v>
      </c>
      <c r="AE399">
        <v>0</v>
      </c>
      <c r="AF399">
        <v>97.95</v>
      </c>
      <c r="AG399">
        <v>9.7100000000000009</v>
      </c>
      <c r="AH399">
        <v>0</v>
      </c>
      <c r="AI399">
        <v>1</v>
      </c>
      <c r="AJ399">
        <v>7.64</v>
      </c>
      <c r="AK399">
        <v>24.22</v>
      </c>
      <c r="AL399">
        <v>1</v>
      </c>
      <c r="AN399">
        <v>0</v>
      </c>
      <c r="AO399">
        <v>1</v>
      </c>
      <c r="AP399">
        <v>0</v>
      </c>
      <c r="AQ399">
        <v>0</v>
      </c>
      <c r="AR399">
        <v>0</v>
      </c>
      <c r="AS399" t="s">
        <v>6</v>
      </c>
      <c r="AT399">
        <v>0.10100000000000001</v>
      </c>
      <c r="AU399" t="s">
        <v>6</v>
      </c>
      <c r="AV399">
        <v>0</v>
      </c>
      <c r="AW399">
        <v>2</v>
      </c>
      <c r="AX399">
        <v>31029590</v>
      </c>
      <c r="AY399">
        <v>1</v>
      </c>
      <c r="AZ399">
        <v>0</v>
      </c>
      <c r="BA399">
        <v>424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CX399">
        <f>Y399*Source!I183</f>
        <v>7.5750000000000002</v>
      </c>
      <c r="CY399">
        <f>AB399</f>
        <v>748.34</v>
      </c>
      <c r="CZ399">
        <f>AF399</f>
        <v>97.95</v>
      </c>
      <c r="DA399">
        <f>AJ399</f>
        <v>7.64</v>
      </c>
      <c r="DB399">
        <f>ROUND(ROUND(AT399*CZ399,2),6)</f>
        <v>9.89</v>
      </c>
      <c r="DC399">
        <f>ROUND(ROUND(AT399*AG399,2),6)</f>
        <v>0.98</v>
      </c>
    </row>
    <row r="400" spans="1:107">
      <c r="A400">
        <f>ROW(Source!A184)</f>
        <v>184</v>
      </c>
      <c r="B400">
        <v>31028412</v>
      </c>
      <c r="C400">
        <v>31029591</v>
      </c>
      <c r="D400">
        <v>29149529</v>
      </c>
      <c r="E400">
        <v>1</v>
      </c>
      <c r="F400">
        <v>1</v>
      </c>
      <c r="G400">
        <v>1</v>
      </c>
      <c r="H400">
        <v>2</v>
      </c>
      <c r="I400" t="s">
        <v>973</v>
      </c>
      <c r="J400" t="s">
        <v>974</v>
      </c>
      <c r="K400" t="s">
        <v>975</v>
      </c>
      <c r="L400">
        <v>1368</v>
      </c>
      <c r="N400">
        <v>1011</v>
      </c>
      <c r="O400" t="s">
        <v>780</v>
      </c>
      <c r="P400" t="s">
        <v>780</v>
      </c>
      <c r="Q400">
        <v>1</v>
      </c>
      <c r="W400">
        <v>0</v>
      </c>
      <c r="X400">
        <v>-1609392955</v>
      </c>
      <c r="Y400">
        <v>0.14000000000000001</v>
      </c>
      <c r="AA400">
        <v>0</v>
      </c>
      <c r="AB400">
        <v>836.58</v>
      </c>
      <c r="AC400">
        <v>0</v>
      </c>
      <c r="AD400">
        <v>0</v>
      </c>
      <c r="AE400">
        <v>0</v>
      </c>
      <c r="AF400">
        <v>109.5</v>
      </c>
      <c r="AG400">
        <v>0</v>
      </c>
      <c r="AH400">
        <v>0</v>
      </c>
      <c r="AI400">
        <v>1</v>
      </c>
      <c r="AJ400">
        <v>7.64</v>
      </c>
      <c r="AK400">
        <v>24.22</v>
      </c>
      <c r="AL400">
        <v>1</v>
      </c>
      <c r="AN400">
        <v>0</v>
      </c>
      <c r="AO400">
        <v>1</v>
      </c>
      <c r="AP400">
        <v>0</v>
      </c>
      <c r="AQ400">
        <v>0</v>
      </c>
      <c r="AR400">
        <v>0</v>
      </c>
      <c r="AS400" t="s">
        <v>6</v>
      </c>
      <c r="AT400">
        <v>0.14000000000000001</v>
      </c>
      <c r="AU400" t="s">
        <v>6</v>
      </c>
      <c r="AV400">
        <v>0</v>
      </c>
      <c r="AW400">
        <v>2</v>
      </c>
      <c r="AX400">
        <v>31029593</v>
      </c>
      <c r="AY400">
        <v>1</v>
      </c>
      <c r="AZ400">
        <v>0</v>
      </c>
      <c r="BA400">
        <v>425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CX400">
        <f>Y400*Source!I184</f>
        <v>10.500000000000002</v>
      </c>
      <c r="CY400">
        <f>AB400</f>
        <v>836.58</v>
      </c>
      <c r="CZ400">
        <f>AF400</f>
        <v>109.5</v>
      </c>
      <c r="DA400">
        <f>AJ400</f>
        <v>7.64</v>
      </c>
      <c r="DB400">
        <f>ROUND(ROUND(AT400*CZ400,2),6)</f>
        <v>15.33</v>
      </c>
      <c r="DC400">
        <f>ROUND(ROUND(AT400*AG400,2),6)</f>
        <v>0</v>
      </c>
    </row>
    <row r="401" spans="1:107">
      <c r="A401">
        <f>ROW(Source!A223)</f>
        <v>223</v>
      </c>
      <c r="B401">
        <v>31028412</v>
      </c>
      <c r="C401">
        <v>31029594</v>
      </c>
      <c r="D401">
        <v>29084582</v>
      </c>
      <c r="E401">
        <v>1</v>
      </c>
      <c r="F401">
        <v>1</v>
      </c>
      <c r="G401">
        <v>1</v>
      </c>
      <c r="H401">
        <v>1</v>
      </c>
      <c r="I401" t="s">
        <v>891</v>
      </c>
      <c r="J401" t="s">
        <v>6</v>
      </c>
      <c r="K401" t="s">
        <v>892</v>
      </c>
      <c r="L401">
        <v>1369</v>
      </c>
      <c r="N401">
        <v>1013</v>
      </c>
      <c r="O401" t="s">
        <v>773</v>
      </c>
      <c r="P401" t="s">
        <v>773</v>
      </c>
      <c r="Q401">
        <v>1</v>
      </c>
      <c r="W401">
        <v>0</v>
      </c>
      <c r="X401">
        <v>-925346530</v>
      </c>
      <c r="Y401">
        <v>61.363999999999997</v>
      </c>
      <c r="AA401">
        <v>0</v>
      </c>
      <c r="AB401">
        <v>0</v>
      </c>
      <c r="AC401">
        <v>0</v>
      </c>
      <c r="AD401">
        <v>190.85</v>
      </c>
      <c r="AE401">
        <v>0</v>
      </c>
      <c r="AF401">
        <v>0</v>
      </c>
      <c r="AG401">
        <v>0</v>
      </c>
      <c r="AH401">
        <v>7.88</v>
      </c>
      <c r="AI401">
        <v>1</v>
      </c>
      <c r="AJ401">
        <v>1</v>
      </c>
      <c r="AK401">
        <v>1</v>
      </c>
      <c r="AL401">
        <v>24.22</v>
      </c>
      <c r="AN401">
        <v>0</v>
      </c>
      <c r="AO401">
        <v>1</v>
      </c>
      <c r="AP401">
        <v>1</v>
      </c>
      <c r="AQ401">
        <v>0</v>
      </c>
      <c r="AR401">
        <v>0</v>
      </c>
      <c r="AS401" t="s">
        <v>6</v>
      </c>
      <c r="AT401">
        <v>53.36</v>
      </c>
      <c r="AU401" t="s">
        <v>36</v>
      </c>
      <c r="AV401">
        <v>1</v>
      </c>
      <c r="AW401">
        <v>2</v>
      </c>
      <c r="AX401">
        <v>31029597</v>
      </c>
      <c r="AY401">
        <v>1</v>
      </c>
      <c r="AZ401">
        <v>0</v>
      </c>
      <c r="BA401">
        <v>426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CX401">
        <f>Y401*Source!I223</f>
        <v>15.954639999999999</v>
      </c>
      <c r="CY401">
        <f>AD401</f>
        <v>190.85</v>
      </c>
      <c r="CZ401">
        <f>AH401</f>
        <v>7.88</v>
      </c>
      <c r="DA401">
        <f>AL401</f>
        <v>24.22</v>
      </c>
      <c r="DB401">
        <f>ROUND((ROUND(AT401*CZ401,2)*ROUND(1.15,7)),6)</f>
        <v>483.55200000000002</v>
      </c>
      <c r="DC401">
        <f>ROUND((ROUND(AT401*AG401,2)*ROUND(1.15,7)),6)</f>
        <v>0</v>
      </c>
    </row>
    <row r="402" spans="1:107">
      <c r="A402">
        <f>ROW(Source!A223)</f>
        <v>223</v>
      </c>
      <c r="B402">
        <v>31028412</v>
      </c>
      <c r="C402">
        <v>31029594</v>
      </c>
      <c r="D402">
        <v>29215982</v>
      </c>
      <c r="E402">
        <v>1</v>
      </c>
      <c r="F402">
        <v>1</v>
      </c>
      <c r="G402">
        <v>1</v>
      </c>
      <c r="H402">
        <v>3</v>
      </c>
      <c r="I402" t="s">
        <v>825</v>
      </c>
      <c r="J402" t="s">
        <v>826</v>
      </c>
      <c r="K402" t="s">
        <v>827</v>
      </c>
      <c r="L402">
        <v>1348</v>
      </c>
      <c r="N402">
        <v>1009</v>
      </c>
      <c r="O402" t="s">
        <v>137</v>
      </c>
      <c r="P402" t="s">
        <v>137</v>
      </c>
      <c r="Q402">
        <v>1000</v>
      </c>
      <c r="W402">
        <v>0</v>
      </c>
      <c r="X402">
        <v>367953619</v>
      </c>
      <c r="Y402">
        <v>0.47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6.17</v>
      </c>
      <c r="AJ402">
        <v>1</v>
      </c>
      <c r="AK402">
        <v>1</v>
      </c>
      <c r="AL402">
        <v>1</v>
      </c>
      <c r="AN402">
        <v>0</v>
      </c>
      <c r="AO402">
        <v>0</v>
      </c>
      <c r="AP402">
        <v>0</v>
      </c>
      <c r="AQ402">
        <v>0</v>
      </c>
      <c r="AR402">
        <v>0</v>
      </c>
      <c r="AS402" t="s">
        <v>6</v>
      </c>
      <c r="AT402">
        <v>0.47</v>
      </c>
      <c r="AU402" t="s">
        <v>6</v>
      </c>
      <c r="AV402">
        <v>0</v>
      </c>
      <c r="AW402">
        <v>2</v>
      </c>
      <c r="AX402">
        <v>31029598</v>
      </c>
      <c r="AY402">
        <v>1</v>
      </c>
      <c r="AZ402">
        <v>0</v>
      </c>
      <c r="BA402">
        <v>427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CX402">
        <f>Y402*Source!I223</f>
        <v>0.1222</v>
      </c>
      <c r="CY402">
        <f>AA402</f>
        <v>0</v>
      </c>
      <c r="CZ402">
        <f>AE402</f>
        <v>0</v>
      </c>
      <c r="DA402">
        <f>AI402</f>
        <v>6.17</v>
      </c>
      <c r="DB402">
        <f>ROUND(ROUND(AT402*CZ402,2),6)</f>
        <v>0</v>
      </c>
      <c r="DC402">
        <f>ROUND(ROUND(AT402*AG402,2),6)</f>
        <v>0</v>
      </c>
    </row>
    <row r="403" spans="1:107">
      <c r="A403">
        <f>ROW(Source!A224)</f>
        <v>224</v>
      </c>
      <c r="B403">
        <v>31028412</v>
      </c>
      <c r="C403">
        <v>31029599</v>
      </c>
      <c r="D403">
        <v>29084610</v>
      </c>
      <c r="E403">
        <v>1</v>
      </c>
      <c r="F403">
        <v>1</v>
      </c>
      <c r="G403">
        <v>1</v>
      </c>
      <c r="H403">
        <v>1</v>
      </c>
      <c r="I403" t="s">
        <v>976</v>
      </c>
      <c r="J403" t="s">
        <v>6</v>
      </c>
      <c r="K403" t="s">
        <v>977</v>
      </c>
      <c r="L403">
        <v>1369</v>
      </c>
      <c r="N403">
        <v>1013</v>
      </c>
      <c r="O403" t="s">
        <v>773</v>
      </c>
      <c r="P403" t="s">
        <v>773</v>
      </c>
      <c r="Q403">
        <v>1</v>
      </c>
      <c r="W403">
        <v>0</v>
      </c>
      <c r="X403">
        <v>99308370</v>
      </c>
      <c r="Y403">
        <v>246.46799999999996</v>
      </c>
      <c r="AA403">
        <v>0</v>
      </c>
      <c r="AB403">
        <v>0</v>
      </c>
      <c r="AC403">
        <v>0</v>
      </c>
      <c r="AD403">
        <v>169.54</v>
      </c>
      <c r="AE403">
        <v>0</v>
      </c>
      <c r="AF403">
        <v>0</v>
      </c>
      <c r="AG403">
        <v>0</v>
      </c>
      <c r="AH403">
        <v>7</v>
      </c>
      <c r="AI403">
        <v>1</v>
      </c>
      <c r="AJ403">
        <v>1</v>
      </c>
      <c r="AK403">
        <v>1</v>
      </c>
      <c r="AL403">
        <v>24.22</v>
      </c>
      <c r="AN403">
        <v>0</v>
      </c>
      <c r="AO403">
        <v>1</v>
      </c>
      <c r="AP403">
        <v>1</v>
      </c>
      <c r="AQ403">
        <v>0</v>
      </c>
      <c r="AR403">
        <v>0</v>
      </c>
      <c r="AS403" t="s">
        <v>6</v>
      </c>
      <c r="AT403">
        <v>214.32</v>
      </c>
      <c r="AU403" t="s">
        <v>36</v>
      </c>
      <c r="AV403">
        <v>1</v>
      </c>
      <c r="AW403">
        <v>2</v>
      </c>
      <c r="AX403">
        <v>31029602</v>
      </c>
      <c r="AY403">
        <v>1</v>
      </c>
      <c r="AZ403">
        <v>0</v>
      </c>
      <c r="BA403">
        <v>428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CX403">
        <f>Y403*Source!I224</f>
        <v>184.85099999999997</v>
      </c>
      <c r="CY403">
        <f>AD403</f>
        <v>169.54</v>
      </c>
      <c r="CZ403">
        <f>AH403</f>
        <v>7</v>
      </c>
      <c r="DA403">
        <f>AL403</f>
        <v>24.22</v>
      </c>
      <c r="DB403">
        <f>ROUND((ROUND(AT403*CZ403,2)*ROUND(1.15,7)),6)</f>
        <v>1725.2760000000001</v>
      </c>
      <c r="DC403">
        <f>ROUND((ROUND(AT403*AG403,2)*ROUND(1.15,7)),6)</f>
        <v>0</v>
      </c>
    </row>
    <row r="404" spans="1:107">
      <c r="A404">
        <f>ROW(Source!A224)</f>
        <v>224</v>
      </c>
      <c r="B404">
        <v>31028412</v>
      </c>
      <c r="C404">
        <v>31029599</v>
      </c>
      <c r="D404">
        <v>29215982</v>
      </c>
      <c r="E404">
        <v>1</v>
      </c>
      <c r="F404">
        <v>1</v>
      </c>
      <c r="G404">
        <v>1</v>
      </c>
      <c r="H404">
        <v>3</v>
      </c>
      <c r="I404" t="s">
        <v>825</v>
      </c>
      <c r="J404" t="s">
        <v>826</v>
      </c>
      <c r="K404" t="s">
        <v>827</v>
      </c>
      <c r="L404">
        <v>1348</v>
      </c>
      <c r="N404">
        <v>1009</v>
      </c>
      <c r="O404" t="s">
        <v>137</v>
      </c>
      <c r="P404" t="s">
        <v>137</v>
      </c>
      <c r="Q404">
        <v>1000</v>
      </c>
      <c r="W404">
        <v>0</v>
      </c>
      <c r="X404">
        <v>367953619</v>
      </c>
      <c r="Y404">
        <v>100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6.17</v>
      </c>
      <c r="AJ404">
        <v>1</v>
      </c>
      <c r="AK404">
        <v>1</v>
      </c>
      <c r="AL404">
        <v>1</v>
      </c>
      <c r="AN404">
        <v>0</v>
      </c>
      <c r="AO404">
        <v>0</v>
      </c>
      <c r="AP404">
        <v>0</v>
      </c>
      <c r="AQ404">
        <v>0</v>
      </c>
      <c r="AR404">
        <v>0</v>
      </c>
      <c r="AS404" t="s">
        <v>6</v>
      </c>
      <c r="AT404">
        <v>100</v>
      </c>
      <c r="AU404" t="s">
        <v>6</v>
      </c>
      <c r="AV404">
        <v>0</v>
      </c>
      <c r="AW404">
        <v>2</v>
      </c>
      <c r="AX404">
        <v>31029603</v>
      </c>
      <c r="AY404">
        <v>1</v>
      </c>
      <c r="AZ404">
        <v>0</v>
      </c>
      <c r="BA404">
        <v>429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CX404">
        <f>Y404*Source!I224</f>
        <v>75</v>
      </c>
      <c r="CY404">
        <f>AA404</f>
        <v>0</v>
      </c>
      <c r="CZ404">
        <f>AE404</f>
        <v>0</v>
      </c>
      <c r="DA404">
        <f>AI404</f>
        <v>6.17</v>
      </c>
      <c r="DB404">
        <f>ROUND(ROUND(AT404*CZ404,2),6)</f>
        <v>0</v>
      </c>
      <c r="DC404">
        <f>ROUND(ROUND(AT404*AG404,2),6)</f>
        <v>0</v>
      </c>
    </row>
    <row r="405" spans="1:107">
      <c r="A405">
        <f>ROW(Source!A225)</f>
        <v>225</v>
      </c>
      <c r="B405">
        <v>31028412</v>
      </c>
      <c r="C405">
        <v>31029604</v>
      </c>
      <c r="D405">
        <v>29084574</v>
      </c>
      <c r="E405">
        <v>1</v>
      </c>
      <c r="F405">
        <v>1</v>
      </c>
      <c r="G405">
        <v>1</v>
      </c>
      <c r="H405">
        <v>1</v>
      </c>
      <c r="I405" t="s">
        <v>820</v>
      </c>
      <c r="J405" t="s">
        <v>6</v>
      </c>
      <c r="K405" t="s">
        <v>821</v>
      </c>
      <c r="L405">
        <v>1369</v>
      </c>
      <c r="N405">
        <v>1013</v>
      </c>
      <c r="O405" t="s">
        <v>773</v>
      </c>
      <c r="P405" t="s">
        <v>773</v>
      </c>
      <c r="Q405">
        <v>1</v>
      </c>
      <c r="W405">
        <v>0</v>
      </c>
      <c r="X405">
        <v>-1263252757</v>
      </c>
      <c r="Y405">
        <v>8.0499999999999989</v>
      </c>
      <c r="AA405">
        <v>0</v>
      </c>
      <c r="AB405">
        <v>0</v>
      </c>
      <c r="AC405">
        <v>0</v>
      </c>
      <c r="AD405">
        <v>182.38</v>
      </c>
      <c r="AE405">
        <v>0</v>
      </c>
      <c r="AF405">
        <v>0</v>
      </c>
      <c r="AG405">
        <v>0</v>
      </c>
      <c r="AH405">
        <v>7.53</v>
      </c>
      <c r="AI405">
        <v>1</v>
      </c>
      <c r="AJ405">
        <v>1</v>
      </c>
      <c r="AK405">
        <v>1</v>
      </c>
      <c r="AL405">
        <v>24.22</v>
      </c>
      <c r="AN405">
        <v>0</v>
      </c>
      <c r="AO405">
        <v>1</v>
      </c>
      <c r="AP405">
        <v>1</v>
      </c>
      <c r="AQ405">
        <v>0</v>
      </c>
      <c r="AR405">
        <v>0</v>
      </c>
      <c r="AS405" t="s">
        <v>6</v>
      </c>
      <c r="AT405">
        <v>7</v>
      </c>
      <c r="AU405" t="s">
        <v>36</v>
      </c>
      <c r="AV405">
        <v>1</v>
      </c>
      <c r="AW405">
        <v>2</v>
      </c>
      <c r="AX405">
        <v>31029608</v>
      </c>
      <c r="AY405">
        <v>1</v>
      </c>
      <c r="AZ405">
        <v>0</v>
      </c>
      <c r="BA405">
        <v>430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CX405">
        <f>Y405*Source!I225</f>
        <v>3.8639999999999994</v>
      </c>
      <c r="CY405">
        <f>AD405</f>
        <v>182.38</v>
      </c>
      <c r="CZ405">
        <f>AH405</f>
        <v>7.53</v>
      </c>
      <c r="DA405">
        <f>AL405</f>
        <v>24.22</v>
      </c>
      <c r="DB405">
        <f>ROUND((ROUND(AT405*CZ405,2)*ROUND(1.15,7)),6)</f>
        <v>60.616500000000002</v>
      </c>
      <c r="DC405">
        <f>ROUND((ROUND(AT405*AG405,2)*ROUND(1.15,7)),6)</f>
        <v>0</v>
      </c>
    </row>
    <row r="406" spans="1:107">
      <c r="A406">
        <f>ROW(Source!A225)</f>
        <v>225</v>
      </c>
      <c r="B406">
        <v>31028412</v>
      </c>
      <c r="C406">
        <v>31029604</v>
      </c>
      <c r="D406">
        <v>29084573</v>
      </c>
      <c r="E406">
        <v>1</v>
      </c>
      <c r="F406">
        <v>1</v>
      </c>
      <c r="G406">
        <v>1</v>
      </c>
      <c r="H406">
        <v>1</v>
      </c>
      <c r="I406" t="s">
        <v>774</v>
      </c>
      <c r="J406" t="s">
        <v>6</v>
      </c>
      <c r="K406" t="s">
        <v>775</v>
      </c>
      <c r="L406">
        <v>608254</v>
      </c>
      <c r="N406">
        <v>1013</v>
      </c>
      <c r="O406" t="s">
        <v>776</v>
      </c>
      <c r="P406" t="s">
        <v>776</v>
      </c>
      <c r="Q406">
        <v>1</v>
      </c>
      <c r="W406">
        <v>0</v>
      </c>
      <c r="X406">
        <v>95408949</v>
      </c>
      <c r="Y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1</v>
      </c>
      <c r="AJ406">
        <v>1</v>
      </c>
      <c r="AK406">
        <v>24.22</v>
      </c>
      <c r="AL406">
        <v>1</v>
      </c>
      <c r="AN406">
        <v>0</v>
      </c>
      <c r="AO406">
        <v>1</v>
      </c>
      <c r="AP406">
        <v>1</v>
      </c>
      <c r="AQ406">
        <v>0</v>
      </c>
      <c r="AR406">
        <v>0</v>
      </c>
      <c r="AS406" t="s">
        <v>6</v>
      </c>
      <c r="AT406">
        <v>0</v>
      </c>
      <c r="AU406" t="s">
        <v>36</v>
      </c>
      <c r="AV406">
        <v>2</v>
      </c>
      <c r="AW406">
        <v>2</v>
      </c>
      <c r="AX406">
        <v>31029609</v>
      </c>
      <c r="AY406">
        <v>1</v>
      </c>
      <c r="AZ406">
        <v>0</v>
      </c>
      <c r="BA406">
        <v>431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CX406">
        <f>Y406*Source!I225</f>
        <v>0</v>
      </c>
      <c r="CY406">
        <f>AD406</f>
        <v>0</v>
      </c>
      <c r="CZ406">
        <f>AH406</f>
        <v>0</v>
      </c>
      <c r="DA406">
        <f>AL406</f>
        <v>1</v>
      </c>
      <c r="DB406">
        <f>ROUND((ROUND(AT406*CZ406,2)*ROUND(1.15,7)),6)</f>
        <v>0</v>
      </c>
      <c r="DC406">
        <f>ROUND((ROUND(AT406*AG406,2)*ROUND(1.15,7)),6)</f>
        <v>0</v>
      </c>
    </row>
    <row r="407" spans="1:107">
      <c r="A407">
        <f>ROW(Source!A225)</f>
        <v>225</v>
      </c>
      <c r="B407">
        <v>31028412</v>
      </c>
      <c r="C407">
        <v>31029604</v>
      </c>
      <c r="D407">
        <v>29149128</v>
      </c>
      <c r="E407">
        <v>1</v>
      </c>
      <c r="F407">
        <v>1</v>
      </c>
      <c r="G407">
        <v>1</v>
      </c>
      <c r="H407">
        <v>2</v>
      </c>
      <c r="I407" t="s">
        <v>978</v>
      </c>
      <c r="J407" t="s">
        <v>979</v>
      </c>
      <c r="K407" t="s">
        <v>980</v>
      </c>
      <c r="L407">
        <v>1368</v>
      </c>
      <c r="N407">
        <v>1011</v>
      </c>
      <c r="O407" t="s">
        <v>780</v>
      </c>
      <c r="P407" t="s">
        <v>780</v>
      </c>
      <c r="Q407">
        <v>1</v>
      </c>
      <c r="W407">
        <v>0</v>
      </c>
      <c r="X407">
        <v>2058009673</v>
      </c>
      <c r="Y407">
        <v>1.5409999999999999</v>
      </c>
      <c r="AA407">
        <v>0</v>
      </c>
      <c r="AB407">
        <v>47.06</v>
      </c>
      <c r="AC407">
        <v>0</v>
      </c>
      <c r="AD407">
        <v>0</v>
      </c>
      <c r="AE407">
        <v>0</v>
      </c>
      <c r="AF407">
        <v>6.16</v>
      </c>
      <c r="AG407">
        <v>0</v>
      </c>
      <c r="AH407">
        <v>0</v>
      </c>
      <c r="AI407">
        <v>1</v>
      </c>
      <c r="AJ407">
        <v>7.64</v>
      </c>
      <c r="AK407">
        <v>24.22</v>
      </c>
      <c r="AL407">
        <v>1</v>
      </c>
      <c r="AN407">
        <v>0</v>
      </c>
      <c r="AO407">
        <v>1</v>
      </c>
      <c r="AP407">
        <v>1</v>
      </c>
      <c r="AQ407">
        <v>0</v>
      </c>
      <c r="AR407">
        <v>0</v>
      </c>
      <c r="AS407" t="s">
        <v>6</v>
      </c>
      <c r="AT407">
        <v>1.34</v>
      </c>
      <c r="AU407" t="s">
        <v>36</v>
      </c>
      <c r="AV407">
        <v>0</v>
      </c>
      <c r="AW407">
        <v>2</v>
      </c>
      <c r="AX407">
        <v>31029610</v>
      </c>
      <c r="AY407">
        <v>1</v>
      </c>
      <c r="AZ407">
        <v>0</v>
      </c>
      <c r="BA407">
        <v>432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CX407">
        <f>Y407*Source!I225</f>
        <v>0.73967999999999989</v>
      </c>
      <c r="CY407">
        <f>AB407</f>
        <v>47.06</v>
      </c>
      <c r="CZ407">
        <f>AF407</f>
        <v>6.16</v>
      </c>
      <c r="DA407">
        <f>AJ407</f>
        <v>7.64</v>
      </c>
      <c r="DB407">
        <f>ROUND((ROUND(AT407*CZ407,2)*ROUND(1.15,7)),6)</f>
        <v>9.4875000000000007</v>
      </c>
      <c r="DC407">
        <f>ROUND((ROUND(AT407*AG407,2)*ROUND(1.15,7)),6)</f>
        <v>0</v>
      </c>
    </row>
    <row r="408" spans="1:107">
      <c r="A408">
        <f>ROW(Source!A226)</f>
        <v>226</v>
      </c>
      <c r="B408">
        <v>31028412</v>
      </c>
      <c r="C408">
        <v>31029611</v>
      </c>
      <c r="D408">
        <v>29084585</v>
      </c>
      <c r="E408">
        <v>1</v>
      </c>
      <c r="F408">
        <v>1</v>
      </c>
      <c r="G408">
        <v>1</v>
      </c>
      <c r="H408">
        <v>1</v>
      </c>
      <c r="I408" t="s">
        <v>981</v>
      </c>
      <c r="J408" t="s">
        <v>6</v>
      </c>
      <c r="K408" t="s">
        <v>982</v>
      </c>
      <c r="L408">
        <v>1369</v>
      </c>
      <c r="N408">
        <v>1013</v>
      </c>
      <c r="O408" t="s">
        <v>773</v>
      </c>
      <c r="P408" t="s">
        <v>773</v>
      </c>
      <c r="Q408">
        <v>1</v>
      </c>
      <c r="W408">
        <v>0</v>
      </c>
      <c r="X408">
        <v>-539011324</v>
      </c>
      <c r="Y408">
        <v>29.756249999999994</v>
      </c>
      <c r="AA408">
        <v>0</v>
      </c>
      <c r="AB408">
        <v>0</v>
      </c>
      <c r="AC408">
        <v>0</v>
      </c>
      <c r="AD408">
        <v>195.94</v>
      </c>
      <c r="AE408">
        <v>0</v>
      </c>
      <c r="AF408">
        <v>0</v>
      </c>
      <c r="AG408">
        <v>0</v>
      </c>
      <c r="AH408">
        <v>8.09</v>
      </c>
      <c r="AI408">
        <v>1</v>
      </c>
      <c r="AJ408">
        <v>1</v>
      </c>
      <c r="AK408">
        <v>1</v>
      </c>
      <c r="AL408">
        <v>24.22</v>
      </c>
      <c r="AN408">
        <v>0</v>
      </c>
      <c r="AO408">
        <v>1</v>
      </c>
      <c r="AP408">
        <v>1</v>
      </c>
      <c r="AQ408">
        <v>0</v>
      </c>
      <c r="AR408">
        <v>0</v>
      </c>
      <c r="AS408" t="s">
        <v>6</v>
      </c>
      <c r="AT408">
        <v>22.5</v>
      </c>
      <c r="AU408" t="s">
        <v>127</v>
      </c>
      <c r="AV408">
        <v>1</v>
      </c>
      <c r="AW408">
        <v>2</v>
      </c>
      <c r="AX408">
        <v>31029625</v>
      </c>
      <c r="AY408">
        <v>1</v>
      </c>
      <c r="AZ408">
        <v>0</v>
      </c>
      <c r="BA408">
        <v>433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CX408">
        <f>Y408*Source!I226</f>
        <v>684.39374999999984</v>
      </c>
      <c r="CY408">
        <f>AD408</f>
        <v>195.94</v>
      </c>
      <c r="CZ408">
        <f>AH408</f>
        <v>8.09</v>
      </c>
      <c r="DA408">
        <f>AL408</f>
        <v>24.22</v>
      </c>
      <c r="DB408">
        <f>ROUND((ROUND(AT408*CZ408,2)*ROUND((1.15*1.15),7)),6)</f>
        <v>240.73467500000001</v>
      </c>
      <c r="DC408">
        <f>ROUND((ROUND(AT408*AG408,2)*ROUND((1.15*1.15),7)),6)</f>
        <v>0</v>
      </c>
    </row>
    <row r="409" spans="1:107">
      <c r="A409">
        <f>ROW(Source!A226)</f>
        <v>226</v>
      </c>
      <c r="B409">
        <v>31028412</v>
      </c>
      <c r="C409">
        <v>31029611</v>
      </c>
      <c r="D409">
        <v>29149183</v>
      </c>
      <c r="E409">
        <v>1</v>
      </c>
      <c r="F409">
        <v>1</v>
      </c>
      <c r="G409">
        <v>1</v>
      </c>
      <c r="H409">
        <v>2</v>
      </c>
      <c r="I409" t="s">
        <v>983</v>
      </c>
      <c r="J409" t="s">
        <v>984</v>
      </c>
      <c r="K409" t="s">
        <v>985</v>
      </c>
      <c r="L409">
        <v>1368</v>
      </c>
      <c r="N409">
        <v>1011</v>
      </c>
      <c r="O409" t="s">
        <v>780</v>
      </c>
      <c r="P409" t="s">
        <v>780</v>
      </c>
      <c r="Q409">
        <v>1</v>
      </c>
      <c r="W409">
        <v>0</v>
      </c>
      <c r="X409">
        <v>825056910</v>
      </c>
      <c r="Y409">
        <v>0.330625</v>
      </c>
      <c r="AA409">
        <v>0</v>
      </c>
      <c r="AB409">
        <v>14.9</v>
      </c>
      <c r="AC409">
        <v>0</v>
      </c>
      <c r="AD409">
        <v>0</v>
      </c>
      <c r="AE409">
        <v>0</v>
      </c>
      <c r="AF409">
        <v>1.95</v>
      </c>
      <c r="AG409">
        <v>0</v>
      </c>
      <c r="AH409">
        <v>0</v>
      </c>
      <c r="AI409">
        <v>1</v>
      </c>
      <c r="AJ409">
        <v>7.64</v>
      </c>
      <c r="AK409">
        <v>24.22</v>
      </c>
      <c r="AL409">
        <v>1</v>
      </c>
      <c r="AN409">
        <v>0</v>
      </c>
      <c r="AO409">
        <v>1</v>
      </c>
      <c r="AP409">
        <v>1</v>
      </c>
      <c r="AQ409">
        <v>0</v>
      </c>
      <c r="AR409">
        <v>0</v>
      </c>
      <c r="AS409" t="s">
        <v>6</v>
      </c>
      <c r="AT409">
        <v>0.23</v>
      </c>
      <c r="AU409" t="s">
        <v>126</v>
      </c>
      <c r="AV409">
        <v>0</v>
      </c>
      <c r="AW409">
        <v>2</v>
      </c>
      <c r="AX409">
        <v>31029626</v>
      </c>
      <c r="AY409">
        <v>1</v>
      </c>
      <c r="AZ409">
        <v>0</v>
      </c>
      <c r="BA409">
        <v>434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CX409">
        <f>Y409*Source!I226</f>
        <v>7.6043750000000001</v>
      </c>
      <c r="CY409">
        <f>AB409</f>
        <v>14.9</v>
      </c>
      <c r="CZ409">
        <f>AF409</f>
        <v>1.95</v>
      </c>
      <c r="DA409">
        <f>AJ409</f>
        <v>7.64</v>
      </c>
      <c r="DB409">
        <f>ROUND((ROUND(AT409*CZ409,2)*ROUND((1.25*1.15),7)),6)</f>
        <v>0.64687499999999998</v>
      </c>
      <c r="DC409">
        <f>ROUND((ROUND(AT409*AG409,2)*ROUND((1.25*1.15),7)),6)</f>
        <v>0</v>
      </c>
    </row>
    <row r="410" spans="1:107">
      <c r="A410">
        <f>ROW(Source!A226)</f>
        <v>226</v>
      </c>
      <c r="B410">
        <v>31028412</v>
      </c>
      <c r="C410">
        <v>31029611</v>
      </c>
      <c r="D410">
        <v>29149262</v>
      </c>
      <c r="E410">
        <v>1</v>
      </c>
      <c r="F410">
        <v>1</v>
      </c>
      <c r="G410">
        <v>1</v>
      </c>
      <c r="H410">
        <v>2</v>
      </c>
      <c r="I410" t="s">
        <v>986</v>
      </c>
      <c r="J410" t="s">
        <v>987</v>
      </c>
      <c r="K410" t="s">
        <v>988</v>
      </c>
      <c r="L410">
        <v>1368</v>
      </c>
      <c r="N410">
        <v>1011</v>
      </c>
      <c r="O410" t="s">
        <v>780</v>
      </c>
      <c r="P410" t="s">
        <v>780</v>
      </c>
      <c r="Q410">
        <v>1</v>
      </c>
      <c r="W410">
        <v>0</v>
      </c>
      <c r="X410">
        <v>1603202925</v>
      </c>
      <c r="Y410">
        <v>0.47437499999999999</v>
      </c>
      <c r="AA410">
        <v>0</v>
      </c>
      <c r="AB410">
        <v>37.21</v>
      </c>
      <c r="AC410">
        <v>0</v>
      </c>
      <c r="AD410">
        <v>0</v>
      </c>
      <c r="AE410">
        <v>0</v>
      </c>
      <c r="AF410">
        <v>4.87</v>
      </c>
      <c r="AG410">
        <v>0</v>
      </c>
      <c r="AH410">
        <v>0</v>
      </c>
      <c r="AI410">
        <v>1</v>
      </c>
      <c r="AJ410">
        <v>7.64</v>
      </c>
      <c r="AK410">
        <v>24.22</v>
      </c>
      <c r="AL410">
        <v>1</v>
      </c>
      <c r="AN410">
        <v>0</v>
      </c>
      <c r="AO410">
        <v>1</v>
      </c>
      <c r="AP410">
        <v>1</v>
      </c>
      <c r="AQ410">
        <v>0</v>
      </c>
      <c r="AR410">
        <v>0</v>
      </c>
      <c r="AS410" t="s">
        <v>6</v>
      </c>
      <c r="AT410">
        <v>0.33</v>
      </c>
      <c r="AU410" t="s">
        <v>126</v>
      </c>
      <c r="AV410">
        <v>0</v>
      </c>
      <c r="AW410">
        <v>2</v>
      </c>
      <c r="AX410">
        <v>31029627</v>
      </c>
      <c r="AY410">
        <v>1</v>
      </c>
      <c r="AZ410">
        <v>0</v>
      </c>
      <c r="BA410">
        <v>435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CX410">
        <f>Y410*Source!I226</f>
        <v>10.910625</v>
      </c>
      <c r="CY410">
        <f>AB410</f>
        <v>37.21</v>
      </c>
      <c r="CZ410">
        <f>AF410</f>
        <v>4.87</v>
      </c>
      <c r="DA410">
        <f>AJ410</f>
        <v>7.64</v>
      </c>
      <c r="DB410">
        <f>ROUND((ROUND(AT410*CZ410,2)*ROUND((1.25*1.15),7)),6)</f>
        <v>2.3143750000000001</v>
      </c>
      <c r="DC410">
        <f>ROUND((ROUND(AT410*AG410,2)*ROUND((1.25*1.15),7)),6)</f>
        <v>0</v>
      </c>
    </row>
    <row r="411" spans="1:107">
      <c r="A411">
        <f>ROW(Source!A226)</f>
        <v>226</v>
      </c>
      <c r="B411">
        <v>31028412</v>
      </c>
      <c r="C411">
        <v>31029611</v>
      </c>
      <c r="D411">
        <v>29149520</v>
      </c>
      <c r="E411">
        <v>1</v>
      </c>
      <c r="F411">
        <v>1</v>
      </c>
      <c r="G411">
        <v>1</v>
      </c>
      <c r="H411">
        <v>2</v>
      </c>
      <c r="I411" t="s">
        <v>790</v>
      </c>
      <c r="J411" t="s">
        <v>791</v>
      </c>
      <c r="K411" t="s">
        <v>792</v>
      </c>
      <c r="L411">
        <v>1368</v>
      </c>
      <c r="N411">
        <v>1011</v>
      </c>
      <c r="O411" t="s">
        <v>780</v>
      </c>
      <c r="P411" t="s">
        <v>780</v>
      </c>
      <c r="Q411">
        <v>1</v>
      </c>
      <c r="W411">
        <v>0</v>
      </c>
      <c r="X411">
        <v>-1931461795</v>
      </c>
      <c r="Y411">
        <v>0.51749999999999996</v>
      </c>
      <c r="AA411">
        <v>0</v>
      </c>
      <c r="AB411">
        <v>699.98</v>
      </c>
      <c r="AC411">
        <v>0</v>
      </c>
      <c r="AD411">
        <v>0</v>
      </c>
      <c r="AE411">
        <v>0</v>
      </c>
      <c r="AF411">
        <v>91.62</v>
      </c>
      <c r="AG411">
        <v>0</v>
      </c>
      <c r="AH411">
        <v>0</v>
      </c>
      <c r="AI411">
        <v>1</v>
      </c>
      <c r="AJ411">
        <v>7.64</v>
      </c>
      <c r="AK411">
        <v>24.22</v>
      </c>
      <c r="AL411">
        <v>1</v>
      </c>
      <c r="AN411">
        <v>0</v>
      </c>
      <c r="AO411">
        <v>1</v>
      </c>
      <c r="AP411">
        <v>1</v>
      </c>
      <c r="AQ411">
        <v>0</v>
      </c>
      <c r="AR411">
        <v>0</v>
      </c>
      <c r="AS411" t="s">
        <v>6</v>
      </c>
      <c r="AT411">
        <v>0.36</v>
      </c>
      <c r="AU411" t="s">
        <v>126</v>
      </c>
      <c r="AV411">
        <v>0</v>
      </c>
      <c r="AW411">
        <v>2</v>
      </c>
      <c r="AX411">
        <v>31029628</v>
      </c>
      <c r="AY411">
        <v>1</v>
      </c>
      <c r="AZ411">
        <v>0</v>
      </c>
      <c r="BA411">
        <v>436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CX411">
        <f>Y411*Source!I226</f>
        <v>11.9025</v>
      </c>
      <c r="CY411">
        <f>AB411</f>
        <v>699.98</v>
      </c>
      <c r="CZ411">
        <f>AF411</f>
        <v>91.62</v>
      </c>
      <c r="DA411">
        <f>AJ411</f>
        <v>7.64</v>
      </c>
      <c r="DB411">
        <f>ROUND((ROUND(AT411*CZ411,2)*ROUND((1.25*1.15),7)),6)</f>
        <v>47.408749999999998</v>
      </c>
      <c r="DC411">
        <f>ROUND((ROUND(AT411*AG411,2)*ROUND((1.25*1.15),7)),6)</f>
        <v>0</v>
      </c>
    </row>
    <row r="412" spans="1:107">
      <c r="A412">
        <f>ROW(Source!A226)</f>
        <v>226</v>
      </c>
      <c r="B412">
        <v>31028412</v>
      </c>
      <c r="C412">
        <v>31029611</v>
      </c>
      <c r="D412">
        <v>29151128</v>
      </c>
      <c r="E412">
        <v>1</v>
      </c>
      <c r="F412">
        <v>1</v>
      </c>
      <c r="G412">
        <v>1</v>
      </c>
      <c r="H412">
        <v>3</v>
      </c>
      <c r="I412" t="s">
        <v>989</v>
      </c>
      <c r="J412" t="s">
        <v>990</v>
      </c>
      <c r="K412" t="s">
        <v>991</v>
      </c>
      <c r="L412">
        <v>1348</v>
      </c>
      <c r="N412">
        <v>1009</v>
      </c>
      <c r="O412" t="s">
        <v>137</v>
      </c>
      <c r="P412" t="s">
        <v>137</v>
      </c>
      <c r="Q412">
        <v>1000</v>
      </c>
      <c r="W412">
        <v>0</v>
      </c>
      <c r="X412">
        <v>1053758347</v>
      </c>
      <c r="Y412">
        <v>3.0999999999999999E-3</v>
      </c>
      <c r="AA412">
        <v>40116.6</v>
      </c>
      <c r="AB412">
        <v>0</v>
      </c>
      <c r="AC412">
        <v>0</v>
      </c>
      <c r="AD412">
        <v>0</v>
      </c>
      <c r="AE412">
        <v>6501.88</v>
      </c>
      <c r="AF412">
        <v>0</v>
      </c>
      <c r="AG412">
        <v>0</v>
      </c>
      <c r="AH412">
        <v>0</v>
      </c>
      <c r="AI412">
        <v>6.17</v>
      </c>
      <c r="AJ412">
        <v>1</v>
      </c>
      <c r="AK412">
        <v>1</v>
      </c>
      <c r="AL412">
        <v>1</v>
      </c>
      <c r="AN412">
        <v>0</v>
      </c>
      <c r="AO412">
        <v>1</v>
      </c>
      <c r="AP412">
        <v>0</v>
      </c>
      <c r="AQ412">
        <v>0</v>
      </c>
      <c r="AR412">
        <v>0</v>
      </c>
      <c r="AS412" t="s">
        <v>6</v>
      </c>
      <c r="AT412">
        <v>3.0999999999999999E-3</v>
      </c>
      <c r="AU412" t="s">
        <v>6</v>
      </c>
      <c r="AV412">
        <v>0</v>
      </c>
      <c r="AW412">
        <v>2</v>
      </c>
      <c r="AX412">
        <v>31029629</v>
      </c>
      <c r="AY412">
        <v>1</v>
      </c>
      <c r="AZ412">
        <v>0</v>
      </c>
      <c r="BA412">
        <v>437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CX412">
        <f>Y412*Source!I226</f>
        <v>7.1300000000000002E-2</v>
      </c>
      <c r="CY412">
        <f t="shared" ref="CY412:CY420" si="71">AA412</f>
        <v>40116.6</v>
      </c>
      <c r="CZ412">
        <f t="shared" ref="CZ412:CZ420" si="72">AE412</f>
        <v>6501.88</v>
      </c>
      <c r="DA412">
        <f t="shared" ref="DA412:DA420" si="73">AI412</f>
        <v>6.17</v>
      </c>
      <c r="DB412">
        <f t="shared" ref="DB412:DB420" si="74">ROUND(ROUND(AT412*CZ412,2),6)</f>
        <v>20.16</v>
      </c>
      <c r="DC412">
        <f t="shared" ref="DC412:DC420" si="75">ROUND(ROUND(AT412*AG412,2),6)</f>
        <v>0</v>
      </c>
    </row>
    <row r="413" spans="1:107">
      <c r="A413">
        <f>ROW(Source!A226)</f>
        <v>226</v>
      </c>
      <c r="B413">
        <v>31028412</v>
      </c>
      <c r="C413">
        <v>31029611</v>
      </c>
      <c r="D413">
        <v>29151859</v>
      </c>
      <c r="E413">
        <v>1</v>
      </c>
      <c r="F413">
        <v>1</v>
      </c>
      <c r="G413">
        <v>1</v>
      </c>
      <c r="H413">
        <v>3</v>
      </c>
      <c r="I413" t="s">
        <v>799</v>
      </c>
      <c r="J413" t="s">
        <v>800</v>
      </c>
      <c r="K413" t="s">
        <v>801</v>
      </c>
      <c r="L413">
        <v>1348</v>
      </c>
      <c r="N413">
        <v>1009</v>
      </c>
      <c r="O413" t="s">
        <v>137</v>
      </c>
      <c r="P413" t="s">
        <v>137</v>
      </c>
      <c r="Q413">
        <v>1000</v>
      </c>
      <c r="W413">
        <v>0</v>
      </c>
      <c r="X413">
        <v>-1890625626</v>
      </c>
      <c r="Y413">
        <v>2.5799999999999998E-3</v>
      </c>
      <c r="AA413">
        <v>7501.49</v>
      </c>
      <c r="AB413">
        <v>0</v>
      </c>
      <c r="AC413">
        <v>0</v>
      </c>
      <c r="AD413">
        <v>0</v>
      </c>
      <c r="AE413">
        <v>1215.8</v>
      </c>
      <c r="AF413">
        <v>0</v>
      </c>
      <c r="AG413">
        <v>0</v>
      </c>
      <c r="AH413">
        <v>0</v>
      </c>
      <c r="AI413">
        <v>6.17</v>
      </c>
      <c r="AJ413">
        <v>1</v>
      </c>
      <c r="AK413">
        <v>1</v>
      </c>
      <c r="AL413">
        <v>1</v>
      </c>
      <c r="AN413">
        <v>0</v>
      </c>
      <c r="AO413">
        <v>1</v>
      </c>
      <c r="AP413">
        <v>0</v>
      </c>
      <c r="AQ413">
        <v>0</v>
      </c>
      <c r="AR413">
        <v>0</v>
      </c>
      <c r="AS413" t="s">
        <v>6</v>
      </c>
      <c r="AT413">
        <v>2.5799999999999998E-3</v>
      </c>
      <c r="AU413" t="s">
        <v>6</v>
      </c>
      <c r="AV413">
        <v>0</v>
      </c>
      <c r="AW413">
        <v>2</v>
      </c>
      <c r="AX413">
        <v>31029630</v>
      </c>
      <c r="AY413">
        <v>1</v>
      </c>
      <c r="AZ413">
        <v>0</v>
      </c>
      <c r="BA413">
        <v>438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CX413">
        <f>Y413*Source!I226</f>
        <v>5.9339999999999997E-2</v>
      </c>
      <c r="CY413">
        <f t="shared" si="71"/>
        <v>7501.49</v>
      </c>
      <c r="CZ413">
        <f t="shared" si="72"/>
        <v>1215.8</v>
      </c>
      <c r="DA413">
        <f t="shared" si="73"/>
        <v>6.17</v>
      </c>
      <c r="DB413">
        <f t="shared" si="74"/>
        <v>3.14</v>
      </c>
      <c r="DC413">
        <f t="shared" si="75"/>
        <v>0</v>
      </c>
    </row>
    <row r="414" spans="1:107">
      <c r="A414">
        <f>ROW(Source!A226)</f>
        <v>226</v>
      </c>
      <c r="B414">
        <v>31028412</v>
      </c>
      <c r="C414">
        <v>31029611</v>
      </c>
      <c r="D414">
        <v>29151973</v>
      </c>
      <c r="E414">
        <v>1</v>
      </c>
      <c r="F414">
        <v>1</v>
      </c>
      <c r="G414">
        <v>1</v>
      </c>
      <c r="H414">
        <v>3</v>
      </c>
      <c r="I414" t="s">
        <v>992</v>
      </c>
      <c r="J414" t="s">
        <v>993</v>
      </c>
      <c r="K414" t="s">
        <v>994</v>
      </c>
      <c r="L414">
        <v>1348</v>
      </c>
      <c r="N414">
        <v>1009</v>
      </c>
      <c r="O414" t="s">
        <v>137</v>
      </c>
      <c r="P414" t="s">
        <v>137</v>
      </c>
      <c r="Q414">
        <v>1000</v>
      </c>
      <c r="W414">
        <v>0</v>
      </c>
      <c r="X414">
        <v>-1571362654</v>
      </c>
      <c r="Y414">
        <v>7.4999999999999997E-3</v>
      </c>
      <c r="AA414">
        <v>60618.400000000001</v>
      </c>
      <c r="AB414">
        <v>0</v>
      </c>
      <c r="AC414">
        <v>0</v>
      </c>
      <c r="AD414">
        <v>0</v>
      </c>
      <c r="AE414">
        <v>9824.7000000000007</v>
      </c>
      <c r="AF414">
        <v>0</v>
      </c>
      <c r="AG414">
        <v>0</v>
      </c>
      <c r="AH414">
        <v>0</v>
      </c>
      <c r="AI414">
        <v>6.17</v>
      </c>
      <c r="AJ414">
        <v>1</v>
      </c>
      <c r="AK414">
        <v>1</v>
      </c>
      <c r="AL414">
        <v>1</v>
      </c>
      <c r="AN414">
        <v>0</v>
      </c>
      <c r="AO414">
        <v>1</v>
      </c>
      <c r="AP414">
        <v>0</v>
      </c>
      <c r="AQ414">
        <v>0</v>
      </c>
      <c r="AR414">
        <v>0</v>
      </c>
      <c r="AS414" t="s">
        <v>6</v>
      </c>
      <c r="AT414">
        <v>7.4999999999999997E-3</v>
      </c>
      <c r="AU414" t="s">
        <v>6</v>
      </c>
      <c r="AV414">
        <v>0</v>
      </c>
      <c r="AW414">
        <v>2</v>
      </c>
      <c r="AX414">
        <v>31029631</v>
      </c>
      <c r="AY414">
        <v>1</v>
      </c>
      <c r="AZ414">
        <v>0</v>
      </c>
      <c r="BA414">
        <v>439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CX414">
        <f>Y414*Source!I226</f>
        <v>0.17249999999999999</v>
      </c>
      <c r="CY414">
        <f t="shared" si="71"/>
        <v>60618.400000000001</v>
      </c>
      <c r="CZ414">
        <f t="shared" si="72"/>
        <v>9824.7000000000007</v>
      </c>
      <c r="DA414">
        <f t="shared" si="73"/>
        <v>6.17</v>
      </c>
      <c r="DB414">
        <f t="shared" si="74"/>
        <v>73.69</v>
      </c>
      <c r="DC414">
        <f t="shared" si="75"/>
        <v>0</v>
      </c>
    </row>
    <row r="415" spans="1:107">
      <c r="A415">
        <f>ROW(Source!A226)</f>
        <v>226</v>
      </c>
      <c r="B415">
        <v>31028412</v>
      </c>
      <c r="C415">
        <v>31029611</v>
      </c>
      <c r="D415">
        <v>29151997</v>
      </c>
      <c r="E415">
        <v>1</v>
      </c>
      <c r="F415">
        <v>1</v>
      </c>
      <c r="G415">
        <v>1</v>
      </c>
      <c r="H415">
        <v>3</v>
      </c>
      <c r="I415" t="s">
        <v>802</v>
      </c>
      <c r="J415" t="s">
        <v>803</v>
      </c>
      <c r="K415" t="s">
        <v>804</v>
      </c>
      <c r="L415">
        <v>1327</v>
      </c>
      <c r="N415">
        <v>1005</v>
      </c>
      <c r="O415" t="s">
        <v>284</v>
      </c>
      <c r="P415" t="s">
        <v>284</v>
      </c>
      <c r="Q415">
        <v>1</v>
      </c>
      <c r="W415">
        <v>0</v>
      </c>
      <c r="X415">
        <v>1834989622</v>
      </c>
      <c r="Y415">
        <v>1.45</v>
      </c>
      <c r="AA415">
        <v>38.07</v>
      </c>
      <c r="AB415">
        <v>0</v>
      </c>
      <c r="AC415">
        <v>0</v>
      </c>
      <c r="AD415">
        <v>0</v>
      </c>
      <c r="AE415">
        <v>6.17</v>
      </c>
      <c r="AF415">
        <v>0</v>
      </c>
      <c r="AG415">
        <v>0</v>
      </c>
      <c r="AH415">
        <v>0</v>
      </c>
      <c r="AI415">
        <v>6.17</v>
      </c>
      <c r="AJ415">
        <v>1</v>
      </c>
      <c r="AK415">
        <v>1</v>
      </c>
      <c r="AL415">
        <v>1</v>
      </c>
      <c r="AN415">
        <v>0</v>
      </c>
      <c r="AO415">
        <v>1</v>
      </c>
      <c r="AP415">
        <v>0</v>
      </c>
      <c r="AQ415">
        <v>0</v>
      </c>
      <c r="AR415">
        <v>0</v>
      </c>
      <c r="AS415" t="s">
        <v>6</v>
      </c>
      <c r="AT415">
        <v>1.45</v>
      </c>
      <c r="AU415" t="s">
        <v>6</v>
      </c>
      <c r="AV415">
        <v>0</v>
      </c>
      <c r="AW415">
        <v>2</v>
      </c>
      <c r="AX415">
        <v>31029632</v>
      </c>
      <c r="AY415">
        <v>1</v>
      </c>
      <c r="AZ415">
        <v>0</v>
      </c>
      <c r="BA415">
        <v>440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CX415">
        <f>Y415*Source!I226</f>
        <v>33.35</v>
      </c>
      <c r="CY415">
        <f t="shared" si="71"/>
        <v>38.07</v>
      </c>
      <c r="CZ415">
        <f t="shared" si="72"/>
        <v>6.17</v>
      </c>
      <c r="DA415">
        <f t="shared" si="73"/>
        <v>6.17</v>
      </c>
      <c r="DB415">
        <f t="shared" si="74"/>
        <v>8.9499999999999993</v>
      </c>
      <c r="DC415">
        <f t="shared" si="75"/>
        <v>0</v>
      </c>
    </row>
    <row r="416" spans="1:107">
      <c r="A416">
        <f>ROW(Source!A226)</f>
        <v>226</v>
      </c>
      <c r="B416">
        <v>31028412</v>
      </c>
      <c r="C416">
        <v>31029611</v>
      </c>
      <c r="D416">
        <v>29152054</v>
      </c>
      <c r="E416">
        <v>1</v>
      </c>
      <c r="F416">
        <v>1</v>
      </c>
      <c r="G416">
        <v>1</v>
      </c>
      <c r="H416">
        <v>3</v>
      </c>
      <c r="I416" t="s">
        <v>805</v>
      </c>
      <c r="J416" t="s">
        <v>806</v>
      </c>
      <c r="K416" t="s">
        <v>807</v>
      </c>
      <c r="L416">
        <v>1348</v>
      </c>
      <c r="N416">
        <v>1009</v>
      </c>
      <c r="O416" t="s">
        <v>137</v>
      </c>
      <c r="P416" t="s">
        <v>137</v>
      </c>
      <c r="Q416">
        <v>1000</v>
      </c>
      <c r="W416">
        <v>0</v>
      </c>
      <c r="X416">
        <v>-444487765</v>
      </c>
      <c r="Y416">
        <v>3.0000000000000001E-3</v>
      </c>
      <c r="AA416">
        <v>62829.11</v>
      </c>
      <c r="AB416">
        <v>0</v>
      </c>
      <c r="AC416">
        <v>0</v>
      </c>
      <c r="AD416">
        <v>0</v>
      </c>
      <c r="AE416">
        <v>10183</v>
      </c>
      <c r="AF416">
        <v>0</v>
      </c>
      <c r="AG416">
        <v>0</v>
      </c>
      <c r="AH416">
        <v>0</v>
      </c>
      <c r="AI416">
        <v>6.17</v>
      </c>
      <c r="AJ416">
        <v>1</v>
      </c>
      <c r="AK416">
        <v>1</v>
      </c>
      <c r="AL416">
        <v>1</v>
      </c>
      <c r="AN416">
        <v>0</v>
      </c>
      <c r="AO416">
        <v>1</v>
      </c>
      <c r="AP416">
        <v>0</v>
      </c>
      <c r="AQ416">
        <v>0</v>
      </c>
      <c r="AR416">
        <v>0</v>
      </c>
      <c r="AS416" t="s">
        <v>6</v>
      </c>
      <c r="AT416">
        <v>3.0000000000000001E-3</v>
      </c>
      <c r="AU416" t="s">
        <v>6</v>
      </c>
      <c r="AV416">
        <v>0</v>
      </c>
      <c r="AW416">
        <v>2</v>
      </c>
      <c r="AX416">
        <v>31029633</v>
      </c>
      <c r="AY416">
        <v>1</v>
      </c>
      <c r="AZ416">
        <v>0</v>
      </c>
      <c r="BA416">
        <v>441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CX416">
        <f>Y416*Source!I226</f>
        <v>6.9000000000000006E-2</v>
      </c>
      <c r="CY416">
        <f t="shared" si="71"/>
        <v>62829.11</v>
      </c>
      <c r="CZ416">
        <f t="shared" si="72"/>
        <v>10183</v>
      </c>
      <c r="DA416">
        <f t="shared" si="73"/>
        <v>6.17</v>
      </c>
      <c r="DB416">
        <f t="shared" si="74"/>
        <v>30.55</v>
      </c>
      <c r="DC416">
        <f t="shared" si="75"/>
        <v>0</v>
      </c>
    </row>
    <row r="417" spans="1:107">
      <c r="A417">
        <f>ROW(Source!A226)</f>
        <v>226</v>
      </c>
      <c r="B417">
        <v>31028412</v>
      </c>
      <c r="C417">
        <v>31029611</v>
      </c>
      <c r="D417">
        <v>29158140</v>
      </c>
      <c r="E417">
        <v>1</v>
      </c>
      <c r="F417">
        <v>1</v>
      </c>
      <c r="G417">
        <v>1</v>
      </c>
      <c r="H417">
        <v>3</v>
      </c>
      <c r="I417" t="s">
        <v>995</v>
      </c>
      <c r="J417" t="s">
        <v>996</v>
      </c>
      <c r="K417" t="s">
        <v>997</v>
      </c>
      <c r="L417">
        <v>1339</v>
      </c>
      <c r="N417">
        <v>1007</v>
      </c>
      <c r="O417" t="s">
        <v>109</v>
      </c>
      <c r="P417" t="s">
        <v>109</v>
      </c>
      <c r="Q417">
        <v>1</v>
      </c>
      <c r="W417">
        <v>0</v>
      </c>
      <c r="X417">
        <v>744543659</v>
      </c>
      <c r="Y417">
        <v>0.93</v>
      </c>
      <c r="AA417">
        <v>10099.06</v>
      </c>
      <c r="AB417">
        <v>0</v>
      </c>
      <c r="AC417">
        <v>0</v>
      </c>
      <c r="AD417">
        <v>0</v>
      </c>
      <c r="AE417">
        <v>1636.8</v>
      </c>
      <c r="AF417">
        <v>0</v>
      </c>
      <c r="AG417">
        <v>0</v>
      </c>
      <c r="AH417">
        <v>0</v>
      </c>
      <c r="AI417">
        <v>6.17</v>
      </c>
      <c r="AJ417">
        <v>1</v>
      </c>
      <c r="AK417">
        <v>1</v>
      </c>
      <c r="AL417">
        <v>1</v>
      </c>
      <c r="AN417">
        <v>0</v>
      </c>
      <c r="AO417">
        <v>1</v>
      </c>
      <c r="AP417">
        <v>0</v>
      </c>
      <c r="AQ417">
        <v>0</v>
      </c>
      <c r="AR417">
        <v>0</v>
      </c>
      <c r="AS417" t="s">
        <v>6</v>
      </c>
      <c r="AT417">
        <v>0.93</v>
      </c>
      <c r="AU417" t="s">
        <v>6</v>
      </c>
      <c r="AV417">
        <v>0</v>
      </c>
      <c r="AW417">
        <v>2</v>
      </c>
      <c r="AX417">
        <v>31029634</v>
      </c>
      <c r="AY417">
        <v>1</v>
      </c>
      <c r="AZ417">
        <v>0</v>
      </c>
      <c r="BA417">
        <v>442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CX417">
        <f>Y417*Source!I226</f>
        <v>21.39</v>
      </c>
      <c r="CY417">
        <f t="shared" si="71"/>
        <v>10099.06</v>
      </c>
      <c r="CZ417">
        <f t="shared" si="72"/>
        <v>1636.8</v>
      </c>
      <c r="DA417">
        <f t="shared" si="73"/>
        <v>6.17</v>
      </c>
      <c r="DB417">
        <f t="shared" si="74"/>
        <v>1522.22</v>
      </c>
      <c r="DC417">
        <f t="shared" si="75"/>
        <v>0</v>
      </c>
    </row>
    <row r="418" spans="1:107">
      <c r="A418">
        <f>ROW(Source!A226)</f>
        <v>226</v>
      </c>
      <c r="B418">
        <v>31028412</v>
      </c>
      <c r="C418">
        <v>31029611</v>
      </c>
      <c r="D418">
        <v>29158172</v>
      </c>
      <c r="E418">
        <v>1</v>
      </c>
      <c r="F418">
        <v>1</v>
      </c>
      <c r="G418">
        <v>1</v>
      </c>
      <c r="H418">
        <v>3</v>
      </c>
      <c r="I418" t="s">
        <v>998</v>
      </c>
      <c r="J418" t="s">
        <v>999</v>
      </c>
      <c r="K418" t="s">
        <v>1000</v>
      </c>
      <c r="L418">
        <v>1339</v>
      </c>
      <c r="N418">
        <v>1007</v>
      </c>
      <c r="O418" t="s">
        <v>109</v>
      </c>
      <c r="P418" t="s">
        <v>109</v>
      </c>
      <c r="Q418">
        <v>1</v>
      </c>
      <c r="W418">
        <v>0</v>
      </c>
      <c r="X418">
        <v>323565473</v>
      </c>
      <c r="Y418">
        <v>0.12</v>
      </c>
      <c r="AA418">
        <v>6326.72</v>
      </c>
      <c r="AB418">
        <v>0</v>
      </c>
      <c r="AC418">
        <v>0</v>
      </c>
      <c r="AD418">
        <v>0</v>
      </c>
      <c r="AE418">
        <v>1025.4000000000001</v>
      </c>
      <c r="AF418">
        <v>0</v>
      </c>
      <c r="AG418">
        <v>0</v>
      </c>
      <c r="AH418">
        <v>0</v>
      </c>
      <c r="AI418">
        <v>6.17</v>
      </c>
      <c r="AJ418">
        <v>1</v>
      </c>
      <c r="AK418">
        <v>1</v>
      </c>
      <c r="AL418">
        <v>1</v>
      </c>
      <c r="AN418">
        <v>0</v>
      </c>
      <c r="AO418">
        <v>1</v>
      </c>
      <c r="AP418">
        <v>0</v>
      </c>
      <c r="AQ418">
        <v>0</v>
      </c>
      <c r="AR418">
        <v>0</v>
      </c>
      <c r="AS418" t="s">
        <v>6</v>
      </c>
      <c r="AT418">
        <v>0.12</v>
      </c>
      <c r="AU418" t="s">
        <v>6</v>
      </c>
      <c r="AV418">
        <v>0</v>
      </c>
      <c r="AW418">
        <v>2</v>
      </c>
      <c r="AX418">
        <v>31029635</v>
      </c>
      <c r="AY418">
        <v>1</v>
      </c>
      <c r="AZ418">
        <v>0</v>
      </c>
      <c r="BA418">
        <v>443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CX418">
        <f>Y418*Source!I226</f>
        <v>2.76</v>
      </c>
      <c r="CY418">
        <f t="shared" si="71"/>
        <v>6326.72</v>
      </c>
      <c r="CZ418">
        <f t="shared" si="72"/>
        <v>1025.4000000000001</v>
      </c>
      <c r="DA418">
        <f t="shared" si="73"/>
        <v>6.17</v>
      </c>
      <c r="DB418">
        <f t="shared" si="74"/>
        <v>123.05</v>
      </c>
      <c r="DC418">
        <f t="shared" si="75"/>
        <v>0</v>
      </c>
    </row>
    <row r="419" spans="1:107">
      <c r="A419">
        <f>ROW(Source!A226)</f>
        <v>226</v>
      </c>
      <c r="B419">
        <v>31028412</v>
      </c>
      <c r="C419">
        <v>31029611</v>
      </c>
      <c r="D419">
        <v>29158189</v>
      </c>
      <c r="E419">
        <v>1</v>
      </c>
      <c r="F419">
        <v>1</v>
      </c>
      <c r="G419">
        <v>1</v>
      </c>
      <c r="H419">
        <v>3</v>
      </c>
      <c r="I419" t="s">
        <v>1001</v>
      </c>
      <c r="J419" t="s">
        <v>1002</v>
      </c>
      <c r="K419" t="s">
        <v>1003</v>
      </c>
      <c r="L419">
        <v>1339</v>
      </c>
      <c r="N419">
        <v>1007</v>
      </c>
      <c r="O419" t="s">
        <v>109</v>
      </c>
      <c r="P419" t="s">
        <v>109</v>
      </c>
      <c r="Q419">
        <v>1</v>
      </c>
      <c r="W419">
        <v>0</v>
      </c>
      <c r="X419">
        <v>-148370797</v>
      </c>
      <c r="Y419">
        <v>0.01</v>
      </c>
      <c r="AA419">
        <v>2858.93</v>
      </c>
      <c r="AB419">
        <v>0</v>
      </c>
      <c r="AC419">
        <v>0</v>
      </c>
      <c r="AD419">
        <v>0</v>
      </c>
      <c r="AE419">
        <v>463.36</v>
      </c>
      <c r="AF419">
        <v>0</v>
      </c>
      <c r="AG419">
        <v>0</v>
      </c>
      <c r="AH419">
        <v>0</v>
      </c>
      <c r="AI419">
        <v>6.17</v>
      </c>
      <c r="AJ419">
        <v>1</v>
      </c>
      <c r="AK419">
        <v>1</v>
      </c>
      <c r="AL419">
        <v>1</v>
      </c>
      <c r="AN419">
        <v>0</v>
      </c>
      <c r="AO419">
        <v>1</v>
      </c>
      <c r="AP419">
        <v>0</v>
      </c>
      <c r="AQ419">
        <v>0</v>
      </c>
      <c r="AR419">
        <v>0</v>
      </c>
      <c r="AS419" t="s">
        <v>6</v>
      </c>
      <c r="AT419">
        <v>0.01</v>
      </c>
      <c r="AU419" t="s">
        <v>6</v>
      </c>
      <c r="AV419">
        <v>0</v>
      </c>
      <c r="AW419">
        <v>2</v>
      </c>
      <c r="AX419">
        <v>31029636</v>
      </c>
      <c r="AY419">
        <v>1</v>
      </c>
      <c r="AZ419">
        <v>0</v>
      </c>
      <c r="BA419">
        <v>444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CX419">
        <f>Y419*Source!I226</f>
        <v>0.23</v>
      </c>
      <c r="CY419">
        <f t="shared" si="71"/>
        <v>2858.93</v>
      </c>
      <c r="CZ419">
        <f t="shared" si="72"/>
        <v>463.36</v>
      </c>
      <c r="DA419">
        <f t="shared" si="73"/>
        <v>6.17</v>
      </c>
      <c r="DB419">
        <f t="shared" si="74"/>
        <v>4.63</v>
      </c>
      <c r="DC419">
        <f t="shared" si="75"/>
        <v>0</v>
      </c>
    </row>
    <row r="420" spans="1:107">
      <c r="A420">
        <f>ROW(Source!A226)</f>
        <v>226</v>
      </c>
      <c r="B420">
        <v>31028412</v>
      </c>
      <c r="C420">
        <v>31029611</v>
      </c>
      <c r="D420">
        <v>29165332</v>
      </c>
      <c r="E420">
        <v>1</v>
      </c>
      <c r="F420">
        <v>1</v>
      </c>
      <c r="G420">
        <v>1</v>
      </c>
      <c r="H420">
        <v>3</v>
      </c>
      <c r="I420" t="s">
        <v>1004</v>
      </c>
      <c r="J420" t="s">
        <v>1005</v>
      </c>
      <c r="K420" t="s">
        <v>1006</v>
      </c>
      <c r="L420">
        <v>1348</v>
      </c>
      <c r="N420">
        <v>1009</v>
      </c>
      <c r="O420" t="s">
        <v>137</v>
      </c>
      <c r="P420" t="s">
        <v>137</v>
      </c>
      <c r="Q420">
        <v>1000</v>
      </c>
      <c r="W420">
        <v>0</v>
      </c>
      <c r="X420">
        <v>-1980240316</v>
      </c>
      <c r="Y420">
        <v>3.0100000000000001E-3</v>
      </c>
      <c r="AA420">
        <v>94123.35</v>
      </c>
      <c r="AB420">
        <v>0</v>
      </c>
      <c r="AC420">
        <v>0</v>
      </c>
      <c r="AD420">
        <v>0</v>
      </c>
      <c r="AE420">
        <v>15255</v>
      </c>
      <c r="AF420">
        <v>0</v>
      </c>
      <c r="AG420">
        <v>0</v>
      </c>
      <c r="AH420">
        <v>0</v>
      </c>
      <c r="AI420">
        <v>6.17</v>
      </c>
      <c r="AJ420">
        <v>1</v>
      </c>
      <c r="AK420">
        <v>1</v>
      </c>
      <c r="AL420">
        <v>1</v>
      </c>
      <c r="AN420">
        <v>0</v>
      </c>
      <c r="AO420">
        <v>1</v>
      </c>
      <c r="AP420">
        <v>0</v>
      </c>
      <c r="AQ420">
        <v>0</v>
      </c>
      <c r="AR420">
        <v>0</v>
      </c>
      <c r="AS420" t="s">
        <v>6</v>
      </c>
      <c r="AT420">
        <v>3.0100000000000001E-3</v>
      </c>
      <c r="AU420" t="s">
        <v>6</v>
      </c>
      <c r="AV420">
        <v>0</v>
      </c>
      <c r="AW420">
        <v>2</v>
      </c>
      <c r="AX420">
        <v>31029637</v>
      </c>
      <c r="AY420">
        <v>1</v>
      </c>
      <c r="AZ420">
        <v>0</v>
      </c>
      <c r="BA420">
        <v>445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CX420">
        <f>Y420*Source!I226</f>
        <v>6.923E-2</v>
      </c>
      <c r="CY420">
        <f t="shared" si="71"/>
        <v>94123.35</v>
      </c>
      <c r="CZ420">
        <f t="shared" si="72"/>
        <v>15255</v>
      </c>
      <c r="DA420">
        <f t="shared" si="73"/>
        <v>6.17</v>
      </c>
      <c r="DB420">
        <f t="shared" si="74"/>
        <v>45.92</v>
      </c>
      <c r="DC420">
        <f t="shared" si="75"/>
        <v>0</v>
      </c>
    </row>
    <row r="421" spans="1:107">
      <c r="A421">
        <f>ROW(Source!A227)</f>
        <v>227</v>
      </c>
      <c r="B421">
        <v>31028412</v>
      </c>
      <c r="C421">
        <v>31029638</v>
      </c>
      <c r="D421">
        <v>29084584</v>
      </c>
      <c r="E421">
        <v>1</v>
      </c>
      <c r="F421">
        <v>1</v>
      </c>
      <c r="G421">
        <v>1</v>
      </c>
      <c r="H421">
        <v>1</v>
      </c>
      <c r="I421" t="s">
        <v>898</v>
      </c>
      <c r="J421" t="s">
        <v>6</v>
      </c>
      <c r="K421" t="s">
        <v>899</v>
      </c>
      <c r="L421">
        <v>1369</v>
      </c>
      <c r="N421">
        <v>1013</v>
      </c>
      <c r="O421" t="s">
        <v>773</v>
      </c>
      <c r="P421" t="s">
        <v>773</v>
      </c>
      <c r="Q421">
        <v>1</v>
      </c>
      <c r="W421">
        <v>0</v>
      </c>
      <c r="X421">
        <v>-855355929</v>
      </c>
      <c r="Y421">
        <v>42.293549999999996</v>
      </c>
      <c r="AA421">
        <v>0</v>
      </c>
      <c r="AB421">
        <v>0</v>
      </c>
      <c r="AC421">
        <v>0</v>
      </c>
      <c r="AD421">
        <v>201.75</v>
      </c>
      <c r="AE421">
        <v>0</v>
      </c>
      <c r="AF421">
        <v>0</v>
      </c>
      <c r="AG421">
        <v>0</v>
      </c>
      <c r="AH421">
        <v>8.33</v>
      </c>
      <c r="AI421">
        <v>1</v>
      </c>
      <c r="AJ421">
        <v>1</v>
      </c>
      <c r="AK421">
        <v>1</v>
      </c>
      <c r="AL421">
        <v>24.22</v>
      </c>
      <c r="AN421">
        <v>0</v>
      </c>
      <c r="AO421">
        <v>1</v>
      </c>
      <c r="AP421">
        <v>1</v>
      </c>
      <c r="AQ421">
        <v>0</v>
      </c>
      <c r="AR421">
        <v>0</v>
      </c>
      <c r="AS421" t="s">
        <v>6</v>
      </c>
      <c r="AT421">
        <v>31.98</v>
      </c>
      <c r="AU421" t="s">
        <v>127</v>
      </c>
      <c r="AV421">
        <v>1</v>
      </c>
      <c r="AW421">
        <v>2</v>
      </c>
      <c r="AX421">
        <v>31029648</v>
      </c>
      <c r="AY421">
        <v>1</v>
      </c>
      <c r="AZ421">
        <v>0</v>
      </c>
      <c r="BA421">
        <v>446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CX421">
        <f>Y421*Source!I227</f>
        <v>2.5376129999999999</v>
      </c>
      <c r="CY421">
        <f>AD421</f>
        <v>201.75</v>
      </c>
      <c r="CZ421">
        <f>AH421</f>
        <v>8.33</v>
      </c>
      <c r="DA421">
        <f>AL421</f>
        <v>24.22</v>
      </c>
      <c r="DB421">
        <f>ROUND((ROUND(AT421*CZ421,2)*ROUND((1.15*1.15),7)),6)</f>
        <v>352.30077499999999</v>
      </c>
      <c r="DC421">
        <f>ROUND((ROUND(AT421*AG421,2)*ROUND((1.15*1.15),7)),6)</f>
        <v>0</v>
      </c>
    </row>
    <row r="422" spans="1:107">
      <c r="A422">
        <f>ROW(Source!A227)</f>
        <v>227</v>
      </c>
      <c r="B422">
        <v>31028412</v>
      </c>
      <c r="C422">
        <v>31029638</v>
      </c>
      <c r="D422">
        <v>29148219</v>
      </c>
      <c r="E422">
        <v>1</v>
      </c>
      <c r="F422">
        <v>1</v>
      </c>
      <c r="G422">
        <v>1</v>
      </c>
      <c r="H422">
        <v>2</v>
      </c>
      <c r="I422" t="s">
        <v>784</v>
      </c>
      <c r="J422" t="s">
        <v>785</v>
      </c>
      <c r="K422" t="s">
        <v>786</v>
      </c>
      <c r="L422">
        <v>1368</v>
      </c>
      <c r="N422">
        <v>1011</v>
      </c>
      <c r="O422" t="s">
        <v>780</v>
      </c>
      <c r="P422" t="s">
        <v>780</v>
      </c>
      <c r="Q422">
        <v>1</v>
      </c>
      <c r="W422">
        <v>0</v>
      </c>
      <c r="X422">
        <v>-1347779909</v>
      </c>
      <c r="Y422">
        <v>0.330625</v>
      </c>
      <c r="AA422">
        <v>0</v>
      </c>
      <c r="AB422">
        <v>229.2</v>
      </c>
      <c r="AC422">
        <v>0</v>
      </c>
      <c r="AD422">
        <v>0</v>
      </c>
      <c r="AE422">
        <v>0</v>
      </c>
      <c r="AF422">
        <v>30</v>
      </c>
      <c r="AG422">
        <v>0</v>
      </c>
      <c r="AH422">
        <v>0</v>
      </c>
      <c r="AI422">
        <v>1</v>
      </c>
      <c r="AJ422">
        <v>7.64</v>
      </c>
      <c r="AK422">
        <v>24.22</v>
      </c>
      <c r="AL422">
        <v>1</v>
      </c>
      <c r="AN422">
        <v>0</v>
      </c>
      <c r="AO422">
        <v>1</v>
      </c>
      <c r="AP422">
        <v>1</v>
      </c>
      <c r="AQ422">
        <v>0</v>
      </c>
      <c r="AR422">
        <v>0</v>
      </c>
      <c r="AS422" t="s">
        <v>6</v>
      </c>
      <c r="AT422">
        <v>0.23</v>
      </c>
      <c r="AU422" t="s">
        <v>126</v>
      </c>
      <c r="AV422">
        <v>0</v>
      </c>
      <c r="AW422">
        <v>2</v>
      </c>
      <c r="AX422">
        <v>31029649</v>
      </c>
      <c r="AY422">
        <v>1</v>
      </c>
      <c r="AZ422">
        <v>0</v>
      </c>
      <c r="BA422">
        <v>447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CX422">
        <f>Y422*Source!I227</f>
        <v>1.9837500000000001E-2</v>
      </c>
      <c r="CY422">
        <f>AB422</f>
        <v>229.2</v>
      </c>
      <c r="CZ422">
        <f>AF422</f>
        <v>30</v>
      </c>
      <c r="DA422">
        <f>AJ422</f>
        <v>7.64</v>
      </c>
      <c r="DB422">
        <f>ROUND((ROUND(AT422*CZ422,2)*ROUND((1.25*1.15),7)),6)</f>
        <v>9.9187499999999993</v>
      </c>
      <c r="DC422">
        <f>ROUND((ROUND(AT422*AG422,2)*ROUND((1.25*1.15),7)),6)</f>
        <v>0</v>
      </c>
    </row>
    <row r="423" spans="1:107">
      <c r="A423">
        <f>ROW(Source!A227)</f>
        <v>227</v>
      </c>
      <c r="B423">
        <v>31028412</v>
      </c>
      <c r="C423">
        <v>31029638</v>
      </c>
      <c r="D423">
        <v>29149269</v>
      </c>
      <c r="E423">
        <v>1</v>
      </c>
      <c r="F423">
        <v>1</v>
      </c>
      <c r="G423">
        <v>1</v>
      </c>
      <c r="H423">
        <v>2</v>
      </c>
      <c r="I423" t="s">
        <v>1007</v>
      </c>
      <c r="J423" t="s">
        <v>1008</v>
      </c>
      <c r="K423" t="s">
        <v>1009</v>
      </c>
      <c r="L423">
        <v>1368</v>
      </c>
      <c r="N423">
        <v>1011</v>
      </c>
      <c r="O423" t="s">
        <v>780</v>
      </c>
      <c r="P423" t="s">
        <v>780</v>
      </c>
      <c r="Q423">
        <v>1</v>
      </c>
      <c r="W423">
        <v>0</v>
      </c>
      <c r="X423">
        <v>1809965303</v>
      </c>
      <c r="Y423">
        <v>1.8112499999999998</v>
      </c>
      <c r="AA423">
        <v>0</v>
      </c>
      <c r="AB423">
        <v>16.5</v>
      </c>
      <c r="AC423">
        <v>0</v>
      </c>
      <c r="AD423">
        <v>0</v>
      </c>
      <c r="AE423">
        <v>0</v>
      </c>
      <c r="AF423">
        <v>2.16</v>
      </c>
      <c r="AG423">
        <v>0</v>
      </c>
      <c r="AH423">
        <v>0</v>
      </c>
      <c r="AI423">
        <v>1</v>
      </c>
      <c r="AJ423">
        <v>7.64</v>
      </c>
      <c r="AK423">
        <v>24.22</v>
      </c>
      <c r="AL423">
        <v>1</v>
      </c>
      <c r="AN423">
        <v>0</v>
      </c>
      <c r="AO423">
        <v>1</v>
      </c>
      <c r="AP423">
        <v>1</v>
      </c>
      <c r="AQ423">
        <v>0</v>
      </c>
      <c r="AR423">
        <v>0</v>
      </c>
      <c r="AS423" t="s">
        <v>6</v>
      </c>
      <c r="AT423">
        <v>1.26</v>
      </c>
      <c r="AU423" t="s">
        <v>126</v>
      </c>
      <c r="AV423">
        <v>0</v>
      </c>
      <c r="AW423">
        <v>2</v>
      </c>
      <c r="AX423">
        <v>31029650</v>
      </c>
      <c r="AY423">
        <v>1</v>
      </c>
      <c r="AZ423">
        <v>0</v>
      </c>
      <c r="BA423">
        <v>448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CX423">
        <f>Y423*Source!I227</f>
        <v>0.10867499999999998</v>
      </c>
      <c r="CY423">
        <f>AB423</f>
        <v>16.5</v>
      </c>
      <c r="CZ423">
        <f>AF423</f>
        <v>2.16</v>
      </c>
      <c r="DA423">
        <f>AJ423</f>
        <v>7.64</v>
      </c>
      <c r="DB423">
        <f>ROUND((ROUND(AT423*CZ423,2)*ROUND((1.25*1.15),7)),6)</f>
        <v>3.91</v>
      </c>
      <c r="DC423">
        <f>ROUND((ROUND(AT423*AG423,2)*ROUND((1.25*1.15),7)),6)</f>
        <v>0</v>
      </c>
    </row>
    <row r="424" spans="1:107">
      <c r="A424">
        <f>ROW(Source!A227)</f>
        <v>227</v>
      </c>
      <c r="B424">
        <v>31028412</v>
      </c>
      <c r="C424">
        <v>31029638</v>
      </c>
      <c r="D424">
        <v>29149520</v>
      </c>
      <c r="E424">
        <v>1</v>
      </c>
      <c r="F424">
        <v>1</v>
      </c>
      <c r="G424">
        <v>1</v>
      </c>
      <c r="H424">
        <v>2</v>
      </c>
      <c r="I424" t="s">
        <v>790</v>
      </c>
      <c r="J424" t="s">
        <v>791</v>
      </c>
      <c r="K424" t="s">
        <v>792</v>
      </c>
      <c r="L424">
        <v>1368</v>
      </c>
      <c r="N424">
        <v>1011</v>
      </c>
      <c r="O424" t="s">
        <v>780</v>
      </c>
      <c r="P424" t="s">
        <v>780</v>
      </c>
      <c r="Q424">
        <v>1</v>
      </c>
      <c r="W424">
        <v>0</v>
      </c>
      <c r="X424">
        <v>-1931461795</v>
      </c>
      <c r="Y424">
        <v>0.67562499999999981</v>
      </c>
      <c r="AA424">
        <v>0</v>
      </c>
      <c r="AB424">
        <v>699.98</v>
      </c>
      <c r="AC424">
        <v>0</v>
      </c>
      <c r="AD424">
        <v>0</v>
      </c>
      <c r="AE424">
        <v>0</v>
      </c>
      <c r="AF424">
        <v>91.62</v>
      </c>
      <c r="AG424">
        <v>0</v>
      </c>
      <c r="AH424">
        <v>0</v>
      </c>
      <c r="AI424">
        <v>1</v>
      </c>
      <c r="AJ424">
        <v>7.64</v>
      </c>
      <c r="AK424">
        <v>24.22</v>
      </c>
      <c r="AL424">
        <v>1</v>
      </c>
      <c r="AN424">
        <v>0</v>
      </c>
      <c r="AO424">
        <v>1</v>
      </c>
      <c r="AP424">
        <v>1</v>
      </c>
      <c r="AQ424">
        <v>0</v>
      </c>
      <c r="AR424">
        <v>0</v>
      </c>
      <c r="AS424" t="s">
        <v>6</v>
      </c>
      <c r="AT424">
        <v>0.47</v>
      </c>
      <c r="AU424" t="s">
        <v>126</v>
      </c>
      <c r="AV424">
        <v>0</v>
      </c>
      <c r="AW424">
        <v>2</v>
      </c>
      <c r="AX424">
        <v>31029651</v>
      </c>
      <c r="AY424">
        <v>1</v>
      </c>
      <c r="AZ424">
        <v>0</v>
      </c>
      <c r="BA424">
        <v>449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CX424">
        <f>Y424*Source!I227</f>
        <v>4.053749999999999E-2</v>
      </c>
      <c r="CY424">
        <f>AB424</f>
        <v>699.98</v>
      </c>
      <c r="CZ424">
        <f>AF424</f>
        <v>91.62</v>
      </c>
      <c r="DA424">
        <f>AJ424</f>
        <v>7.64</v>
      </c>
      <c r="DB424">
        <f>ROUND((ROUND(AT424*CZ424,2)*ROUND((1.25*1.15),7)),6)</f>
        <v>61.89875</v>
      </c>
      <c r="DC424">
        <f>ROUND((ROUND(AT424*AG424,2)*ROUND((1.25*1.15),7)),6)</f>
        <v>0</v>
      </c>
    </row>
    <row r="425" spans="1:107">
      <c r="A425">
        <f>ROW(Source!A227)</f>
        <v>227</v>
      </c>
      <c r="B425">
        <v>31028412</v>
      </c>
      <c r="C425">
        <v>31029638</v>
      </c>
      <c r="D425">
        <v>29150440</v>
      </c>
      <c r="E425">
        <v>1</v>
      </c>
      <c r="F425">
        <v>1</v>
      </c>
      <c r="G425">
        <v>1</v>
      </c>
      <c r="H425">
        <v>3</v>
      </c>
      <c r="I425" t="s">
        <v>1010</v>
      </c>
      <c r="J425" t="s">
        <v>1011</v>
      </c>
      <c r="K425" t="s">
        <v>1012</v>
      </c>
      <c r="L425">
        <v>1348</v>
      </c>
      <c r="N425">
        <v>1009</v>
      </c>
      <c r="O425" t="s">
        <v>137</v>
      </c>
      <c r="P425" t="s">
        <v>137</v>
      </c>
      <c r="Q425">
        <v>1000</v>
      </c>
      <c r="W425">
        <v>0</v>
      </c>
      <c r="X425">
        <v>396826143</v>
      </c>
      <c r="Y425">
        <v>1.26E-2</v>
      </c>
      <c r="AA425">
        <v>9328.48</v>
      </c>
      <c r="AB425">
        <v>0</v>
      </c>
      <c r="AC425">
        <v>0</v>
      </c>
      <c r="AD425">
        <v>0</v>
      </c>
      <c r="AE425">
        <v>1511.91</v>
      </c>
      <c r="AF425">
        <v>0</v>
      </c>
      <c r="AG425">
        <v>0</v>
      </c>
      <c r="AH425">
        <v>0</v>
      </c>
      <c r="AI425">
        <v>6.17</v>
      </c>
      <c r="AJ425">
        <v>1</v>
      </c>
      <c r="AK425">
        <v>1</v>
      </c>
      <c r="AL425">
        <v>1</v>
      </c>
      <c r="AN425">
        <v>0</v>
      </c>
      <c r="AO425">
        <v>1</v>
      </c>
      <c r="AP425">
        <v>0</v>
      </c>
      <c r="AQ425">
        <v>0</v>
      </c>
      <c r="AR425">
        <v>0</v>
      </c>
      <c r="AS425" t="s">
        <v>6</v>
      </c>
      <c r="AT425">
        <v>1.26E-2</v>
      </c>
      <c r="AU425" t="s">
        <v>6</v>
      </c>
      <c r="AV425">
        <v>0</v>
      </c>
      <c r="AW425">
        <v>2</v>
      </c>
      <c r="AX425">
        <v>31029652</v>
      </c>
      <c r="AY425">
        <v>1</v>
      </c>
      <c r="AZ425">
        <v>0</v>
      </c>
      <c r="BA425">
        <v>450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CX425">
        <f>Y425*Source!I227</f>
        <v>7.5599999999999994E-4</v>
      </c>
      <c r="CY425">
        <f>AA425</f>
        <v>9328.48</v>
      </c>
      <c r="CZ425">
        <f>AE425</f>
        <v>1511.91</v>
      </c>
      <c r="DA425">
        <f>AI425</f>
        <v>6.17</v>
      </c>
      <c r="DB425">
        <f>ROUND(ROUND(AT425*CZ425,2),6)</f>
        <v>19.05</v>
      </c>
      <c r="DC425">
        <f>ROUND(ROUND(AT425*AG425,2),6)</f>
        <v>0</v>
      </c>
    </row>
    <row r="426" spans="1:107">
      <c r="A426">
        <f>ROW(Source!A227)</f>
        <v>227</v>
      </c>
      <c r="B426">
        <v>31028412</v>
      </c>
      <c r="C426">
        <v>31029638</v>
      </c>
      <c r="D426">
        <v>29150897</v>
      </c>
      <c r="E426">
        <v>1</v>
      </c>
      <c r="F426">
        <v>1</v>
      </c>
      <c r="G426">
        <v>1</v>
      </c>
      <c r="H426">
        <v>3</v>
      </c>
      <c r="I426" t="s">
        <v>1013</v>
      </c>
      <c r="J426" t="s">
        <v>1014</v>
      </c>
      <c r="K426" t="s">
        <v>1015</v>
      </c>
      <c r="L426">
        <v>1348</v>
      </c>
      <c r="N426">
        <v>1009</v>
      </c>
      <c r="O426" t="s">
        <v>137</v>
      </c>
      <c r="P426" t="s">
        <v>137</v>
      </c>
      <c r="Q426">
        <v>1000</v>
      </c>
      <c r="W426">
        <v>0</v>
      </c>
      <c r="X426">
        <v>2057594567</v>
      </c>
      <c r="Y426">
        <v>4.7300000000000002E-2</v>
      </c>
      <c r="AA426">
        <v>39247.370000000003</v>
      </c>
      <c r="AB426">
        <v>0</v>
      </c>
      <c r="AC426">
        <v>0</v>
      </c>
      <c r="AD426">
        <v>0</v>
      </c>
      <c r="AE426">
        <v>6361</v>
      </c>
      <c r="AF426">
        <v>0</v>
      </c>
      <c r="AG426">
        <v>0</v>
      </c>
      <c r="AH426">
        <v>0</v>
      </c>
      <c r="AI426">
        <v>6.17</v>
      </c>
      <c r="AJ426">
        <v>1</v>
      </c>
      <c r="AK426">
        <v>1</v>
      </c>
      <c r="AL426">
        <v>1</v>
      </c>
      <c r="AN426">
        <v>0</v>
      </c>
      <c r="AO426">
        <v>1</v>
      </c>
      <c r="AP426">
        <v>0</v>
      </c>
      <c r="AQ426">
        <v>0</v>
      </c>
      <c r="AR426">
        <v>0</v>
      </c>
      <c r="AS426" t="s">
        <v>6</v>
      </c>
      <c r="AT426">
        <v>4.7300000000000002E-2</v>
      </c>
      <c r="AU426" t="s">
        <v>6</v>
      </c>
      <c r="AV426">
        <v>0</v>
      </c>
      <c r="AW426">
        <v>2</v>
      </c>
      <c r="AX426">
        <v>31029653</v>
      </c>
      <c r="AY426">
        <v>1</v>
      </c>
      <c r="AZ426">
        <v>0</v>
      </c>
      <c r="BA426">
        <v>451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CX426">
        <f>Y426*Source!I227</f>
        <v>2.8379999999999998E-3</v>
      </c>
      <c r="CY426">
        <f>AA426</f>
        <v>39247.370000000003</v>
      </c>
      <c r="CZ426">
        <f>AE426</f>
        <v>6361</v>
      </c>
      <c r="DA426">
        <f>AI426</f>
        <v>6.17</v>
      </c>
      <c r="DB426">
        <f>ROUND(ROUND(AT426*CZ426,2),6)</f>
        <v>300.88</v>
      </c>
      <c r="DC426">
        <f>ROUND(ROUND(AT426*AG426,2),6)</f>
        <v>0</v>
      </c>
    </row>
    <row r="427" spans="1:107">
      <c r="A427">
        <f>ROW(Source!A227)</f>
        <v>227</v>
      </c>
      <c r="B427">
        <v>31028412</v>
      </c>
      <c r="C427">
        <v>31029638</v>
      </c>
      <c r="D427">
        <v>29150970</v>
      </c>
      <c r="E427">
        <v>1</v>
      </c>
      <c r="F427">
        <v>1</v>
      </c>
      <c r="G427">
        <v>1</v>
      </c>
      <c r="H427">
        <v>3</v>
      </c>
      <c r="I427" t="s">
        <v>1016</v>
      </c>
      <c r="J427" t="s">
        <v>1017</v>
      </c>
      <c r="K427" t="s">
        <v>1018</v>
      </c>
      <c r="L427">
        <v>1348</v>
      </c>
      <c r="N427">
        <v>1009</v>
      </c>
      <c r="O427" t="s">
        <v>137</v>
      </c>
      <c r="P427" t="s">
        <v>137</v>
      </c>
      <c r="Q427">
        <v>1000</v>
      </c>
      <c r="W427">
        <v>0</v>
      </c>
      <c r="X427">
        <v>-1108877743</v>
      </c>
      <c r="Y427">
        <v>0.03</v>
      </c>
      <c r="AA427">
        <v>26538.53</v>
      </c>
      <c r="AB427">
        <v>0</v>
      </c>
      <c r="AC427">
        <v>0</v>
      </c>
      <c r="AD427">
        <v>0</v>
      </c>
      <c r="AE427">
        <v>4301.22</v>
      </c>
      <c r="AF427">
        <v>0</v>
      </c>
      <c r="AG427">
        <v>0</v>
      </c>
      <c r="AH427">
        <v>0</v>
      </c>
      <c r="AI427">
        <v>6.17</v>
      </c>
      <c r="AJ427">
        <v>1</v>
      </c>
      <c r="AK427">
        <v>1</v>
      </c>
      <c r="AL427">
        <v>1</v>
      </c>
      <c r="AN427">
        <v>0</v>
      </c>
      <c r="AO427">
        <v>1</v>
      </c>
      <c r="AP427">
        <v>0</v>
      </c>
      <c r="AQ427">
        <v>0</v>
      </c>
      <c r="AR427">
        <v>0</v>
      </c>
      <c r="AS427" t="s">
        <v>6</v>
      </c>
      <c r="AT427">
        <v>0.03</v>
      </c>
      <c r="AU427" t="s">
        <v>6</v>
      </c>
      <c r="AV427">
        <v>0</v>
      </c>
      <c r="AW427">
        <v>2</v>
      </c>
      <c r="AX427">
        <v>31029654</v>
      </c>
      <c r="AY427">
        <v>1</v>
      </c>
      <c r="AZ427">
        <v>0</v>
      </c>
      <c r="BA427">
        <v>452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CX427">
        <f>Y427*Source!I227</f>
        <v>1.8E-3</v>
      </c>
      <c r="CY427">
        <f>AA427</f>
        <v>26538.53</v>
      </c>
      <c r="CZ427">
        <f>AE427</f>
        <v>4301.22</v>
      </c>
      <c r="DA427">
        <f>AI427</f>
        <v>6.17</v>
      </c>
      <c r="DB427">
        <f>ROUND(ROUND(AT427*CZ427,2),6)</f>
        <v>129.04</v>
      </c>
      <c r="DC427">
        <f>ROUND(ROUND(AT427*AG427,2),6)</f>
        <v>0</v>
      </c>
    </row>
    <row r="428" spans="1:107">
      <c r="A428">
        <f>ROW(Source!A227)</f>
        <v>227</v>
      </c>
      <c r="B428">
        <v>31028412</v>
      </c>
      <c r="C428">
        <v>31029638</v>
      </c>
      <c r="D428">
        <v>29152043</v>
      </c>
      <c r="E428">
        <v>1</v>
      </c>
      <c r="F428">
        <v>1</v>
      </c>
      <c r="G428">
        <v>1</v>
      </c>
      <c r="H428">
        <v>3</v>
      </c>
      <c r="I428" t="s">
        <v>1019</v>
      </c>
      <c r="J428" t="s">
        <v>1020</v>
      </c>
      <c r="K428" t="s">
        <v>1021</v>
      </c>
      <c r="L428">
        <v>1329</v>
      </c>
      <c r="N428">
        <v>1005</v>
      </c>
      <c r="O428" t="s">
        <v>1022</v>
      </c>
      <c r="P428" t="s">
        <v>1022</v>
      </c>
      <c r="Q428">
        <v>1000</v>
      </c>
      <c r="W428">
        <v>0</v>
      </c>
      <c r="X428">
        <v>-362485796</v>
      </c>
      <c r="Y428">
        <v>0.115</v>
      </c>
      <c r="AA428">
        <v>52015.44</v>
      </c>
      <c r="AB428">
        <v>0</v>
      </c>
      <c r="AC428">
        <v>0</v>
      </c>
      <c r="AD428">
        <v>0</v>
      </c>
      <c r="AE428">
        <v>8430.3799999999992</v>
      </c>
      <c r="AF428">
        <v>0</v>
      </c>
      <c r="AG428">
        <v>0</v>
      </c>
      <c r="AH428">
        <v>0</v>
      </c>
      <c r="AI428">
        <v>6.17</v>
      </c>
      <c r="AJ428">
        <v>1</v>
      </c>
      <c r="AK428">
        <v>1</v>
      </c>
      <c r="AL428">
        <v>1</v>
      </c>
      <c r="AN428">
        <v>0</v>
      </c>
      <c r="AO428">
        <v>1</v>
      </c>
      <c r="AP428">
        <v>0</v>
      </c>
      <c r="AQ428">
        <v>0</v>
      </c>
      <c r="AR428">
        <v>0</v>
      </c>
      <c r="AS428" t="s">
        <v>6</v>
      </c>
      <c r="AT428">
        <v>0.115</v>
      </c>
      <c r="AU428" t="s">
        <v>6</v>
      </c>
      <c r="AV428">
        <v>0</v>
      </c>
      <c r="AW428">
        <v>2</v>
      </c>
      <c r="AX428">
        <v>31029655</v>
      </c>
      <c r="AY428">
        <v>1</v>
      </c>
      <c r="AZ428">
        <v>0</v>
      </c>
      <c r="BA428">
        <v>453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CX428">
        <f>Y428*Source!I227</f>
        <v>6.8999999999999999E-3</v>
      </c>
      <c r="CY428">
        <f>AA428</f>
        <v>52015.44</v>
      </c>
      <c r="CZ428">
        <f>AE428</f>
        <v>8430.3799999999992</v>
      </c>
      <c r="DA428">
        <f>AI428</f>
        <v>6.17</v>
      </c>
      <c r="DB428">
        <f>ROUND(ROUND(AT428*CZ428,2),6)</f>
        <v>969.49</v>
      </c>
      <c r="DC428">
        <f>ROUND(ROUND(AT428*AG428,2),6)</f>
        <v>0</v>
      </c>
    </row>
    <row r="429" spans="1:107">
      <c r="A429">
        <f>ROW(Source!A227)</f>
        <v>227</v>
      </c>
      <c r="B429">
        <v>31028412</v>
      </c>
      <c r="C429">
        <v>31029638</v>
      </c>
      <c r="D429">
        <v>29164668</v>
      </c>
      <c r="E429">
        <v>1</v>
      </c>
      <c r="F429">
        <v>1</v>
      </c>
      <c r="G429">
        <v>1</v>
      </c>
      <c r="H429">
        <v>3</v>
      </c>
      <c r="I429" t="s">
        <v>1023</v>
      </c>
      <c r="J429" t="s">
        <v>1024</v>
      </c>
      <c r="K429" t="s">
        <v>1025</v>
      </c>
      <c r="L429">
        <v>1348</v>
      </c>
      <c r="N429">
        <v>1009</v>
      </c>
      <c r="O429" t="s">
        <v>137</v>
      </c>
      <c r="P429" t="s">
        <v>137</v>
      </c>
      <c r="Q429">
        <v>1000</v>
      </c>
      <c r="W429">
        <v>0</v>
      </c>
      <c r="X429">
        <v>747430994</v>
      </c>
      <c r="Y429">
        <v>1.2600000000000001E-3</v>
      </c>
      <c r="AA429">
        <v>63701.98</v>
      </c>
      <c r="AB429">
        <v>0</v>
      </c>
      <c r="AC429">
        <v>0</v>
      </c>
      <c r="AD429">
        <v>0</v>
      </c>
      <c r="AE429">
        <v>10324.469999999999</v>
      </c>
      <c r="AF429">
        <v>0</v>
      </c>
      <c r="AG429">
        <v>0</v>
      </c>
      <c r="AH429">
        <v>0</v>
      </c>
      <c r="AI429">
        <v>6.17</v>
      </c>
      <c r="AJ429">
        <v>1</v>
      </c>
      <c r="AK429">
        <v>1</v>
      </c>
      <c r="AL429">
        <v>1</v>
      </c>
      <c r="AN429">
        <v>0</v>
      </c>
      <c r="AO429">
        <v>1</v>
      </c>
      <c r="AP429">
        <v>0</v>
      </c>
      <c r="AQ429">
        <v>0</v>
      </c>
      <c r="AR429">
        <v>0</v>
      </c>
      <c r="AS429" t="s">
        <v>6</v>
      </c>
      <c r="AT429">
        <v>1.2600000000000001E-3</v>
      </c>
      <c r="AU429" t="s">
        <v>6</v>
      </c>
      <c r="AV429">
        <v>0</v>
      </c>
      <c r="AW429">
        <v>2</v>
      </c>
      <c r="AX429">
        <v>31029656</v>
      </c>
      <c r="AY429">
        <v>1</v>
      </c>
      <c r="AZ429">
        <v>0</v>
      </c>
      <c r="BA429">
        <v>454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CX429">
        <f>Y429*Source!I227</f>
        <v>7.5599999999999994E-5</v>
      </c>
      <c r="CY429">
        <f>AA429</f>
        <v>63701.98</v>
      </c>
      <c r="CZ429">
        <f>AE429</f>
        <v>10324.469999999999</v>
      </c>
      <c r="DA429">
        <f>AI429</f>
        <v>6.17</v>
      </c>
      <c r="DB429">
        <f>ROUND(ROUND(AT429*CZ429,2),6)</f>
        <v>13.01</v>
      </c>
      <c r="DC429">
        <f>ROUND(ROUND(AT429*AG429,2),6)</f>
        <v>0</v>
      </c>
    </row>
    <row r="430" spans="1:107">
      <c r="A430">
        <f>ROW(Source!A228)</f>
        <v>228</v>
      </c>
      <c r="B430">
        <v>31028412</v>
      </c>
      <c r="C430">
        <v>31029657</v>
      </c>
      <c r="D430">
        <v>29084596</v>
      </c>
      <c r="E430">
        <v>1</v>
      </c>
      <c r="F430">
        <v>1</v>
      </c>
      <c r="G430">
        <v>1</v>
      </c>
      <c r="H430">
        <v>1</v>
      </c>
      <c r="I430" t="s">
        <v>893</v>
      </c>
      <c r="J430" t="s">
        <v>6</v>
      </c>
      <c r="K430" t="s">
        <v>894</v>
      </c>
      <c r="L430">
        <v>1369</v>
      </c>
      <c r="N430">
        <v>1013</v>
      </c>
      <c r="O430" t="s">
        <v>773</v>
      </c>
      <c r="P430" t="s">
        <v>773</v>
      </c>
      <c r="Q430">
        <v>1</v>
      </c>
      <c r="W430">
        <v>0</v>
      </c>
      <c r="X430">
        <v>1607597053</v>
      </c>
      <c r="Y430">
        <v>11.730574999999996</v>
      </c>
      <c r="AA430">
        <v>0</v>
      </c>
      <c r="AB430">
        <v>0</v>
      </c>
      <c r="AC430">
        <v>0</v>
      </c>
      <c r="AD430">
        <v>222.34</v>
      </c>
      <c r="AE430">
        <v>0</v>
      </c>
      <c r="AF430">
        <v>0</v>
      </c>
      <c r="AG430">
        <v>0</v>
      </c>
      <c r="AH430">
        <v>9.18</v>
      </c>
      <c r="AI430">
        <v>1</v>
      </c>
      <c r="AJ430">
        <v>1</v>
      </c>
      <c r="AK430">
        <v>1</v>
      </c>
      <c r="AL430">
        <v>24.22</v>
      </c>
      <c r="AN430">
        <v>0</v>
      </c>
      <c r="AO430">
        <v>1</v>
      </c>
      <c r="AP430">
        <v>1</v>
      </c>
      <c r="AQ430">
        <v>0</v>
      </c>
      <c r="AR430">
        <v>0</v>
      </c>
      <c r="AS430" t="s">
        <v>6</v>
      </c>
      <c r="AT430">
        <v>8.8699999999999992</v>
      </c>
      <c r="AU430" t="s">
        <v>127</v>
      </c>
      <c r="AV430">
        <v>1</v>
      </c>
      <c r="AW430">
        <v>2</v>
      </c>
      <c r="AX430">
        <v>31029666</v>
      </c>
      <c r="AY430">
        <v>1</v>
      </c>
      <c r="AZ430">
        <v>0</v>
      </c>
      <c r="BA430">
        <v>455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CX430">
        <f>Y430*Source!I228</f>
        <v>33.784055999999985</v>
      </c>
      <c r="CY430">
        <f>AD430</f>
        <v>222.34</v>
      </c>
      <c r="CZ430">
        <f>AH430</f>
        <v>9.18</v>
      </c>
      <c r="DA430">
        <f>AL430</f>
        <v>24.22</v>
      </c>
      <c r="DB430">
        <f>ROUND((ROUND(AT430*CZ430,2)*ROUND((1.15*1.15),7)),6)</f>
        <v>107.691175</v>
      </c>
      <c r="DC430">
        <f>ROUND((ROUND(AT430*AG430,2)*ROUND((1.15*1.15),7)),6)</f>
        <v>0</v>
      </c>
    </row>
    <row r="431" spans="1:107">
      <c r="A431">
        <f>ROW(Source!A228)</f>
        <v>228</v>
      </c>
      <c r="B431">
        <v>31028412</v>
      </c>
      <c r="C431">
        <v>31029657</v>
      </c>
      <c r="D431">
        <v>29084573</v>
      </c>
      <c r="E431">
        <v>1</v>
      </c>
      <c r="F431">
        <v>1</v>
      </c>
      <c r="G431">
        <v>1</v>
      </c>
      <c r="H431">
        <v>1</v>
      </c>
      <c r="I431" t="s">
        <v>774</v>
      </c>
      <c r="J431" t="s">
        <v>6</v>
      </c>
      <c r="K431" t="s">
        <v>775</v>
      </c>
      <c r="L431">
        <v>608254</v>
      </c>
      <c r="N431">
        <v>1013</v>
      </c>
      <c r="O431" t="s">
        <v>776</v>
      </c>
      <c r="P431" t="s">
        <v>776</v>
      </c>
      <c r="Q431">
        <v>1</v>
      </c>
      <c r="W431">
        <v>0</v>
      </c>
      <c r="X431">
        <v>95408949</v>
      </c>
      <c r="Y431">
        <v>0.24437500000000001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1</v>
      </c>
      <c r="AJ431">
        <v>1</v>
      </c>
      <c r="AK431">
        <v>24.22</v>
      </c>
      <c r="AL431">
        <v>1</v>
      </c>
      <c r="AN431">
        <v>0</v>
      </c>
      <c r="AO431">
        <v>1</v>
      </c>
      <c r="AP431">
        <v>1</v>
      </c>
      <c r="AQ431">
        <v>0</v>
      </c>
      <c r="AR431">
        <v>0</v>
      </c>
      <c r="AS431" t="s">
        <v>6</v>
      </c>
      <c r="AT431">
        <v>0.17</v>
      </c>
      <c r="AU431" t="s">
        <v>126</v>
      </c>
      <c r="AV431">
        <v>2</v>
      </c>
      <c r="AW431">
        <v>2</v>
      </c>
      <c r="AX431">
        <v>31029667</v>
      </c>
      <c r="AY431">
        <v>1</v>
      </c>
      <c r="AZ431">
        <v>0</v>
      </c>
      <c r="BA431">
        <v>456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CX431">
        <f>Y431*Source!I228</f>
        <v>0.70379999999999998</v>
      </c>
      <c r="CY431">
        <f>AD431</f>
        <v>0</v>
      </c>
      <c r="CZ431">
        <f>AH431</f>
        <v>0</v>
      </c>
      <c r="DA431">
        <f>AL431</f>
        <v>1</v>
      </c>
      <c r="DB431">
        <f>ROUND((ROUND(AT431*CZ431,2)*ROUND((1.25*1.15),7)),6)</f>
        <v>0</v>
      </c>
      <c r="DC431">
        <f>ROUND((ROUND(AT431*AG431,2)*ROUND((1.25*1.15),7)),6)</f>
        <v>0</v>
      </c>
    </row>
    <row r="432" spans="1:107">
      <c r="A432">
        <f>ROW(Source!A228)</f>
        <v>228</v>
      </c>
      <c r="B432">
        <v>31028412</v>
      </c>
      <c r="C432">
        <v>31029657</v>
      </c>
      <c r="D432">
        <v>29147730</v>
      </c>
      <c r="E432">
        <v>1</v>
      </c>
      <c r="F432">
        <v>1</v>
      </c>
      <c r="G432">
        <v>1</v>
      </c>
      <c r="H432">
        <v>2</v>
      </c>
      <c r="I432" t="s">
        <v>1026</v>
      </c>
      <c r="J432" t="s">
        <v>1027</v>
      </c>
      <c r="K432" t="s">
        <v>1028</v>
      </c>
      <c r="L432">
        <v>1368</v>
      </c>
      <c r="N432">
        <v>1011</v>
      </c>
      <c r="O432" t="s">
        <v>780</v>
      </c>
      <c r="P432" t="s">
        <v>780</v>
      </c>
      <c r="Q432">
        <v>1</v>
      </c>
      <c r="W432">
        <v>0</v>
      </c>
      <c r="X432">
        <v>-2106392175</v>
      </c>
      <c r="Y432">
        <v>0.24437500000000001</v>
      </c>
      <c r="AA432">
        <v>0</v>
      </c>
      <c r="AB432">
        <v>208.19</v>
      </c>
      <c r="AC432">
        <v>271.26</v>
      </c>
      <c r="AD432">
        <v>0</v>
      </c>
      <c r="AE432">
        <v>0</v>
      </c>
      <c r="AF432">
        <v>27.25</v>
      </c>
      <c r="AG432">
        <v>11.2</v>
      </c>
      <c r="AH432">
        <v>0</v>
      </c>
      <c r="AI432">
        <v>1</v>
      </c>
      <c r="AJ432">
        <v>7.64</v>
      </c>
      <c r="AK432">
        <v>24.22</v>
      </c>
      <c r="AL432">
        <v>1</v>
      </c>
      <c r="AN432">
        <v>0</v>
      </c>
      <c r="AO432">
        <v>1</v>
      </c>
      <c r="AP432">
        <v>1</v>
      </c>
      <c r="AQ432">
        <v>0</v>
      </c>
      <c r="AR432">
        <v>0</v>
      </c>
      <c r="AS432" t="s">
        <v>6</v>
      </c>
      <c r="AT432">
        <v>0.17</v>
      </c>
      <c r="AU432" t="s">
        <v>126</v>
      </c>
      <c r="AV432">
        <v>0</v>
      </c>
      <c r="AW432">
        <v>2</v>
      </c>
      <c r="AX432">
        <v>31029668</v>
      </c>
      <c r="AY432">
        <v>1</v>
      </c>
      <c r="AZ432">
        <v>0</v>
      </c>
      <c r="BA432">
        <v>457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CX432">
        <f>Y432*Source!I228</f>
        <v>0.70379999999999998</v>
      </c>
      <c r="CY432">
        <f>AB432</f>
        <v>208.19</v>
      </c>
      <c r="CZ432">
        <f>AF432</f>
        <v>27.25</v>
      </c>
      <c r="DA432">
        <f>AJ432</f>
        <v>7.64</v>
      </c>
      <c r="DB432">
        <f>ROUND((ROUND(AT432*CZ432,2)*ROUND((1.25*1.15),7)),6)</f>
        <v>6.6556249999999997</v>
      </c>
      <c r="DC432">
        <f>ROUND((ROUND(AT432*AG432,2)*ROUND((1.25*1.15),7)),6)</f>
        <v>2.7312500000000002</v>
      </c>
    </row>
    <row r="433" spans="1:107">
      <c r="A433">
        <f>ROW(Source!A228)</f>
        <v>228</v>
      </c>
      <c r="B433">
        <v>31028412</v>
      </c>
      <c r="C433">
        <v>31029657</v>
      </c>
      <c r="D433">
        <v>29149310</v>
      </c>
      <c r="E433">
        <v>1</v>
      </c>
      <c r="F433">
        <v>1</v>
      </c>
      <c r="G433">
        <v>1</v>
      </c>
      <c r="H433">
        <v>2</v>
      </c>
      <c r="I433" t="s">
        <v>1029</v>
      </c>
      <c r="J433" t="s">
        <v>1030</v>
      </c>
      <c r="K433" t="s">
        <v>1031</v>
      </c>
      <c r="L433">
        <v>1368</v>
      </c>
      <c r="N433">
        <v>1011</v>
      </c>
      <c r="O433" t="s">
        <v>780</v>
      </c>
      <c r="P433" t="s">
        <v>780</v>
      </c>
      <c r="Q433">
        <v>1</v>
      </c>
      <c r="W433">
        <v>0</v>
      </c>
      <c r="X433">
        <v>-492487493</v>
      </c>
      <c r="Y433">
        <v>25.084374999999998</v>
      </c>
      <c r="AA433">
        <v>0</v>
      </c>
      <c r="AB433">
        <v>52.1</v>
      </c>
      <c r="AC433">
        <v>0</v>
      </c>
      <c r="AD433">
        <v>0</v>
      </c>
      <c r="AE433">
        <v>0</v>
      </c>
      <c r="AF433">
        <v>6.82</v>
      </c>
      <c r="AG433">
        <v>0</v>
      </c>
      <c r="AH433">
        <v>0</v>
      </c>
      <c r="AI433">
        <v>1</v>
      </c>
      <c r="AJ433">
        <v>7.64</v>
      </c>
      <c r="AK433">
        <v>24.22</v>
      </c>
      <c r="AL433">
        <v>1</v>
      </c>
      <c r="AN433">
        <v>0</v>
      </c>
      <c r="AO433">
        <v>1</v>
      </c>
      <c r="AP433">
        <v>1</v>
      </c>
      <c r="AQ433">
        <v>0</v>
      </c>
      <c r="AR433">
        <v>0</v>
      </c>
      <c r="AS433" t="s">
        <v>6</v>
      </c>
      <c r="AT433">
        <v>17.45</v>
      </c>
      <c r="AU433" t="s">
        <v>126</v>
      </c>
      <c r="AV433">
        <v>0</v>
      </c>
      <c r="AW433">
        <v>2</v>
      </c>
      <c r="AX433">
        <v>31029669</v>
      </c>
      <c r="AY433">
        <v>1</v>
      </c>
      <c r="AZ433">
        <v>0</v>
      </c>
      <c r="BA433">
        <v>458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CX433">
        <f>Y433*Source!I228</f>
        <v>72.242999999999995</v>
      </c>
      <c r="CY433">
        <f>AB433</f>
        <v>52.1</v>
      </c>
      <c r="CZ433">
        <f>AF433</f>
        <v>6.82</v>
      </c>
      <c r="DA433">
        <f>AJ433</f>
        <v>7.64</v>
      </c>
      <c r="DB433">
        <f>ROUND((ROUND(AT433*CZ433,2)*ROUND((1.25*1.15),7)),6)</f>
        <v>171.076875</v>
      </c>
      <c r="DC433">
        <f>ROUND((ROUND(AT433*AG433,2)*ROUND((1.25*1.15),7)),6)</f>
        <v>0</v>
      </c>
    </row>
    <row r="434" spans="1:107">
      <c r="A434">
        <f>ROW(Source!A228)</f>
        <v>228</v>
      </c>
      <c r="B434">
        <v>31028412</v>
      </c>
      <c r="C434">
        <v>31029657</v>
      </c>
      <c r="D434">
        <v>29149520</v>
      </c>
      <c r="E434">
        <v>1</v>
      </c>
      <c r="F434">
        <v>1</v>
      </c>
      <c r="G434">
        <v>1</v>
      </c>
      <c r="H434">
        <v>2</v>
      </c>
      <c r="I434" t="s">
        <v>790</v>
      </c>
      <c r="J434" t="s">
        <v>791</v>
      </c>
      <c r="K434" t="s">
        <v>792</v>
      </c>
      <c r="L434">
        <v>1368</v>
      </c>
      <c r="N434">
        <v>1011</v>
      </c>
      <c r="O434" t="s">
        <v>780</v>
      </c>
      <c r="P434" t="s">
        <v>780</v>
      </c>
      <c r="Q434">
        <v>1</v>
      </c>
      <c r="W434">
        <v>0</v>
      </c>
      <c r="X434">
        <v>-1931461795</v>
      </c>
      <c r="Y434">
        <v>0.61812499999999992</v>
      </c>
      <c r="AA434">
        <v>0</v>
      </c>
      <c r="AB434">
        <v>699.98</v>
      </c>
      <c r="AC434">
        <v>0</v>
      </c>
      <c r="AD434">
        <v>0</v>
      </c>
      <c r="AE434">
        <v>0</v>
      </c>
      <c r="AF434">
        <v>91.62</v>
      </c>
      <c r="AG434">
        <v>0</v>
      </c>
      <c r="AH434">
        <v>0</v>
      </c>
      <c r="AI434">
        <v>1</v>
      </c>
      <c r="AJ434">
        <v>7.64</v>
      </c>
      <c r="AK434">
        <v>24.22</v>
      </c>
      <c r="AL434">
        <v>1</v>
      </c>
      <c r="AN434">
        <v>0</v>
      </c>
      <c r="AO434">
        <v>1</v>
      </c>
      <c r="AP434">
        <v>1</v>
      </c>
      <c r="AQ434">
        <v>0</v>
      </c>
      <c r="AR434">
        <v>0</v>
      </c>
      <c r="AS434" t="s">
        <v>6</v>
      </c>
      <c r="AT434">
        <v>0.43</v>
      </c>
      <c r="AU434" t="s">
        <v>126</v>
      </c>
      <c r="AV434">
        <v>0</v>
      </c>
      <c r="AW434">
        <v>2</v>
      </c>
      <c r="AX434">
        <v>31029670</v>
      </c>
      <c r="AY434">
        <v>1</v>
      </c>
      <c r="AZ434">
        <v>0</v>
      </c>
      <c r="BA434">
        <v>459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CX434">
        <f>Y434*Source!I228</f>
        <v>1.7801999999999998</v>
      </c>
      <c r="CY434">
        <f>AB434</f>
        <v>699.98</v>
      </c>
      <c r="CZ434">
        <f>AF434</f>
        <v>91.62</v>
      </c>
      <c r="DA434">
        <f>AJ434</f>
        <v>7.64</v>
      </c>
      <c r="DB434">
        <f>ROUND((ROUND(AT434*CZ434,2)*ROUND((1.25*1.15),7)),6)</f>
        <v>56.637500000000003</v>
      </c>
      <c r="DC434">
        <f>ROUND((ROUND(AT434*AG434,2)*ROUND((1.25*1.15),7)),6)</f>
        <v>0</v>
      </c>
    </row>
    <row r="435" spans="1:107">
      <c r="A435">
        <f>ROW(Source!A228)</f>
        <v>228</v>
      </c>
      <c r="B435">
        <v>31028412</v>
      </c>
      <c r="C435">
        <v>31029657</v>
      </c>
      <c r="D435">
        <v>29152014</v>
      </c>
      <c r="E435">
        <v>1</v>
      </c>
      <c r="F435">
        <v>1</v>
      </c>
      <c r="G435">
        <v>1</v>
      </c>
      <c r="H435">
        <v>3</v>
      </c>
      <c r="I435" t="s">
        <v>838</v>
      </c>
      <c r="J435" t="s">
        <v>839</v>
      </c>
      <c r="K435" t="s">
        <v>840</v>
      </c>
      <c r="L435">
        <v>1346</v>
      </c>
      <c r="N435">
        <v>1009</v>
      </c>
      <c r="O435" t="s">
        <v>118</v>
      </c>
      <c r="P435" t="s">
        <v>118</v>
      </c>
      <c r="Q435">
        <v>1</v>
      </c>
      <c r="W435">
        <v>0</v>
      </c>
      <c r="X435">
        <v>-1526040720</v>
      </c>
      <c r="Y435">
        <v>1</v>
      </c>
      <c r="AA435">
        <v>11.97</v>
      </c>
      <c r="AB435">
        <v>0</v>
      </c>
      <c r="AC435">
        <v>0</v>
      </c>
      <c r="AD435">
        <v>0</v>
      </c>
      <c r="AE435">
        <v>1.94</v>
      </c>
      <c r="AF435">
        <v>0</v>
      </c>
      <c r="AG435">
        <v>0</v>
      </c>
      <c r="AH435">
        <v>0</v>
      </c>
      <c r="AI435">
        <v>6.17</v>
      </c>
      <c r="AJ435">
        <v>1</v>
      </c>
      <c r="AK435">
        <v>1</v>
      </c>
      <c r="AL435">
        <v>1</v>
      </c>
      <c r="AN435">
        <v>0</v>
      </c>
      <c r="AO435">
        <v>1</v>
      </c>
      <c r="AP435">
        <v>0</v>
      </c>
      <c r="AQ435">
        <v>0</v>
      </c>
      <c r="AR435">
        <v>0</v>
      </c>
      <c r="AS435" t="s">
        <v>6</v>
      </c>
      <c r="AT435">
        <v>1</v>
      </c>
      <c r="AU435" t="s">
        <v>6</v>
      </c>
      <c r="AV435">
        <v>0</v>
      </c>
      <c r="AW435">
        <v>2</v>
      </c>
      <c r="AX435">
        <v>31029671</v>
      </c>
      <c r="AY435">
        <v>1</v>
      </c>
      <c r="AZ435">
        <v>0</v>
      </c>
      <c r="BA435">
        <v>460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CX435">
        <f>Y435*Source!I228</f>
        <v>2.88</v>
      </c>
      <c r="CY435">
        <f>AA435</f>
        <v>11.97</v>
      </c>
      <c r="CZ435">
        <f>AE435</f>
        <v>1.94</v>
      </c>
      <c r="DA435">
        <f>AI435</f>
        <v>6.17</v>
      </c>
      <c r="DB435">
        <f>ROUND(ROUND(AT435*CZ435,2),6)</f>
        <v>1.94</v>
      </c>
      <c r="DC435">
        <f>ROUND(ROUND(AT435*AG435,2),6)</f>
        <v>0</v>
      </c>
    </row>
    <row r="436" spans="1:107">
      <c r="A436">
        <f>ROW(Source!A228)</f>
        <v>228</v>
      </c>
      <c r="B436">
        <v>31028412</v>
      </c>
      <c r="C436">
        <v>31029657</v>
      </c>
      <c r="D436">
        <v>29165522</v>
      </c>
      <c r="E436">
        <v>1</v>
      </c>
      <c r="F436">
        <v>1</v>
      </c>
      <c r="G436">
        <v>1</v>
      </c>
      <c r="H436">
        <v>3</v>
      </c>
      <c r="I436" t="s">
        <v>1032</v>
      </c>
      <c r="J436" t="s">
        <v>1033</v>
      </c>
      <c r="K436" t="s">
        <v>1034</v>
      </c>
      <c r="L436">
        <v>1346</v>
      </c>
      <c r="N436">
        <v>1009</v>
      </c>
      <c r="O436" t="s">
        <v>118</v>
      </c>
      <c r="P436" t="s">
        <v>118</v>
      </c>
      <c r="Q436">
        <v>1</v>
      </c>
      <c r="W436">
        <v>0</v>
      </c>
      <c r="X436">
        <v>1326351042</v>
      </c>
      <c r="Y436">
        <v>46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6.17</v>
      </c>
      <c r="AJ436">
        <v>1</v>
      </c>
      <c r="AK436">
        <v>1</v>
      </c>
      <c r="AL436">
        <v>1</v>
      </c>
      <c r="AN436">
        <v>0</v>
      </c>
      <c r="AO436">
        <v>0</v>
      </c>
      <c r="AP436">
        <v>0</v>
      </c>
      <c r="AQ436">
        <v>0</v>
      </c>
      <c r="AR436">
        <v>0</v>
      </c>
      <c r="AS436" t="s">
        <v>6</v>
      </c>
      <c r="AT436">
        <v>46</v>
      </c>
      <c r="AU436" t="s">
        <v>6</v>
      </c>
      <c r="AV436">
        <v>0</v>
      </c>
      <c r="AW436">
        <v>2</v>
      </c>
      <c r="AX436">
        <v>31029672</v>
      </c>
      <c r="AY436">
        <v>1</v>
      </c>
      <c r="AZ436">
        <v>0</v>
      </c>
      <c r="BA436">
        <v>461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CX436">
        <f>Y436*Source!I228</f>
        <v>132.47999999999999</v>
      </c>
      <c r="CY436">
        <f>AA436</f>
        <v>0</v>
      </c>
      <c r="CZ436">
        <f>AE436</f>
        <v>0</v>
      </c>
      <c r="DA436">
        <f>AI436</f>
        <v>6.17</v>
      </c>
      <c r="DB436">
        <f>ROUND(ROUND(AT436*CZ436,2),6)</f>
        <v>0</v>
      </c>
      <c r="DC436">
        <f>ROUND(ROUND(AT436*AG436,2),6)</f>
        <v>0</v>
      </c>
    </row>
    <row r="437" spans="1:107">
      <c r="A437">
        <f>ROW(Source!A228)</f>
        <v>228</v>
      </c>
      <c r="B437">
        <v>31028412</v>
      </c>
      <c r="C437">
        <v>31029657</v>
      </c>
      <c r="D437">
        <v>29195171</v>
      </c>
      <c r="E437">
        <v>1</v>
      </c>
      <c r="F437">
        <v>1</v>
      </c>
      <c r="G437">
        <v>1</v>
      </c>
      <c r="H437">
        <v>3</v>
      </c>
      <c r="I437" t="s">
        <v>830</v>
      </c>
      <c r="J437" t="s">
        <v>831</v>
      </c>
      <c r="K437" t="s">
        <v>832</v>
      </c>
      <c r="L437">
        <v>1339</v>
      </c>
      <c r="N437">
        <v>1007</v>
      </c>
      <c r="O437" t="s">
        <v>109</v>
      </c>
      <c r="P437" t="s">
        <v>109</v>
      </c>
      <c r="Q437">
        <v>1</v>
      </c>
      <c r="W437">
        <v>0</v>
      </c>
      <c r="X437">
        <v>2050165204</v>
      </c>
      <c r="Y437">
        <v>1.4E-2</v>
      </c>
      <c r="AA437">
        <v>15.12</v>
      </c>
      <c r="AB437">
        <v>0</v>
      </c>
      <c r="AC437">
        <v>0</v>
      </c>
      <c r="AD437">
        <v>0</v>
      </c>
      <c r="AE437">
        <v>2.4500000000000002</v>
      </c>
      <c r="AF437">
        <v>0</v>
      </c>
      <c r="AG437">
        <v>0</v>
      </c>
      <c r="AH437">
        <v>0</v>
      </c>
      <c r="AI437">
        <v>6.17</v>
      </c>
      <c r="AJ437">
        <v>1</v>
      </c>
      <c r="AK437">
        <v>1</v>
      </c>
      <c r="AL437">
        <v>1</v>
      </c>
      <c r="AN437">
        <v>0</v>
      </c>
      <c r="AO437">
        <v>1</v>
      </c>
      <c r="AP437">
        <v>0</v>
      </c>
      <c r="AQ437">
        <v>0</v>
      </c>
      <c r="AR437">
        <v>0</v>
      </c>
      <c r="AS437" t="s">
        <v>6</v>
      </c>
      <c r="AT437">
        <v>1.4E-2</v>
      </c>
      <c r="AU437" t="s">
        <v>6</v>
      </c>
      <c r="AV437">
        <v>0</v>
      </c>
      <c r="AW437">
        <v>2</v>
      </c>
      <c r="AX437">
        <v>31029673</v>
      </c>
      <c r="AY437">
        <v>1</v>
      </c>
      <c r="AZ437">
        <v>0</v>
      </c>
      <c r="BA437">
        <v>462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CX437">
        <f>Y437*Source!I228</f>
        <v>4.0320000000000002E-2</v>
      </c>
      <c r="CY437">
        <f>AA437</f>
        <v>15.12</v>
      </c>
      <c r="CZ437">
        <f>AE437</f>
        <v>2.4500000000000002</v>
      </c>
      <c r="DA437">
        <f>AI437</f>
        <v>6.17</v>
      </c>
      <c r="DB437">
        <f>ROUND(ROUND(AT437*CZ437,2),6)</f>
        <v>0.03</v>
      </c>
      <c r="DC437">
        <f>ROUND(ROUND(AT437*AG437,2),6)</f>
        <v>0</v>
      </c>
    </row>
    <row r="438" spans="1:107">
      <c r="A438">
        <f>ROW(Source!A230)</f>
        <v>230</v>
      </c>
      <c r="B438">
        <v>31028412</v>
      </c>
      <c r="C438">
        <v>31029675</v>
      </c>
      <c r="D438">
        <v>29084584</v>
      </c>
      <c r="E438">
        <v>1</v>
      </c>
      <c r="F438">
        <v>1</v>
      </c>
      <c r="G438">
        <v>1</v>
      </c>
      <c r="H438">
        <v>1</v>
      </c>
      <c r="I438" t="s">
        <v>898</v>
      </c>
      <c r="J438" t="s">
        <v>6</v>
      </c>
      <c r="K438" t="s">
        <v>899</v>
      </c>
      <c r="L438">
        <v>1369</v>
      </c>
      <c r="N438">
        <v>1013</v>
      </c>
      <c r="O438" t="s">
        <v>773</v>
      </c>
      <c r="P438" t="s">
        <v>773</v>
      </c>
      <c r="Q438">
        <v>1</v>
      </c>
      <c r="W438">
        <v>0</v>
      </c>
      <c r="X438">
        <v>-855355929</v>
      </c>
      <c r="Y438">
        <v>57.528749999999995</v>
      </c>
      <c r="AA438">
        <v>0</v>
      </c>
      <c r="AB438">
        <v>0</v>
      </c>
      <c r="AC438">
        <v>0</v>
      </c>
      <c r="AD438">
        <v>201.75</v>
      </c>
      <c r="AE438">
        <v>0</v>
      </c>
      <c r="AF438">
        <v>0</v>
      </c>
      <c r="AG438">
        <v>0</v>
      </c>
      <c r="AH438">
        <v>8.33</v>
      </c>
      <c r="AI438">
        <v>1</v>
      </c>
      <c r="AJ438">
        <v>1</v>
      </c>
      <c r="AK438">
        <v>1</v>
      </c>
      <c r="AL438">
        <v>24.22</v>
      </c>
      <c r="AN438">
        <v>0</v>
      </c>
      <c r="AO438">
        <v>1</v>
      </c>
      <c r="AP438">
        <v>1</v>
      </c>
      <c r="AQ438">
        <v>0</v>
      </c>
      <c r="AR438">
        <v>0</v>
      </c>
      <c r="AS438" t="s">
        <v>6</v>
      </c>
      <c r="AT438">
        <v>43.5</v>
      </c>
      <c r="AU438" t="s">
        <v>127</v>
      </c>
      <c r="AV438">
        <v>1</v>
      </c>
      <c r="AW438">
        <v>2</v>
      </c>
      <c r="AX438">
        <v>31029681</v>
      </c>
      <c r="AY438">
        <v>1</v>
      </c>
      <c r="AZ438">
        <v>0</v>
      </c>
      <c r="BA438">
        <v>463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CX438">
        <f>Y438*Source!I230</f>
        <v>83.341900124999995</v>
      </c>
      <c r="CY438">
        <f>AD438</f>
        <v>201.75</v>
      </c>
      <c r="CZ438">
        <f>AH438</f>
        <v>8.33</v>
      </c>
      <c r="DA438">
        <f>AL438</f>
        <v>24.22</v>
      </c>
      <c r="DB438">
        <f>ROUND((ROUND(AT438*CZ438,2)*ROUND((1.15*1.15),7)),6)</f>
        <v>479.22109999999998</v>
      </c>
      <c r="DC438">
        <f>ROUND((ROUND(AT438*AG438,2)*ROUND((1.15*1.15),7)),6)</f>
        <v>0</v>
      </c>
    </row>
    <row r="439" spans="1:107">
      <c r="A439">
        <f>ROW(Source!A230)</f>
        <v>230</v>
      </c>
      <c r="B439">
        <v>31028412</v>
      </c>
      <c r="C439">
        <v>31029675</v>
      </c>
      <c r="D439">
        <v>29149520</v>
      </c>
      <c r="E439">
        <v>1</v>
      </c>
      <c r="F439">
        <v>1</v>
      </c>
      <c r="G439">
        <v>1</v>
      </c>
      <c r="H439">
        <v>2</v>
      </c>
      <c r="I439" t="s">
        <v>790</v>
      </c>
      <c r="J439" t="s">
        <v>791</v>
      </c>
      <c r="K439" t="s">
        <v>792</v>
      </c>
      <c r="L439">
        <v>1368</v>
      </c>
      <c r="N439">
        <v>1011</v>
      </c>
      <c r="O439" t="s">
        <v>780</v>
      </c>
      <c r="P439" t="s">
        <v>780</v>
      </c>
      <c r="Q439">
        <v>1</v>
      </c>
      <c r="W439">
        <v>0</v>
      </c>
      <c r="X439">
        <v>-1931461795</v>
      </c>
      <c r="Y439">
        <v>0.10062500000000001</v>
      </c>
      <c r="AA439">
        <v>0</v>
      </c>
      <c r="AB439">
        <v>699.98</v>
      </c>
      <c r="AC439">
        <v>0</v>
      </c>
      <c r="AD439">
        <v>0</v>
      </c>
      <c r="AE439">
        <v>0</v>
      </c>
      <c r="AF439">
        <v>91.62</v>
      </c>
      <c r="AG439">
        <v>0</v>
      </c>
      <c r="AH439">
        <v>0</v>
      </c>
      <c r="AI439">
        <v>1</v>
      </c>
      <c r="AJ439">
        <v>7.64</v>
      </c>
      <c r="AK439">
        <v>24.22</v>
      </c>
      <c r="AL439">
        <v>1</v>
      </c>
      <c r="AN439">
        <v>0</v>
      </c>
      <c r="AO439">
        <v>1</v>
      </c>
      <c r="AP439">
        <v>1</v>
      </c>
      <c r="AQ439">
        <v>0</v>
      </c>
      <c r="AR439">
        <v>0</v>
      </c>
      <c r="AS439" t="s">
        <v>6</v>
      </c>
      <c r="AT439">
        <v>7.0000000000000007E-2</v>
      </c>
      <c r="AU439" t="s">
        <v>126</v>
      </c>
      <c r="AV439">
        <v>0</v>
      </c>
      <c r="AW439">
        <v>2</v>
      </c>
      <c r="AX439">
        <v>31029682</v>
      </c>
      <c r="AY439">
        <v>1</v>
      </c>
      <c r="AZ439">
        <v>0</v>
      </c>
      <c r="BA439">
        <v>464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CX439">
        <f>Y439*Source!I230</f>
        <v>0.14577543750000002</v>
      </c>
      <c r="CY439">
        <f>AB439</f>
        <v>699.98</v>
      </c>
      <c r="CZ439">
        <f>AF439</f>
        <v>91.62</v>
      </c>
      <c r="DA439">
        <f>AJ439</f>
        <v>7.64</v>
      </c>
      <c r="DB439">
        <f>ROUND((ROUND(AT439*CZ439,2)*ROUND((1.25*1.15),7)),6)</f>
        <v>9.2143750000000004</v>
      </c>
      <c r="DC439">
        <f>ROUND((ROUND(AT439*AG439,2)*ROUND((1.25*1.15),7)),6)</f>
        <v>0</v>
      </c>
    </row>
    <row r="440" spans="1:107">
      <c r="A440">
        <f>ROW(Source!A230)</f>
        <v>230</v>
      </c>
      <c r="B440">
        <v>31028412</v>
      </c>
      <c r="C440">
        <v>31029675</v>
      </c>
      <c r="D440">
        <v>29152821</v>
      </c>
      <c r="E440">
        <v>1</v>
      </c>
      <c r="F440">
        <v>1</v>
      </c>
      <c r="G440">
        <v>1</v>
      </c>
      <c r="H440">
        <v>3</v>
      </c>
      <c r="I440" t="s">
        <v>1035</v>
      </c>
      <c r="J440" t="s">
        <v>1036</v>
      </c>
      <c r="K440" t="s">
        <v>1037</v>
      </c>
      <c r="L440">
        <v>1339</v>
      </c>
      <c r="N440">
        <v>1007</v>
      </c>
      <c r="O440" t="s">
        <v>109</v>
      </c>
      <c r="P440" t="s">
        <v>109</v>
      </c>
      <c r="Q440">
        <v>1</v>
      </c>
      <c r="W440">
        <v>0</v>
      </c>
      <c r="X440">
        <v>-779032382</v>
      </c>
      <c r="Y440">
        <v>8.9999999999999993E-3</v>
      </c>
      <c r="AA440">
        <v>6787</v>
      </c>
      <c r="AB440">
        <v>0</v>
      </c>
      <c r="AC440">
        <v>0</v>
      </c>
      <c r="AD440">
        <v>0</v>
      </c>
      <c r="AE440">
        <v>1100</v>
      </c>
      <c r="AF440">
        <v>0</v>
      </c>
      <c r="AG440">
        <v>0</v>
      </c>
      <c r="AH440">
        <v>0</v>
      </c>
      <c r="AI440">
        <v>6.17</v>
      </c>
      <c r="AJ440">
        <v>1</v>
      </c>
      <c r="AK440">
        <v>1</v>
      </c>
      <c r="AL440">
        <v>1</v>
      </c>
      <c r="AN440">
        <v>0</v>
      </c>
      <c r="AO440">
        <v>1</v>
      </c>
      <c r="AP440">
        <v>0</v>
      </c>
      <c r="AQ440">
        <v>0</v>
      </c>
      <c r="AR440">
        <v>0</v>
      </c>
      <c r="AS440" t="s">
        <v>6</v>
      </c>
      <c r="AT440">
        <v>8.9999999999999993E-3</v>
      </c>
      <c r="AU440" t="s">
        <v>6</v>
      </c>
      <c r="AV440">
        <v>0</v>
      </c>
      <c r="AW440">
        <v>2</v>
      </c>
      <c r="AX440">
        <v>31029683</v>
      </c>
      <c r="AY440">
        <v>1</v>
      </c>
      <c r="AZ440">
        <v>0</v>
      </c>
      <c r="BA440">
        <v>465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CX440">
        <f>Y440*Source!I230</f>
        <v>1.3038299999999999E-2</v>
      </c>
      <c r="CY440">
        <f>AA440</f>
        <v>6787</v>
      </c>
      <c r="CZ440">
        <f>AE440</f>
        <v>1100</v>
      </c>
      <c r="DA440">
        <f>AI440</f>
        <v>6.17</v>
      </c>
      <c r="DB440">
        <f>ROUND(ROUND(AT440*CZ440,2),6)</f>
        <v>9.9</v>
      </c>
      <c r="DC440">
        <f>ROUND(ROUND(AT440*AG440,2),6)</f>
        <v>0</v>
      </c>
    </row>
    <row r="441" spans="1:107">
      <c r="A441">
        <f>ROW(Source!A230)</f>
        <v>230</v>
      </c>
      <c r="B441">
        <v>31028412</v>
      </c>
      <c r="C441">
        <v>31029675</v>
      </c>
      <c r="D441">
        <v>29152822</v>
      </c>
      <c r="E441">
        <v>1</v>
      </c>
      <c r="F441">
        <v>1</v>
      </c>
      <c r="G441">
        <v>1</v>
      </c>
      <c r="H441">
        <v>3</v>
      </c>
      <c r="I441" t="s">
        <v>1038</v>
      </c>
      <c r="J441" t="s">
        <v>1039</v>
      </c>
      <c r="K441" t="s">
        <v>1040</v>
      </c>
      <c r="L441">
        <v>1348</v>
      </c>
      <c r="N441">
        <v>1009</v>
      </c>
      <c r="O441" t="s">
        <v>137</v>
      </c>
      <c r="P441" t="s">
        <v>137</v>
      </c>
      <c r="Q441">
        <v>1000</v>
      </c>
      <c r="W441">
        <v>0</v>
      </c>
      <c r="X441">
        <v>853898867</v>
      </c>
      <c r="Y441">
        <v>3.5000000000000003E-2</v>
      </c>
      <c r="AA441">
        <v>41234.11</v>
      </c>
      <c r="AB441">
        <v>0</v>
      </c>
      <c r="AC441">
        <v>0</v>
      </c>
      <c r="AD441">
        <v>0</v>
      </c>
      <c r="AE441">
        <v>6683</v>
      </c>
      <c r="AF441">
        <v>0</v>
      </c>
      <c r="AG441">
        <v>0</v>
      </c>
      <c r="AH441">
        <v>0</v>
      </c>
      <c r="AI441">
        <v>6.17</v>
      </c>
      <c r="AJ441">
        <v>1</v>
      </c>
      <c r="AK441">
        <v>1</v>
      </c>
      <c r="AL441">
        <v>1</v>
      </c>
      <c r="AN441">
        <v>0</v>
      </c>
      <c r="AO441">
        <v>1</v>
      </c>
      <c r="AP441">
        <v>0</v>
      </c>
      <c r="AQ441">
        <v>0</v>
      </c>
      <c r="AR441">
        <v>0</v>
      </c>
      <c r="AS441" t="s">
        <v>6</v>
      </c>
      <c r="AT441">
        <v>3.5000000000000003E-2</v>
      </c>
      <c r="AU441" t="s">
        <v>6</v>
      </c>
      <c r="AV441">
        <v>0</v>
      </c>
      <c r="AW441">
        <v>2</v>
      </c>
      <c r="AX441">
        <v>31029684</v>
      </c>
      <c r="AY441">
        <v>1</v>
      </c>
      <c r="AZ441">
        <v>0</v>
      </c>
      <c r="BA441">
        <v>466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CX441">
        <f>Y441*Source!I230</f>
        <v>5.0704500000000007E-2</v>
      </c>
      <c r="CY441">
        <f>AA441</f>
        <v>41234.11</v>
      </c>
      <c r="CZ441">
        <f>AE441</f>
        <v>6683</v>
      </c>
      <c r="DA441">
        <f>AI441</f>
        <v>6.17</v>
      </c>
      <c r="DB441">
        <f>ROUND(ROUND(AT441*CZ441,2),6)</f>
        <v>233.91</v>
      </c>
      <c r="DC441">
        <f>ROUND(ROUND(AT441*AG441,2),6)</f>
        <v>0</v>
      </c>
    </row>
    <row r="442" spans="1:107">
      <c r="A442">
        <f>ROW(Source!A230)</f>
        <v>230</v>
      </c>
      <c r="B442">
        <v>31028412</v>
      </c>
      <c r="C442">
        <v>31029675</v>
      </c>
      <c r="D442">
        <v>29172320</v>
      </c>
      <c r="E442">
        <v>1</v>
      </c>
      <c r="F442">
        <v>1</v>
      </c>
      <c r="G442">
        <v>1</v>
      </c>
      <c r="H442">
        <v>3</v>
      </c>
      <c r="I442" t="s">
        <v>1041</v>
      </c>
      <c r="J442" t="s">
        <v>1042</v>
      </c>
      <c r="K442" t="s">
        <v>1043</v>
      </c>
      <c r="L442">
        <v>1327</v>
      </c>
      <c r="N442">
        <v>1005</v>
      </c>
      <c r="O442" t="s">
        <v>284</v>
      </c>
      <c r="P442" t="s">
        <v>284</v>
      </c>
      <c r="Q442">
        <v>1</v>
      </c>
      <c r="W442">
        <v>0</v>
      </c>
      <c r="X442">
        <v>-452592466</v>
      </c>
      <c r="Y442">
        <v>3.4</v>
      </c>
      <c r="AA442">
        <v>120.75</v>
      </c>
      <c r="AB442">
        <v>0</v>
      </c>
      <c r="AC442">
        <v>0</v>
      </c>
      <c r="AD442">
        <v>0</v>
      </c>
      <c r="AE442">
        <v>19.57</v>
      </c>
      <c r="AF442">
        <v>0</v>
      </c>
      <c r="AG442">
        <v>0</v>
      </c>
      <c r="AH442">
        <v>0</v>
      </c>
      <c r="AI442">
        <v>6.17</v>
      </c>
      <c r="AJ442">
        <v>1</v>
      </c>
      <c r="AK442">
        <v>1</v>
      </c>
      <c r="AL442">
        <v>1</v>
      </c>
      <c r="AN442">
        <v>0</v>
      </c>
      <c r="AO442">
        <v>1</v>
      </c>
      <c r="AP442">
        <v>0</v>
      </c>
      <c r="AQ442">
        <v>0</v>
      </c>
      <c r="AR442">
        <v>0</v>
      </c>
      <c r="AS442" t="s">
        <v>6</v>
      </c>
      <c r="AT442">
        <v>3.4</v>
      </c>
      <c r="AU442" t="s">
        <v>6</v>
      </c>
      <c r="AV442">
        <v>0</v>
      </c>
      <c r="AW442">
        <v>2</v>
      </c>
      <c r="AX442">
        <v>31029685</v>
      </c>
      <c r="AY442">
        <v>1</v>
      </c>
      <c r="AZ442">
        <v>0</v>
      </c>
      <c r="BA442">
        <v>467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CX442">
        <f>Y442*Source!I230</f>
        <v>4.9255800000000001</v>
      </c>
      <c r="CY442">
        <f>AA442</f>
        <v>120.75</v>
      </c>
      <c r="CZ442">
        <f>AE442</f>
        <v>19.57</v>
      </c>
      <c r="DA442">
        <f>AI442</f>
        <v>6.17</v>
      </c>
      <c r="DB442">
        <f>ROUND(ROUND(AT442*CZ442,2),6)</f>
        <v>66.540000000000006</v>
      </c>
      <c r="DC442">
        <f>ROUND(ROUND(AT442*AG442,2),6)</f>
        <v>0</v>
      </c>
    </row>
    <row r="443" spans="1:107">
      <c r="A443">
        <f>ROW(Source!A231)</f>
        <v>231</v>
      </c>
      <c r="B443">
        <v>31028412</v>
      </c>
      <c r="C443">
        <v>31029686</v>
      </c>
      <c r="D443">
        <v>29084589</v>
      </c>
      <c r="E443">
        <v>1</v>
      </c>
      <c r="F443">
        <v>1</v>
      </c>
      <c r="G443">
        <v>1</v>
      </c>
      <c r="H443">
        <v>1</v>
      </c>
      <c r="I443" t="s">
        <v>771</v>
      </c>
      <c r="J443" t="s">
        <v>6</v>
      </c>
      <c r="K443" t="s">
        <v>772</v>
      </c>
      <c r="L443">
        <v>1369</v>
      </c>
      <c r="N443">
        <v>1013</v>
      </c>
      <c r="O443" t="s">
        <v>773</v>
      </c>
      <c r="P443" t="s">
        <v>773</v>
      </c>
      <c r="Q443">
        <v>1</v>
      </c>
      <c r="W443">
        <v>0</v>
      </c>
      <c r="X443">
        <v>-1659096359</v>
      </c>
      <c r="Y443">
        <v>9.4759999999999991</v>
      </c>
      <c r="AA443">
        <v>0</v>
      </c>
      <c r="AB443">
        <v>0</v>
      </c>
      <c r="AC443">
        <v>0</v>
      </c>
      <c r="AD443">
        <v>207.08</v>
      </c>
      <c r="AE443">
        <v>0</v>
      </c>
      <c r="AF443">
        <v>0</v>
      </c>
      <c r="AG443">
        <v>0</v>
      </c>
      <c r="AH443">
        <v>8.5500000000000007</v>
      </c>
      <c r="AI443">
        <v>1</v>
      </c>
      <c r="AJ443">
        <v>1</v>
      </c>
      <c r="AK443">
        <v>1</v>
      </c>
      <c r="AL443">
        <v>24.22</v>
      </c>
      <c r="AN443">
        <v>0</v>
      </c>
      <c r="AO443">
        <v>1</v>
      </c>
      <c r="AP443">
        <v>1</v>
      </c>
      <c r="AQ443">
        <v>0</v>
      </c>
      <c r="AR443">
        <v>0</v>
      </c>
      <c r="AS443" t="s">
        <v>6</v>
      </c>
      <c r="AT443">
        <v>8.24</v>
      </c>
      <c r="AU443" t="s">
        <v>36</v>
      </c>
      <c r="AV443">
        <v>1</v>
      </c>
      <c r="AW443">
        <v>2</v>
      </c>
      <c r="AX443">
        <v>31029691</v>
      </c>
      <c r="AY443">
        <v>1</v>
      </c>
      <c r="AZ443">
        <v>0</v>
      </c>
      <c r="BA443">
        <v>468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CX443">
        <f>Y443*Source!I231</f>
        <v>142.13999999999999</v>
      </c>
      <c r="CY443">
        <f>AD443</f>
        <v>207.08</v>
      </c>
      <c r="CZ443">
        <f>AH443</f>
        <v>8.5500000000000007</v>
      </c>
      <c r="DA443">
        <f>AL443</f>
        <v>24.22</v>
      </c>
      <c r="DB443">
        <f>ROUND((ROUND(AT443*CZ443,2)*ROUND(1.15,7)),6)</f>
        <v>81.017499999999998</v>
      </c>
      <c r="DC443">
        <f>ROUND((ROUND(AT443*AG443,2)*ROUND(1.15,7)),6)</f>
        <v>0</v>
      </c>
    </row>
    <row r="444" spans="1:107">
      <c r="A444">
        <f>ROW(Source!A231)</f>
        <v>231</v>
      </c>
      <c r="B444">
        <v>31028412</v>
      </c>
      <c r="C444">
        <v>31029686</v>
      </c>
      <c r="D444">
        <v>29084573</v>
      </c>
      <c r="E444">
        <v>1</v>
      </c>
      <c r="F444">
        <v>1</v>
      </c>
      <c r="G444">
        <v>1</v>
      </c>
      <c r="H444">
        <v>1</v>
      </c>
      <c r="I444" t="s">
        <v>774</v>
      </c>
      <c r="J444" t="s">
        <v>6</v>
      </c>
      <c r="K444" t="s">
        <v>775</v>
      </c>
      <c r="L444">
        <v>608254</v>
      </c>
      <c r="N444">
        <v>1013</v>
      </c>
      <c r="O444" t="s">
        <v>776</v>
      </c>
      <c r="P444" t="s">
        <v>776</v>
      </c>
      <c r="Q444">
        <v>1</v>
      </c>
      <c r="W444">
        <v>0</v>
      </c>
      <c r="X444">
        <v>95408949</v>
      </c>
      <c r="Y444">
        <v>1.3224999999999998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1</v>
      </c>
      <c r="AJ444">
        <v>1</v>
      </c>
      <c r="AK444">
        <v>24.22</v>
      </c>
      <c r="AL444">
        <v>1</v>
      </c>
      <c r="AN444">
        <v>0</v>
      </c>
      <c r="AO444">
        <v>1</v>
      </c>
      <c r="AP444">
        <v>1</v>
      </c>
      <c r="AQ444">
        <v>0</v>
      </c>
      <c r="AR444">
        <v>0</v>
      </c>
      <c r="AS444" t="s">
        <v>6</v>
      </c>
      <c r="AT444">
        <v>1.1499999999999999</v>
      </c>
      <c r="AU444" t="s">
        <v>36</v>
      </c>
      <c r="AV444">
        <v>2</v>
      </c>
      <c r="AW444">
        <v>2</v>
      </c>
      <c r="AX444">
        <v>31029692</v>
      </c>
      <c r="AY444">
        <v>1</v>
      </c>
      <c r="AZ444">
        <v>0</v>
      </c>
      <c r="BA444">
        <v>469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CX444">
        <f>Y444*Source!I231</f>
        <v>19.837499999999999</v>
      </c>
      <c r="CY444">
        <f>AD444</f>
        <v>0</v>
      </c>
      <c r="CZ444">
        <f>AH444</f>
        <v>0</v>
      </c>
      <c r="DA444">
        <f>AL444</f>
        <v>1</v>
      </c>
      <c r="DB444">
        <f>ROUND((ROUND(AT444*CZ444,2)*ROUND(1.15,7)),6)</f>
        <v>0</v>
      </c>
      <c r="DC444">
        <f>ROUND((ROUND(AT444*AG444,2)*ROUND(1.15,7)),6)</f>
        <v>0</v>
      </c>
    </row>
    <row r="445" spans="1:107">
      <c r="A445">
        <f>ROW(Source!A231)</f>
        <v>231</v>
      </c>
      <c r="B445">
        <v>31028412</v>
      </c>
      <c r="C445">
        <v>31029686</v>
      </c>
      <c r="D445">
        <v>29147843</v>
      </c>
      <c r="E445">
        <v>1</v>
      </c>
      <c r="F445">
        <v>1</v>
      </c>
      <c r="G445">
        <v>1</v>
      </c>
      <c r="H445">
        <v>2</v>
      </c>
      <c r="I445" t="s">
        <v>874</v>
      </c>
      <c r="J445" t="s">
        <v>875</v>
      </c>
      <c r="K445" t="s">
        <v>876</v>
      </c>
      <c r="L445">
        <v>1368</v>
      </c>
      <c r="N445">
        <v>1011</v>
      </c>
      <c r="O445" t="s">
        <v>780</v>
      </c>
      <c r="P445" t="s">
        <v>780</v>
      </c>
      <c r="Q445">
        <v>1</v>
      </c>
      <c r="W445">
        <v>0</v>
      </c>
      <c r="X445">
        <v>-488413844</v>
      </c>
      <c r="Y445">
        <v>1.3224999999999998</v>
      </c>
      <c r="AA445">
        <v>0</v>
      </c>
      <c r="AB445">
        <v>665.52</v>
      </c>
      <c r="AC445">
        <v>235.18</v>
      </c>
      <c r="AD445">
        <v>0</v>
      </c>
      <c r="AE445">
        <v>0</v>
      </c>
      <c r="AF445">
        <v>87.11</v>
      </c>
      <c r="AG445">
        <v>9.7100000000000009</v>
      </c>
      <c r="AH445">
        <v>0</v>
      </c>
      <c r="AI445">
        <v>1</v>
      </c>
      <c r="AJ445">
        <v>7.64</v>
      </c>
      <c r="AK445">
        <v>24.22</v>
      </c>
      <c r="AL445">
        <v>1</v>
      </c>
      <c r="AN445">
        <v>0</v>
      </c>
      <c r="AO445">
        <v>1</v>
      </c>
      <c r="AP445">
        <v>1</v>
      </c>
      <c r="AQ445">
        <v>0</v>
      </c>
      <c r="AR445">
        <v>0</v>
      </c>
      <c r="AS445" t="s">
        <v>6</v>
      </c>
      <c r="AT445">
        <v>1.1499999999999999</v>
      </c>
      <c r="AU445" t="s">
        <v>36</v>
      </c>
      <c r="AV445">
        <v>0</v>
      </c>
      <c r="AW445">
        <v>2</v>
      </c>
      <c r="AX445">
        <v>31029693</v>
      </c>
      <c r="AY445">
        <v>1</v>
      </c>
      <c r="AZ445">
        <v>0</v>
      </c>
      <c r="BA445">
        <v>470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CX445">
        <f>Y445*Source!I231</f>
        <v>19.837499999999999</v>
      </c>
      <c r="CY445">
        <f>AB445</f>
        <v>665.52</v>
      </c>
      <c r="CZ445">
        <f>AF445</f>
        <v>87.11</v>
      </c>
      <c r="DA445">
        <f>AJ445</f>
        <v>7.64</v>
      </c>
      <c r="DB445">
        <f>ROUND((ROUND(AT445*CZ445,2)*ROUND(1.15,7)),6)</f>
        <v>115.20699999999999</v>
      </c>
      <c r="DC445">
        <f>ROUND((ROUND(AT445*AG445,2)*ROUND(1.15,7)),6)</f>
        <v>12.845499999999999</v>
      </c>
    </row>
    <row r="446" spans="1:107">
      <c r="A446">
        <f>ROW(Source!A231)</f>
        <v>231</v>
      </c>
      <c r="B446">
        <v>31028412</v>
      </c>
      <c r="C446">
        <v>31029686</v>
      </c>
      <c r="D446">
        <v>29149208</v>
      </c>
      <c r="E446">
        <v>1</v>
      </c>
      <c r="F446">
        <v>1</v>
      </c>
      <c r="G446">
        <v>1</v>
      </c>
      <c r="H446">
        <v>2</v>
      </c>
      <c r="I446" t="s">
        <v>877</v>
      </c>
      <c r="J446" t="s">
        <v>878</v>
      </c>
      <c r="K446" t="s">
        <v>879</v>
      </c>
      <c r="L446">
        <v>1368</v>
      </c>
      <c r="N446">
        <v>1011</v>
      </c>
      <c r="O446" t="s">
        <v>780</v>
      </c>
      <c r="P446" t="s">
        <v>780</v>
      </c>
      <c r="Q446">
        <v>1</v>
      </c>
      <c r="W446">
        <v>0</v>
      </c>
      <c r="X446">
        <v>-554917348</v>
      </c>
      <c r="Y446">
        <v>2.6449999999999996</v>
      </c>
      <c r="AA446">
        <v>0</v>
      </c>
      <c r="AB446">
        <v>11.69</v>
      </c>
      <c r="AC446">
        <v>0</v>
      </c>
      <c r="AD446">
        <v>0</v>
      </c>
      <c r="AE446">
        <v>0</v>
      </c>
      <c r="AF446">
        <v>1.53</v>
      </c>
      <c r="AG446">
        <v>0</v>
      </c>
      <c r="AH446">
        <v>0</v>
      </c>
      <c r="AI446">
        <v>1</v>
      </c>
      <c r="AJ446">
        <v>7.64</v>
      </c>
      <c r="AK446">
        <v>24.22</v>
      </c>
      <c r="AL446">
        <v>1</v>
      </c>
      <c r="AN446">
        <v>0</v>
      </c>
      <c r="AO446">
        <v>1</v>
      </c>
      <c r="AP446">
        <v>1</v>
      </c>
      <c r="AQ446">
        <v>0</v>
      </c>
      <c r="AR446">
        <v>0</v>
      </c>
      <c r="AS446" t="s">
        <v>6</v>
      </c>
      <c r="AT446">
        <v>2.2999999999999998</v>
      </c>
      <c r="AU446" t="s">
        <v>36</v>
      </c>
      <c r="AV446">
        <v>0</v>
      </c>
      <c r="AW446">
        <v>2</v>
      </c>
      <c r="AX446">
        <v>31029694</v>
      </c>
      <c r="AY446">
        <v>1</v>
      </c>
      <c r="AZ446">
        <v>0</v>
      </c>
      <c r="BA446">
        <v>471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CX446">
        <f>Y446*Source!I231</f>
        <v>39.674999999999997</v>
      </c>
      <c r="CY446">
        <f>AB446</f>
        <v>11.69</v>
      </c>
      <c r="CZ446">
        <f>AF446</f>
        <v>1.53</v>
      </c>
      <c r="DA446">
        <f>AJ446</f>
        <v>7.64</v>
      </c>
      <c r="DB446">
        <f>ROUND((ROUND(AT446*CZ446,2)*ROUND(1.15,7)),6)</f>
        <v>4.048</v>
      </c>
      <c r="DC446">
        <f>ROUND((ROUND(AT446*AG446,2)*ROUND(1.15,7)),6)</f>
        <v>0</v>
      </c>
    </row>
    <row r="447" spans="1:107">
      <c r="A447">
        <f>ROW(Source!A232)</f>
        <v>232</v>
      </c>
      <c r="B447">
        <v>31028412</v>
      </c>
      <c r="C447">
        <v>31029695</v>
      </c>
      <c r="D447">
        <v>29084586</v>
      </c>
      <c r="E447">
        <v>1</v>
      </c>
      <c r="F447">
        <v>1</v>
      </c>
      <c r="G447">
        <v>1</v>
      </c>
      <c r="H447">
        <v>1</v>
      </c>
      <c r="I447" t="s">
        <v>828</v>
      </c>
      <c r="J447" t="s">
        <v>6</v>
      </c>
      <c r="K447" t="s">
        <v>829</v>
      </c>
      <c r="L447">
        <v>1369</v>
      </c>
      <c r="N447">
        <v>1013</v>
      </c>
      <c r="O447" t="s">
        <v>773</v>
      </c>
      <c r="P447" t="s">
        <v>773</v>
      </c>
      <c r="Q447">
        <v>1</v>
      </c>
      <c r="W447">
        <v>0</v>
      </c>
      <c r="X447">
        <v>1694118523</v>
      </c>
      <c r="Y447">
        <v>55.72209999999999</v>
      </c>
      <c r="AA447">
        <v>0</v>
      </c>
      <c r="AB447">
        <v>0</v>
      </c>
      <c r="AC447">
        <v>0</v>
      </c>
      <c r="AD447">
        <v>204.42</v>
      </c>
      <c r="AE447">
        <v>0</v>
      </c>
      <c r="AF447">
        <v>0</v>
      </c>
      <c r="AG447">
        <v>0</v>
      </c>
      <c r="AH447">
        <v>8.44</v>
      </c>
      <c r="AI447">
        <v>1</v>
      </c>
      <c r="AJ447">
        <v>1</v>
      </c>
      <c r="AK447">
        <v>1</v>
      </c>
      <c r="AL447">
        <v>24.22</v>
      </c>
      <c r="AN447">
        <v>0</v>
      </c>
      <c r="AO447">
        <v>1</v>
      </c>
      <c r="AP447">
        <v>1</v>
      </c>
      <c r="AQ447">
        <v>0</v>
      </c>
      <c r="AR447">
        <v>0</v>
      </c>
      <c r="AS447" t="s">
        <v>6</v>
      </c>
      <c r="AT447">
        <v>69.22</v>
      </c>
      <c r="AU447" t="s">
        <v>477</v>
      </c>
      <c r="AV447">
        <v>1</v>
      </c>
      <c r="AW447">
        <v>2</v>
      </c>
      <c r="AX447">
        <v>31029718</v>
      </c>
      <c r="AY447">
        <v>1</v>
      </c>
      <c r="AZ447">
        <v>0</v>
      </c>
      <c r="BA447">
        <v>472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CX447">
        <f>Y447*Source!I232</f>
        <v>4.3909014799999992</v>
      </c>
      <c r="CY447">
        <f>AD447</f>
        <v>204.42</v>
      </c>
      <c r="CZ447">
        <f>AH447</f>
        <v>8.44</v>
      </c>
      <c r="DA447">
        <f>AL447</f>
        <v>24.22</v>
      </c>
      <c r="DB447">
        <f t="shared" ref="DB447:DB454" si="76">ROUND((ROUND(AT447*CZ447,2)*ROUND((0.7*1.15),7)),6)</f>
        <v>470.2971</v>
      </c>
      <c r="DC447">
        <f t="shared" ref="DC447:DC454" si="77">ROUND((ROUND(AT447*AG447,2)*ROUND((0.7*1.15),7)),6)</f>
        <v>0</v>
      </c>
    </row>
    <row r="448" spans="1:107">
      <c r="A448">
        <f>ROW(Source!A232)</f>
        <v>232</v>
      </c>
      <c r="B448">
        <v>31028412</v>
      </c>
      <c r="C448">
        <v>31029695</v>
      </c>
      <c r="D448">
        <v>29084573</v>
      </c>
      <c r="E448">
        <v>1</v>
      </c>
      <c r="F448">
        <v>1</v>
      </c>
      <c r="G448">
        <v>1</v>
      </c>
      <c r="H448">
        <v>1</v>
      </c>
      <c r="I448" t="s">
        <v>774</v>
      </c>
      <c r="J448" t="s">
        <v>6</v>
      </c>
      <c r="K448" t="s">
        <v>775</v>
      </c>
      <c r="L448">
        <v>608254</v>
      </c>
      <c r="N448">
        <v>1013</v>
      </c>
      <c r="O448" t="s">
        <v>776</v>
      </c>
      <c r="P448" t="s">
        <v>776</v>
      </c>
      <c r="Q448">
        <v>1</v>
      </c>
      <c r="W448">
        <v>0</v>
      </c>
      <c r="X448">
        <v>95408949</v>
      </c>
      <c r="Y448">
        <v>3.3246499999999992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1</v>
      </c>
      <c r="AJ448">
        <v>1</v>
      </c>
      <c r="AK448">
        <v>24.22</v>
      </c>
      <c r="AL448">
        <v>1</v>
      </c>
      <c r="AN448">
        <v>0</v>
      </c>
      <c r="AO448">
        <v>1</v>
      </c>
      <c r="AP448">
        <v>1</v>
      </c>
      <c r="AQ448">
        <v>0</v>
      </c>
      <c r="AR448">
        <v>0</v>
      </c>
      <c r="AS448" t="s">
        <v>6</v>
      </c>
      <c r="AT448">
        <v>4.13</v>
      </c>
      <c r="AU448" t="s">
        <v>477</v>
      </c>
      <c r="AV448">
        <v>2</v>
      </c>
      <c r="AW448">
        <v>2</v>
      </c>
      <c r="AX448">
        <v>31029719</v>
      </c>
      <c r="AY448">
        <v>1</v>
      </c>
      <c r="AZ448">
        <v>0</v>
      </c>
      <c r="BA448">
        <v>473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CX448">
        <f>Y448*Source!I232</f>
        <v>0.26198241999999994</v>
      </c>
      <c r="CY448">
        <f>AD448</f>
        <v>0</v>
      </c>
      <c r="CZ448">
        <f>AH448</f>
        <v>0</v>
      </c>
      <c r="DA448">
        <f>AL448</f>
        <v>1</v>
      </c>
      <c r="DB448">
        <f t="shared" si="76"/>
        <v>0</v>
      </c>
      <c r="DC448">
        <f t="shared" si="77"/>
        <v>0</v>
      </c>
    </row>
    <row r="449" spans="1:107">
      <c r="A449">
        <f>ROW(Source!A232)</f>
        <v>232</v>
      </c>
      <c r="B449">
        <v>31028412</v>
      </c>
      <c r="C449">
        <v>31029695</v>
      </c>
      <c r="D449">
        <v>29147533</v>
      </c>
      <c r="E449">
        <v>1</v>
      </c>
      <c r="F449">
        <v>1</v>
      </c>
      <c r="G449">
        <v>1</v>
      </c>
      <c r="H449">
        <v>2</v>
      </c>
      <c r="I449" t="s">
        <v>1044</v>
      </c>
      <c r="J449" t="s">
        <v>1045</v>
      </c>
      <c r="K449" t="s">
        <v>1046</v>
      </c>
      <c r="L449">
        <v>1368</v>
      </c>
      <c r="N449">
        <v>1011</v>
      </c>
      <c r="O449" t="s">
        <v>780</v>
      </c>
      <c r="P449" t="s">
        <v>780</v>
      </c>
      <c r="Q449">
        <v>1</v>
      </c>
      <c r="W449">
        <v>0</v>
      </c>
      <c r="X449">
        <v>1088782791</v>
      </c>
      <c r="Y449">
        <v>8.0499999999999988E-2</v>
      </c>
      <c r="AA449">
        <v>0</v>
      </c>
      <c r="AB449">
        <v>916.65</v>
      </c>
      <c r="AC449">
        <v>360.64</v>
      </c>
      <c r="AD449">
        <v>0</v>
      </c>
      <c r="AE449">
        <v>0</v>
      </c>
      <c r="AF449">
        <v>119.98</v>
      </c>
      <c r="AG449">
        <v>14.89</v>
      </c>
      <c r="AH449">
        <v>0</v>
      </c>
      <c r="AI449">
        <v>1</v>
      </c>
      <c r="AJ449">
        <v>7.64</v>
      </c>
      <c r="AK449">
        <v>24.22</v>
      </c>
      <c r="AL449">
        <v>1</v>
      </c>
      <c r="AN449">
        <v>0</v>
      </c>
      <c r="AO449">
        <v>1</v>
      </c>
      <c r="AP449">
        <v>1</v>
      </c>
      <c r="AQ449">
        <v>0</v>
      </c>
      <c r="AR449">
        <v>0</v>
      </c>
      <c r="AS449" t="s">
        <v>6</v>
      </c>
      <c r="AT449">
        <v>0.1</v>
      </c>
      <c r="AU449" t="s">
        <v>477</v>
      </c>
      <c r="AV449">
        <v>0</v>
      </c>
      <c r="AW449">
        <v>2</v>
      </c>
      <c r="AX449">
        <v>31029720</v>
      </c>
      <c r="AY449">
        <v>1</v>
      </c>
      <c r="AZ449">
        <v>0</v>
      </c>
      <c r="BA449">
        <v>474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CX449">
        <f>Y449*Source!I232</f>
        <v>6.343399999999999E-3</v>
      </c>
      <c r="CY449">
        <f t="shared" ref="CY449:CY454" si="78">AB449</f>
        <v>916.65</v>
      </c>
      <c r="CZ449">
        <f t="shared" ref="CZ449:CZ454" si="79">AF449</f>
        <v>119.98</v>
      </c>
      <c r="DA449">
        <f t="shared" ref="DA449:DA454" si="80">AJ449</f>
        <v>7.64</v>
      </c>
      <c r="DB449">
        <f t="shared" si="76"/>
        <v>9.66</v>
      </c>
      <c r="DC449">
        <f t="shared" si="77"/>
        <v>1.1994499999999999</v>
      </c>
    </row>
    <row r="450" spans="1:107">
      <c r="A450">
        <f>ROW(Source!A232)</f>
        <v>232</v>
      </c>
      <c r="B450">
        <v>31028412</v>
      </c>
      <c r="C450">
        <v>31029695</v>
      </c>
      <c r="D450">
        <v>29147601</v>
      </c>
      <c r="E450">
        <v>1</v>
      </c>
      <c r="F450">
        <v>1</v>
      </c>
      <c r="G450">
        <v>1</v>
      </c>
      <c r="H450">
        <v>2</v>
      </c>
      <c r="I450" t="s">
        <v>781</v>
      </c>
      <c r="J450" t="s">
        <v>782</v>
      </c>
      <c r="K450" t="s">
        <v>783</v>
      </c>
      <c r="L450">
        <v>1368</v>
      </c>
      <c r="N450">
        <v>1011</v>
      </c>
      <c r="O450" t="s">
        <v>780</v>
      </c>
      <c r="P450" t="s">
        <v>780</v>
      </c>
      <c r="Q450">
        <v>1</v>
      </c>
      <c r="W450">
        <v>0</v>
      </c>
      <c r="X450">
        <v>1170567961</v>
      </c>
      <c r="Y450">
        <v>9.6599999999999978E-2</v>
      </c>
      <c r="AA450">
        <v>0</v>
      </c>
      <c r="AB450">
        <v>828.56</v>
      </c>
      <c r="AC450">
        <v>315.58999999999997</v>
      </c>
      <c r="AD450">
        <v>0</v>
      </c>
      <c r="AE450">
        <v>0</v>
      </c>
      <c r="AF450">
        <v>108.45</v>
      </c>
      <c r="AG450">
        <v>13.03</v>
      </c>
      <c r="AH450">
        <v>0</v>
      </c>
      <c r="AI450">
        <v>1</v>
      </c>
      <c r="AJ450">
        <v>7.64</v>
      </c>
      <c r="AK450">
        <v>24.22</v>
      </c>
      <c r="AL450">
        <v>1</v>
      </c>
      <c r="AN450">
        <v>0</v>
      </c>
      <c r="AO450">
        <v>1</v>
      </c>
      <c r="AP450">
        <v>1</v>
      </c>
      <c r="AQ450">
        <v>0</v>
      </c>
      <c r="AR450">
        <v>0</v>
      </c>
      <c r="AS450" t="s">
        <v>6</v>
      </c>
      <c r="AT450">
        <v>0.12</v>
      </c>
      <c r="AU450" t="s">
        <v>477</v>
      </c>
      <c r="AV450">
        <v>0</v>
      </c>
      <c r="AW450">
        <v>2</v>
      </c>
      <c r="AX450">
        <v>31029721</v>
      </c>
      <c r="AY450">
        <v>1</v>
      </c>
      <c r="AZ450">
        <v>0</v>
      </c>
      <c r="BA450">
        <v>475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CX450">
        <f>Y450*Source!I232</f>
        <v>7.6120799999999976E-3</v>
      </c>
      <c r="CY450">
        <f t="shared" si="78"/>
        <v>828.56</v>
      </c>
      <c r="CZ450">
        <f t="shared" si="79"/>
        <v>108.45</v>
      </c>
      <c r="DA450">
        <f t="shared" si="80"/>
        <v>7.64</v>
      </c>
      <c r="DB450">
        <f t="shared" si="76"/>
        <v>10.473050000000001</v>
      </c>
      <c r="DC450">
        <f t="shared" si="77"/>
        <v>1.2558</v>
      </c>
    </row>
    <row r="451" spans="1:107">
      <c r="A451">
        <f>ROW(Source!A232)</f>
        <v>232</v>
      </c>
      <c r="B451">
        <v>31028412</v>
      </c>
      <c r="C451">
        <v>31029695</v>
      </c>
      <c r="D451">
        <v>29147623</v>
      </c>
      <c r="E451">
        <v>1</v>
      </c>
      <c r="F451">
        <v>1</v>
      </c>
      <c r="G451">
        <v>1</v>
      </c>
      <c r="H451">
        <v>2</v>
      </c>
      <c r="I451" t="s">
        <v>1047</v>
      </c>
      <c r="J451" t="s">
        <v>1048</v>
      </c>
      <c r="K451" t="s">
        <v>1049</v>
      </c>
      <c r="L451">
        <v>1368</v>
      </c>
      <c r="N451">
        <v>1011</v>
      </c>
      <c r="O451" t="s">
        <v>780</v>
      </c>
      <c r="P451" t="s">
        <v>780</v>
      </c>
      <c r="Q451">
        <v>1</v>
      </c>
      <c r="W451">
        <v>0</v>
      </c>
      <c r="X451">
        <v>742313679</v>
      </c>
      <c r="Y451">
        <v>3.1475499999999998</v>
      </c>
      <c r="AA451">
        <v>0</v>
      </c>
      <c r="AB451">
        <v>1313.39</v>
      </c>
      <c r="AC451">
        <v>336.66</v>
      </c>
      <c r="AD451">
        <v>0</v>
      </c>
      <c r="AE451">
        <v>0</v>
      </c>
      <c r="AF451">
        <v>171.91</v>
      </c>
      <c r="AG451">
        <v>13.9</v>
      </c>
      <c r="AH451">
        <v>0</v>
      </c>
      <c r="AI451">
        <v>1</v>
      </c>
      <c r="AJ451">
        <v>7.64</v>
      </c>
      <c r="AK451">
        <v>24.22</v>
      </c>
      <c r="AL451">
        <v>1</v>
      </c>
      <c r="AN451">
        <v>0</v>
      </c>
      <c r="AO451">
        <v>1</v>
      </c>
      <c r="AP451">
        <v>1</v>
      </c>
      <c r="AQ451">
        <v>0</v>
      </c>
      <c r="AR451">
        <v>0</v>
      </c>
      <c r="AS451" t="s">
        <v>6</v>
      </c>
      <c r="AT451">
        <v>3.91</v>
      </c>
      <c r="AU451" t="s">
        <v>477</v>
      </c>
      <c r="AV451">
        <v>0</v>
      </c>
      <c r="AW451">
        <v>2</v>
      </c>
      <c r="AX451">
        <v>31029722</v>
      </c>
      <c r="AY451">
        <v>1</v>
      </c>
      <c r="AZ451">
        <v>0</v>
      </c>
      <c r="BA451">
        <v>476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CX451">
        <f>Y451*Source!I232</f>
        <v>0.24802693999999997</v>
      </c>
      <c r="CY451">
        <f t="shared" si="78"/>
        <v>1313.39</v>
      </c>
      <c r="CZ451">
        <f t="shared" si="79"/>
        <v>171.91</v>
      </c>
      <c r="DA451">
        <f t="shared" si="80"/>
        <v>7.64</v>
      </c>
      <c r="DB451">
        <f t="shared" si="76"/>
        <v>541.09685000000002</v>
      </c>
      <c r="DC451">
        <f t="shared" si="77"/>
        <v>43.751750000000001</v>
      </c>
    </row>
    <row r="452" spans="1:107">
      <c r="A452">
        <f>ROW(Source!A232)</f>
        <v>232</v>
      </c>
      <c r="B452">
        <v>31028412</v>
      </c>
      <c r="C452">
        <v>31029695</v>
      </c>
      <c r="D452">
        <v>29147807</v>
      </c>
      <c r="E452">
        <v>1</v>
      </c>
      <c r="F452">
        <v>1</v>
      </c>
      <c r="G452">
        <v>1</v>
      </c>
      <c r="H452">
        <v>2</v>
      </c>
      <c r="I452" t="s">
        <v>1050</v>
      </c>
      <c r="J452" t="s">
        <v>1051</v>
      </c>
      <c r="K452" t="s">
        <v>1052</v>
      </c>
      <c r="L452">
        <v>1368</v>
      </c>
      <c r="N452">
        <v>1011</v>
      </c>
      <c r="O452" t="s">
        <v>780</v>
      </c>
      <c r="P452" t="s">
        <v>780</v>
      </c>
      <c r="Q452">
        <v>1</v>
      </c>
      <c r="W452">
        <v>0</v>
      </c>
      <c r="X452">
        <v>1061538499</v>
      </c>
      <c r="Y452">
        <v>1.0786999999999998</v>
      </c>
      <c r="AA452">
        <v>0</v>
      </c>
      <c r="AB452">
        <v>9.17</v>
      </c>
      <c r="AC452">
        <v>0</v>
      </c>
      <c r="AD452">
        <v>0</v>
      </c>
      <c r="AE452">
        <v>0</v>
      </c>
      <c r="AF452">
        <v>1.2</v>
      </c>
      <c r="AG452">
        <v>0</v>
      </c>
      <c r="AH452">
        <v>0</v>
      </c>
      <c r="AI452">
        <v>1</v>
      </c>
      <c r="AJ452">
        <v>7.64</v>
      </c>
      <c r="AK452">
        <v>24.22</v>
      </c>
      <c r="AL452">
        <v>1</v>
      </c>
      <c r="AN452">
        <v>0</v>
      </c>
      <c r="AO452">
        <v>1</v>
      </c>
      <c r="AP452">
        <v>1</v>
      </c>
      <c r="AQ452">
        <v>0</v>
      </c>
      <c r="AR452">
        <v>0</v>
      </c>
      <c r="AS452" t="s">
        <v>6</v>
      </c>
      <c r="AT452">
        <v>1.34</v>
      </c>
      <c r="AU452" t="s">
        <v>477</v>
      </c>
      <c r="AV452">
        <v>0</v>
      </c>
      <c r="AW452">
        <v>2</v>
      </c>
      <c r="AX452">
        <v>31029723</v>
      </c>
      <c r="AY452">
        <v>1</v>
      </c>
      <c r="AZ452">
        <v>0</v>
      </c>
      <c r="BA452">
        <v>477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CX452">
        <f>Y452*Source!I232</f>
        <v>8.5001559999999976E-2</v>
      </c>
      <c r="CY452">
        <f t="shared" si="78"/>
        <v>9.17</v>
      </c>
      <c r="CZ452">
        <f t="shared" si="79"/>
        <v>1.2</v>
      </c>
      <c r="DA452">
        <f t="shared" si="80"/>
        <v>7.64</v>
      </c>
      <c r="DB452">
        <f t="shared" si="76"/>
        <v>1.2960499999999999</v>
      </c>
      <c r="DC452">
        <f t="shared" si="77"/>
        <v>0</v>
      </c>
    </row>
    <row r="453" spans="1:107">
      <c r="A453">
        <f>ROW(Source!A232)</f>
        <v>232</v>
      </c>
      <c r="B453">
        <v>31028412</v>
      </c>
      <c r="C453">
        <v>31029695</v>
      </c>
      <c r="D453">
        <v>29147815</v>
      </c>
      <c r="E453">
        <v>1</v>
      </c>
      <c r="F453">
        <v>1</v>
      </c>
      <c r="G453">
        <v>1</v>
      </c>
      <c r="H453">
        <v>2</v>
      </c>
      <c r="I453" t="s">
        <v>1053</v>
      </c>
      <c r="J453" t="s">
        <v>1054</v>
      </c>
      <c r="K453" t="s">
        <v>1055</v>
      </c>
      <c r="L453">
        <v>1368</v>
      </c>
      <c r="N453">
        <v>1011</v>
      </c>
      <c r="O453" t="s">
        <v>780</v>
      </c>
      <c r="P453" t="s">
        <v>780</v>
      </c>
      <c r="Q453">
        <v>1</v>
      </c>
      <c r="W453">
        <v>0</v>
      </c>
      <c r="X453">
        <v>-1294915149</v>
      </c>
      <c r="Y453">
        <v>7.2450000000000001E-2</v>
      </c>
      <c r="AA453">
        <v>0</v>
      </c>
      <c r="AB453">
        <v>94.05</v>
      </c>
      <c r="AC453">
        <v>0</v>
      </c>
      <c r="AD453">
        <v>0</v>
      </c>
      <c r="AE453">
        <v>0</v>
      </c>
      <c r="AF453">
        <v>12.31</v>
      </c>
      <c r="AG453">
        <v>0</v>
      </c>
      <c r="AH453">
        <v>0</v>
      </c>
      <c r="AI453">
        <v>1</v>
      </c>
      <c r="AJ453">
        <v>7.64</v>
      </c>
      <c r="AK453">
        <v>24.22</v>
      </c>
      <c r="AL453">
        <v>1</v>
      </c>
      <c r="AN453">
        <v>0</v>
      </c>
      <c r="AO453">
        <v>1</v>
      </c>
      <c r="AP453">
        <v>1</v>
      </c>
      <c r="AQ453">
        <v>0</v>
      </c>
      <c r="AR453">
        <v>0</v>
      </c>
      <c r="AS453" t="s">
        <v>6</v>
      </c>
      <c r="AT453">
        <v>0.09</v>
      </c>
      <c r="AU453" t="s">
        <v>477</v>
      </c>
      <c r="AV453">
        <v>0</v>
      </c>
      <c r="AW453">
        <v>2</v>
      </c>
      <c r="AX453">
        <v>31029724</v>
      </c>
      <c r="AY453">
        <v>1</v>
      </c>
      <c r="AZ453">
        <v>0</v>
      </c>
      <c r="BA453">
        <v>478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CX453">
        <f>Y453*Source!I232</f>
        <v>5.7090599999999993E-3</v>
      </c>
      <c r="CY453">
        <f t="shared" si="78"/>
        <v>94.05</v>
      </c>
      <c r="CZ453">
        <f t="shared" si="79"/>
        <v>12.31</v>
      </c>
      <c r="DA453">
        <f t="shared" si="80"/>
        <v>7.64</v>
      </c>
      <c r="DB453">
        <f t="shared" si="76"/>
        <v>0.89354999999999996</v>
      </c>
      <c r="DC453">
        <f t="shared" si="77"/>
        <v>0</v>
      </c>
    </row>
    <row r="454" spans="1:107">
      <c r="A454">
        <f>ROW(Source!A232)</f>
        <v>232</v>
      </c>
      <c r="B454">
        <v>31028412</v>
      </c>
      <c r="C454">
        <v>31029695</v>
      </c>
      <c r="D454">
        <v>29149520</v>
      </c>
      <c r="E454">
        <v>1</v>
      </c>
      <c r="F454">
        <v>1</v>
      </c>
      <c r="G454">
        <v>1</v>
      </c>
      <c r="H454">
        <v>2</v>
      </c>
      <c r="I454" t="s">
        <v>790</v>
      </c>
      <c r="J454" t="s">
        <v>791</v>
      </c>
      <c r="K454" t="s">
        <v>792</v>
      </c>
      <c r="L454">
        <v>1368</v>
      </c>
      <c r="N454">
        <v>1011</v>
      </c>
      <c r="O454" t="s">
        <v>780</v>
      </c>
      <c r="P454" t="s">
        <v>780</v>
      </c>
      <c r="Q454">
        <v>1</v>
      </c>
      <c r="W454">
        <v>0</v>
      </c>
      <c r="X454">
        <v>-1931461795</v>
      </c>
      <c r="Y454">
        <v>0.15294999999999997</v>
      </c>
      <c r="AA454">
        <v>0</v>
      </c>
      <c r="AB454">
        <v>699.98</v>
      </c>
      <c r="AC454">
        <v>0</v>
      </c>
      <c r="AD454">
        <v>0</v>
      </c>
      <c r="AE454">
        <v>0</v>
      </c>
      <c r="AF454">
        <v>91.62</v>
      </c>
      <c r="AG454">
        <v>0</v>
      </c>
      <c r="AH454">
        <v>0</v>
      </c>
      <c r="AI454">
        <v>1</v>
      </c>
      <c r="AJ454">
        <v>7.64</v>
      </c>
      <c r="AK454">
        <v>24.22</v>
      </c>
      <c r="AL454">
        <v>1</v>
      </c>
      <c r="AN454">
        <v>0</v>
      </c>
      <c r="AO454">
        <v>1</v>
      </c>
      <c r="AP454">
        <v>1</v>
      </c>
      <c r="AQ454">
        <v>0</v>
      </c>
      <c r="AR454">
        <v>0</v>
      </c>
      <c r="AS454" t="s">
        <v>6</v>
      </c>
      <c r="AT454">
        <v>0.19</v>
      </c>
      <c r="AU454" t="s">
        <v>477</v>
      </c>
      <c r="AV454">
        <v>0</v>
      </c>
      <c r="AW454">
        <v>2</v>
      </c>
      <c r="AX454">
        <v>31029725</v>
      </c>
      <c r="AY454">
        <v>1</v>
      </c>
      <c r="AZ454">
        <v>0</v>
      </c>
      <c r="BA454">
        <v>479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CX454">
        <f>Y454*Source!I232</f>
        <v>1.2052459999999997E-2</v>
      </c>
      <c r="CY454">
        <f t="shared" si="78"/>
        <v>699.98</v>
      </c>
      <c r="CZ454">
        <f t="shared" si="79"/>
        <v>91.62</v>
      </c>
      <c r="DA454">
        <f t="shared" si="80"/>
        <v>7.64</v>
      </c>
      <c r="DB454">
        <f t="shared" si="76"/>
        <v>14.01505</v>
      </c>
      <c r="DC454">
        <f t="shared" si="77"/>
        <v>0</v>
      </c>
    </row>
    <row r="455" spans="1:107">
      <c r="A455">
        <f>ROW(Source!A232)</f>
        <v>232</v>
      </c>
      <c r="B455">
        <v>31028412</v>
      </c>
      <c r="C455">
        <v>31029695</v>
      </c>
      <c r="D455">
        <v>29150667</v>
      </c>
      <c r="E455">
        <v>1</v>
      </c>
      <c r="F455">
        <v>1</v>
      </c>
      <c r="G455">
        <v>1</v>
      </c>
      <c r="H455">
        <v>3</v>
      </c>
      <c r="I455" t="s">
        <v>1056</v>
      </c>
      <c r="J455" t="s">
        <v>1057</v>
      </c>
      <c r="K455" t="s">
        <v>1058</v>
      </c>
      <c r="L455">
        <v>1348</v>
      </c>
      <c r="N455">
        <v>1009</v>
      </c>
      <c r="O455" t="s">
        <v>137</v>
      </c>
      <c r="P455" t="s">
        <v>137</v>
      </c>
      <c r="Q455">
        <v>1000</v>
      </c>
      <c r="W455">
        <v>0</v>
      </c>
      <c r="X455">
        <v>-1677921739</v>
      </c>
      <c r="Y455">
        <v>0</v>
      </c>
      <c r="AA455">
        <v>109653.24</v>
      </c>
      <c r="AB455">
        <v>0</v>
      </c>
      <c r="AC455">
        <v>0</v>
      </c>
      <c r="AD455">
        <v>0</v>
      </c>
      <c r="AE455">
        <v>17772</v>
      </c>
      <c r="AF455">
        <v>0</v>
      </c>
      <c r="AG455">
        <v>0</v>
      </c>
      <c r="AH455">
        <v>0</v>
      </c>
      <c r="AI455">
        <v>6.17</v>
      </c>
      <c r="AJ455">
        <v>1</v>
      </c>
      <c r="AK455">
        <v>1</v>
      </c>
      <c r="AL455">
        <v>1</v>
      </c>
      <c r="AN455">
        <v>0</v>
      </c>
      <c r="AO455">
        <v>1</v>
      </c>
      <c r="AP455">
        <v>1</v>
      </c>
      <c r="AQ455">
        <v>0</v>
      </c>
      <c r="AR455">
        <v>0</v>
      </c>
      <c r="AS455" t="s">
        <v>6</v>
      </c>
      <c r="AT455">
        <v>1E-4</v>
      </c>
      <c r="AU455" t="s">
        <v>24</v>
      </c>
      <c r="AV455">
        <v>0</v>
      </c>
      <c r="AW455">
        <v>2</v>
      </c>
      <c r="AX455">
        <v>31029726</v>
      </c>
      <c r="AY455">
        <v>1</v>
      </c>
      <c r="AZ455">
        <v>0</v>
      </c>
      <c r="BA455">
        <v>480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CX455">
        <f>Y455*Source!I232</f>
        <v>0</v>
      </c>
      <c r="CY455">
        <f t="shared" ref="CY455:CY468" si="81">AA455</f>
        <v>109653.24</v>
      </c>
      <c r="CZ455">
        <f t="shared" ref="CZ455:CZ468" si="82">AE455</f>
        <v>17772</v>
      </c>
      <c r="DA455">
        <f t="shared" ref="DA455:DA468" si="83">AI455</f>
        <v>6.17</v>
      </c>
      <c r="DB455">
        <f t="shared" ref="DB455:DB468" si="84">ROUND((ROUND(AT455*CZ455,2)*ROUND(0,7)),6)</f>
        <v>0</v>
      </c>
      <c r="DC455">
        <f t="shared" ref="DC455:DC468" si="85">ROUND((ROUND(AT455*AG455,2)*ROUND(0,7)),6)</f>
        <v>0</v>
      </c>
    </row>
    <row r="456" spans="1:107">
      <c r="A456">
        <f>ROW(Source!A232)</f>
        <v>232</v>
      </c>
      <c r="B456">
        <v>31028412</v>
      </c>
      <c r="C456">
        <v>31029695</v>
      </c>
      <c r="D456">
        <v>29150682</v>
      </c>
      <c r="E456">
        <v>1</v>
      </c>
      <c r="F456">
        <v>1</v>
      </c>
      <c r="G456">
        <v>1</v>
      </c>
      <c r="H456">
        <v>3</v>
      </c>
      <c r="I456" t="s">
        <v>1059</v>
      </c>
      <c r="J456" t="s">
        <v>1060</v>
      </c>
      <c r="K456" t="s">
        <v>1061</v>
      </c>
      <c r="L456">
        <v>1339</v>
      </c>
      <c r="N456">
        <v>1007</v>
      </c>
      <c r="O456" t="s">
        <v>109</v>
      </c>
      <c r="P456" t="s">
        <v>109</v>
      </c>
      <c r="Q456">
        <v>1</v>
      </c>
      <c r="W456">
        <v>0</v>
      </c>
      <c r="X456">
        <v>-121200843</v>
      </c>
      <c r="Y456">
        <v>0</v>
      </c>
      <c r="AA456">
        <v>38.380000000000003</v>
      </c>
      <c r="AB456">
        <v>0</v>
      </c>
      <c r="AC456">
        <v>0</v>
      </c>
      <c r="AD456">
        <v>0</v>
      </c>
      <c r="AE456">
        <v>6.22</v>
      </c>
      <c r="AF456">
        <v>0</v>
      </c>
      <c r="AG456">
        <v>0</v>
      </c>
      <c r="AH456">
        <v>0</v>
      </c>
      <c r="AI456">
        <v>6.17</v>
      </c>
      <c r="AJ456">
        <v>1</v>
      </c>
      <c r="AK456">
        <v>1</v>
      </c>
      <c r="AL456">
        <v>1</v>
      </c>
      <c r="AN456">
        <v>0</v>
      </c>
      <c r="AO456">
        <v>1</v>
      </c>
      <c r="AP456">
        <v>1</v>
      </c>
      <c r="AQ456">
        <v>0</v>
      </c>
      <c r="AR456">
        <v>0</v>
      </c>
      <c r="AS456" t="s">
        <v>6</v>
      </c>
      <c r="AT456">
        <v>1.1000000000000001</v>
      </c>
      <c r="AU456" t="s">
        <v>24</v>
      </c>
      <c r="AV456">
        <v>0</v>
      </c>
      <c r="AW456">
        <v>2</v>
      </c>
      <c r="AX456">
        <v>31029727</v>
      </c>
      <c r="AY456">
        <v>1</v>
      </c>
      <c r="AZ456">
        <v>0</v>
      </c>
      <c r="BA456">
        <v>481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CX456">
        <f>Y456*Source!I232</f>
        <v>0</v>
      </c>
      <c r="CY456">
        <f t="shared" si="81"/>
        <v>38.380000000000003</v>
      </c>
      <c r="CZ456">
        <f t="shared" si="82"/>
        <v>6.22</v>
      </c>
      <c r="DA456">
        <f t="shared" si="83"/>
        <v>6.17</v>
      </c>
      <c r="DB456">
        <f t="shared" si="84"/>
        <v>0</v>
      </c>
      <c r="DC456">
        <f t="shared" si="85"/>
        <v>0</v>
      </c>
    </row>
    <row r="457" spans="1:107">
      <c r="A457">
        <f>ROW(Source!A232)</f>
        <v>232</v>
      </c>
      <c r="B457">
        <v>31028412</v>
      </c>
      <c r="C457">
        <v>31029695</v>
      </c>
      <c r="D457">
        <v>29151143</v>
      </c>
      <c r="E457">
        <v>1</v>
      </c>
      <c r="F457">
        <v>1</v>
      </c>
      <c r="G457">
        <v>1</v>
      </c>
      <c r="H457">
        <v>3</v>
      </c>
      <c r="I457" t="s">
        <v>1062</v>
      </c>
      <c r="J457" t="s">
        <v>1063</v>
      </c>
      <c r="K457" t="s">
        <v>1064</v>
      </c>
      <c r="L457">
        <v>1348</v>
      </c>
      <c r="N457">
        <v>1009</v>
      </c>
      <c r="O457" t="s">
        <v>137</v>
      </c>
      <c r="P457" t="s">
        <v>137</v>
      </c>
      <c r="Q457">
        <v>1000</v>
      </c>
      <c r="W457">
        <v>0</v>
      </c>
      <c r="X457">
        <v>2114804490</v>
      </c>
      <c r="Y457">
        <v>0</v>
      </c>
      <c r="AA457">
        <v>29898.03</v>
      </c>
      <c r="AB457">
        <v>0</v>
      </c>
      <c r="AC457">
        <v>0</v>
      </c>
      <c r="AD457">
        <v>0</v>
      </c>
      <c r="AE457">
        <v>4845.71</v>
      </c>
      <c r="AF457">
        <v>0</v>
      </c>
      <c r="AG457">
        <v>0</v>
      </c>
      <c r="AH457">
        <v>0</v>
      </c>
      <c r="AI457">
        <v>6.17</v>
      </c>
      <c r="AJ457">
        <v>1</v>
      </c>
      <c r="AK457">
        <v>1</v>
      </c>
      <c r="AL457">
        <v>1</v>
      </c>
      <c r="AN457">
        <v>0</v>
      </c>
      <c r="AO457">
        <v>1</v>
      </c>
      <c r="AP457">
        <v>1</v>
      </c>
      <c r="AQ457">
        <v>0</v>
      </c>
      <c r="AR457">
        <v>0</v>
      </c>
      <c r="AS457" t="s">
        <v>6</v>
      </c>
      <c r="AT457">
        <v>3.0000000000000001E-5</v>
      </c>
      <c r="AU457" t="s">
        <v>24</v>
      </c>
      <c r="AV457">
        <v>0</v>
      </c>
      <c r="AW457">
        <v>2</v>
      </c>
      <c r="AX457">
        <v>31029728</v>
      </c>
      <c r="AY457">
        <v>1</v>
      </c>
      <c r="AZ457">
        <v>0</v>
      </c>
      <c r="BA457">
        <v>482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CX457">
        <f>Y457*Source!I232</f>
        <v>0</v>
      </c>
      <c r="CY457">
        <f t="shared" si="81"/>
        <v>29898.03</v>
      </c>
      <c r="CZ457">
        <f t="shared" si="82"/>
        <v>4845.71</v>
      </c>
      <c r="DA457">
        <f t="shared" si="83"/>
        <v>6.17</v>
      </c>
      <c r="DB457">
        <f t="shared" si="84"/>
        <v>0</v>
      </c>
      <c r="DC457">
        <f t="shared" si="85"/>
        <v>0</v>
      </c>
    </row>
    <row r="458" spans="1:107">
      <c r="A458">
        <f>ROW(Source!A232)</f>
        <v>232</v>
      </c>
      <c r="B458">
        <v>31028412</v>
      </c>
      <c r="C458">
        <v>31029695</v>
      </c>
      <c r="D458">
        <v>29151356</v>
      </c>
      <c r="E458">
        <v>1</v>
      </c>
      <c r="F458">
        <v>1</v>
      </c>
      <c r="G458">
        <v>1</v>
      </c>
      <c r="H458">
        <v>3</v>
      </c>
      <c r="I458" t="s">
        <v>1065</v>
      </c>
      <c r="J458" t="s">
        <v>1066</v>
      </c>
      <c r="K458" t="s">
        <v>1067</v>
      </c>
      <c r="L458">
        <v>1348</v>
      </c>
      <c r="N458">
        <v>1009</v>
      </c>
      <c r="O458" t="s">
        <v>137</v>
      </c>
      <c r="P458" t="s">
        <v>137</v>
      </c>
      <c r="Q458">
        <v>1000</v>
      </c>
      <c r="W458">
        <v>0</v>
      </c>
      <c r="X458">
        <v>1272373162</v>
      </c>
      <c r="Y458">
        <v>0</v>
      </c>
      <c r="AA458">
        <v>27122.09</v>
      </c>
      <c r="AB458">
        <v>0</v>
      </c>
      <c r="AC458">
        <v>0</v>
      </c>
      <c r="AD458">
        <v>0</v>
      </c>
      <c r="AE458">
        <v>4395.8</v>
      </c>
      <c r="AF458">
        <v>0</v>
      </c>
      <c r="AG458">
        <v>0</v>
      </c>
      <c r="AH458">
        <v>0</v>
      </c>
      <c r="AI458">
        <v>6.17</v>
      </c>
      <c r="AJ458">
        <v>1</v>
      </c>
      <c r="AK458">
        <v>1</v>
      </c>
      <c r="AL458">
        <v>1</v>
      </c>
      <c r="AN458">
        <v>0</v>
      </c>
      <c r="AO458">
        <v>1</v>
      </c>
      <c r="AP458">
        <v>1</v>
      </c>
      <c r="AQ458">
        <v>0</v>
      </c>
      <c r="AR458">
        <v>0</v>
      </c>
      <c r="AS458" t="s">
        <v>6</v>
      </c>
      <c r="AT458">
        <v>1.9400000000000001E-3</v>
      </c>
      <c r="AU458" t="s">
        <v>24</v>
      </c>
      <c r="AV458">
        <v>0</v>
      </c>
      <c r="AW458">
        <v>2</v>
      </c>
      <c r="AX458">
        <v>31029729</v>
      </c>
      <c r="AY458">
        <v>1</v>
      </c>
      <c r="AZ458">
        <v>0</v>
      </c>
      <c r="BA458">
        <v>483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CX458">
        <f>Y458*Source!I232</f>
        <v>0</v>
      </c>
      <c r="CY458">
        <f t="shared" si="81"/>
        <v>27122.09</v>
      </c>
      <c r="CZ458">
        <f t="shared" si="82"/>
        <v>4395.8</v>
      </c>
      <c r="DA458">
        <f t="shared" si="83"/>
        <v>6.17</v>
      </c>
      <c r="DB458">
        <f t="shared" si="84"/>
        <v>0</v>
      </c>
      <c r="DC458">
        <f t="shared" si="85"/>
        <v>0</v>
      </c>
    </row>
    <row r="459" spans="1:107">
      <c r="A459">
        <f>ROW(Source!A232)</f>
        <v>232</v>
      </c>
      <c r="B459">
        <v>31028412</v>
      </c>
      <c r="C459">
        <v>31029695</v>
      </c>
      <c r="D459">
        <v>29151790</v>
      </c>
      <c r="E459">
        <v>1</v>
      </c>
      <c r="F459">
        <v>1</v>
      </c>
      <c r="G459">
        <v>1</v>
      </c>
      <c r="H459">
        <v>3</v>
      </c>
      <c r="I459" t="s">
        <v>1068</v>
      </c>
      <c r="J459" t="s">
        <v>1069</v>
      </c>
      <c r="K459" t="s">
        <v>1070</v>
      </c>
      <c r="L459">
        <v>1348</v>
      </c>
      <c r="N459">
        <v>1009</v>
      </c>
      <c r="O459" t="s">
        <v>137</v>
      </c>
      <c r="P459" t="s">
        <v>137</v>
      </c>
      <c r="Q459">
        <v>1000</v>
      </c>
      <c r="W459">
        <v>0</v>
      </c>
      <c r="X459">
        <v>460461585</v>
      </c>
      <c r="Y459">
        <v>0</v>
      </c>
      <c r="AA459">
        <v>69053.279999999999</v>
      </c>
      <c r="AB459">
        <v>0</v>
      </c>
      <c r="AC459">
        <v>0</v>
      </c>
      <c r="AD459">
        <v>0</v>
      </c>
      <c r="AE459">
        <v>11191.78</v>
      </c>
      <c r="AF459">
        <v>0</v>
      </c>
      <c r="AG459">
        <v>0</v>
      </c>
      <c r="AH459">
        <v>0</v>
      </c>
      <c r="AI459">
        <v>6.17</v>
      </c>
      <c r="AJ459">
        <v>1</v>
      </c>
      <c r="AK459">
        <v>1</v>
      </c>
      <c r="AL459">
        <v>1</v>
      </c>
      <c r="AN459">
        <v>0</v>
      </c>
      <c r="AO459">
        <v>1</v>
      </c>
      <c r="AP459">
        <v>1</v>
      </c>
      <c r="AQ459">
        <v>0</v>
      </c>
      <c r="AR459">
        <v>0</v>
      </c>
      <c r="AS459" t="s">
        <v>6</v>
      </c>
      <c r="AT459">
        <v>4.0999999999999999E-4</v>
      </c>
      <c r="AU459" t="s">
        <v>24</v>
      </c>
      <c r="AV459">
        <v>0</v>
      </c>
      <c r="AW459">
        <v>2</v>
      </c>
      <c r="AX459">
        <v>31029730</v>
      </c>
      <c r="AY459">
        <v>1</v>
      </c>
      <c r="AZ459">
        <v>0</v>
      </c>
      <c r="BA459">
        <v>484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CX459">
        <f>Y459*Source!I232</f>
        <v>0</v>
      </c>
      <c r="CY459">
        <f t="shared" si="81"/>
        <v>69053.279999999999</v>
      </c>
      <c r="CZ459">
        <f t="shared" si="82"/>
        <v>11191.78</v>
      </c>
      <c r="DA459">
        <f t="shared" si="83"/>
        <v>6.17</v>
      </c>
      <c r="DB459">
        <f t="shared" si="84"/>
        <v>0</v>
      </c>
      <c r="DC459">
        <f t="shared" si="85"/>
        <v>0</v>
      </c>
    </row>
    <row r="460" spans="1:107">
      <c r="A460">
        <f>ROW(Source!A232)</f>
        <v>232</v>
      </c>
      <c r="B460">
        <v>31028412</v>
      </c>
      <c r="C460">
        <v>31029695</v>
      </c>
      <c r="D460">
        <v>29151973</v>
      </c>
      <c r="E460">
        <v>1</v>
      </c>
      <c r="F460">
        <v>1</v>
      </c>
      <c r="G460">
        <v>1</v>
      </c>
      <c r="H460">
        <v>3</v>
      </c>
      <c r="I460" t="s">
        <v>992</v>
      </c>
      <c r="J460" t="s">
        <v>993</v>
      </c>
      <c r="K460" t="s">
        <v>994</v>
      </c>
      <c r="L460">
        <v>1348</v>
      </c>
      <c r="N460">
        <v>1009</v>
      </c>
      <c r="O460" t="s">
        <v>137</v>
      </c>
      <c r="P460" t="s">
        <v>137</v>
      </c>
      <c r="Q460">
        <v>1000</v>
      </c>
      <c r="W460">
        <v>0</v>
      </c>
      <c r="X460">
        <v>-1571362654</v>
      </c>
      <c r="Y460">
        <v>0</v>
      </c>
      <c r="AA460">
        <v>60618.400000000001</v>
      </c>
      <c r="AB460">
        <v>0</v>
      </c>
      <c r="AC460">
        <v>0</v>
      </c>
      <c r="AD460">
        <v>0</v>
      </c>
      <c r="AE460">
        <v>9824.7000000000007</v>
      </c>
      <c r="AF460">
        <v>0</v>
      </c>
      <c r="AG460">
        <v>0</v>
      </c>
      <c r="AH460">
        <v>0</v>
      </c>
      <c r="AI460">
        <v>6.17</v>
      </c>
      <c r="AJ460">
        <v>1</v>
      </c>
      <c r="AK460">
        <v>1</v>
      </c>
      <c r="AL460">
        <v>1</v>
      </c>
      <c r="AN460">
        <v>0</v>
      </c>
      <c r="AO460">
        <v>1</v>
      </c>
      <c r="AP460">
        <v>1</v>
      </c>
      <c r="AQ460">
        <v>0</v>
      </c>
      <c r="AR460">
        <v>0</v>
      </c>
      <c r="AS460" t="s">
        <v>6</v>
      </c>
      <c r="AT460">
        <v>0.02</v>
      </c>
      <c r="AU460" t="s">
        <v>24</v>
      </c>
      <c r="AV460">
        <v>0</v>
      </c>
      <c r="AW460">
        <v>2</v>
      </c>
      <c r="AX460">
        <v>31029731</v>
      </c>
      <c r="AY460">
        <v>1</v>
      </c>
      <c r="AZ460">
        <v>0</v>
      </c>
      <c r="BA460">
        <v>485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CX460">
        <f>Y460*Source!I232</f>
        <v>0</v>
      </c>
      <c r="CY460">
        <f t="shared" si="81"/>
        <v>60618.400000000001</v>
      </c>
      <c r="CZ460">
        <f t="shared" si="82"/>
        <v>9824.7000000000007</v>
      </c>
      <c r="DA460">
        <f t="shared" si="83"/>
        <v>6.17</v>
      </c>
      <c r="DB460">
        <f t="shared" si="84"/>
        <v>0</v>
      </c>
      <c r="DC460">
        <f t="shared" si="85"/>
        <v>0</v>
      </c>
    </row>
    <row r="461" spans="1:107">
      <c r="A461">
        <f>ROW(Source!A232)</f>
        <v>232</v>
      </c>
      <c r="B461">
        <v>31028412</v>
      </c>
      <c r="C461">
        <v>31029695</v>
      </c>
      <c r="D461">
        <v>29152054</v>
      </c>
      <c r="E461">
        <v>1</v>
      </c>
      <c r="F461">
        <v>1</v>
      </c>
      <c r="G461">
        <v>1</v>
      </c>
      <c r="H461">
        <v>3</v>
      </c>
      <c r="I461" t="s">
        <v>805</v>
      </c>
      <c r="J461" t="s">
        <v>806</v>
      </c>
      <c r="K461" t="s">
        <v>807</v>
      </c>
      <c r="L461">
        <v>1348</v>
      </c>
      <c r="N461">
        <v>1009</v>
      </c>
      <c r="O461" t="s">
        <v>137</v>
      </c>
      <c r="P461" t="s">
        <v>137</v>
      </c>
      <c r="Q461">
        <v>1000</v>
      </c>
      <c r="W461">
        <v>0</v>
      </c>
      <c r="X461">
        <v>-444487765</v>
      </c>
      <c r="Y461">
        <v>0</v>
      </c>
      <c r="AA461">
        <v>62829.11</v>
      </c>
      <c r="AB461">
        <v>0</v>
      </c>
      <c r="AC461">
        <v>0</v>
      </c>
      <c r="AD461">
        <v>0</v>
      </c>
      <c r="AE461">
        <v>10183</v>
      </c>
      <c r="AF461">
        <v>0</v>
      </c>
      <c r="AG461">
        <v>0</v>
      </c>
      <c r="AH461">
        <v>0</v>
      </c>
      <c r="AI461">
        <v>6.17</v>
      </c>
      <c r="AJ461">
        <v>1</v>
      </c>
      <c r="AK461">
        <v>1</v>
      </c>
      <c r="AL461">
        <v>1</v>
      </c>
      <c r="AN461">
        <v>0</v>
      </c>
      <c r="AO461">
        <v>1</v>
      </c>
      <c r="AP461">
        <v>1</v>
      </c>
      <c r="AQ461">
        <v>0</v>
      </c>
      <c r="AR461">
        <v>0</v>
      </c>
      <c r="AS461" t="s">
        <v>6</v>
      </c>
      <c r="AT461">
        <v>1.0000000000000001E-5</v>
      </c>
      <c r="AU461" t="s">
        <v>24</v>
      </c>
      <c r="AV461">
        <v>0</v>
      </c>
      <c r="AW461">
        <v>2</v>
      </c>
      <c r="AX461">
        <v>31029732</v>
      </c>
      <c r="AY461">
        <v>1</v>
      </c>
      <c r="AZ461">
        <v>0</v>
      </c>
      <c r="BA461">
        <v>486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CX461">
        <f>Y461*Source!I232</f>
        <v>0</v>
      </c>
      <c r="CY461">
        <f t="shared" si="81"/>
        <v>62829.11</v>
      </c>
      <c r="CZ461">
        <f t="shared" si="82"/>
        <v>10183</v>
      </c>
      <c r="DA461">
        <f t="shared" si="83"/>
        <v>6.17</v>
      </c>
      <c r="DB461">
        <f t="shared" si="84"/>
        <v>0</v>
      </c>
      <c r="DC461">
        <f t="shared" si="85"/>
        <v>0</v>
      </c>
    </row>
    <row r="462" spans="1:107">
      <c r="A462">
        <f>ROW(Source!A232)</f>
        <v>232</v>
      </c>
      <c r="B462">
        <v>31028412</v>
      </c>
      <c r="C462">
        <v>31029695</v>
      </c>
      <c r="D462">
        <v>29152475</v>
      </c>
      <c r="E462">
        <v>1</v>
      </c>
      <c r="F462">
        <v>1</v>
      </c>
      <c r="G462">
        <v>1</v>
      </c>
      <c r="H462">
        <v>3</v>
      </c>
      <c r="I462" t="s">
        <v>1071</v>
      </c>
      <c r="J462" t="s">
        <v>1072</v>
      </c>
      <c r="K462" t="s">
        <v>1073</v>
      </c>
      <c r="L462">
        <v>1346</v>
      </c>
      <c r="N462">
        <v>1009</v>
      </c>
      <c r="O462" t="s">
        <v>118</v>
      </c>
      <c r="P462" t="s">
        <v>118</v>
      </c>
      <c r="Q462">
        <v>1</v>
      </c>
      <c r="W462">
        <v>0</v>
      </c>
      <c r="X462">
        <v>2131496758</v>
      </c>
      <c r="Y462">
        <v>0</v>
      </c>
      <c r="AA462">
        <v>37.58</v>
      </c>
      <c r="AB462">
        <v>0</v>
      </c>
      <c r="AC462">
        <v>0</v>
      </c>
      <c r="AD462">
        <v>0</v>
      </c>
      <c r="AE462">
        <v>6.09</v>
      </c>
      <c r="AF462">
        <v>0</v>
      </c>
      <c r="AG462">
        <v>0</v>
      </c>
      <c r="AH462">
        <v>0</v>
      </c>
      <c r="AI462">
        <v>6.17</v>
      </c>
      <c r="AJ462">
        <v>1</v>
      </c>
      <c r="AK462">
        <v>1</v>
      </c>
      <c r="AL462">
        <v>1</v>
      </c>
      <c r="AN462">
        <v>0</v>
      </c>
      <c r="AO462">
        <v>1</v>
      </c>
      <c r="AP462">
        <v>1</v>
      </c>
      <c r="AQ462">
        <v>0</v>
      </c>
      <c r="AR462">
        <v>0</v>
      </c>
      <c r="AS462" t="s">
        <v>6</v>
      </c>
      <c r="AT462">
        <v>0.33</v>
      </c>
      <c r="AU462" t="s">
        <v>24</v>
      </c>
      <c r="AV462">
        <v>0</v>
      </c>
      <c r="AW462">
        <v>2</v>
      </c>
      <c r="AX462">
        <v>31029733</v>
      </c>
      <c r="AY462">
        <v>1</v>
      </c>
      <c r="AZ462">
        <v>0</v>
      </c>
      <c r="BA462">
        <v>487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CX462">
        <f>Y462*Source!I232</f>
        <v>0</v>
      </c>
      <c r="CY462">
        <f t="shared" si="81"/>
        <v>37.58</v>
      </c>
      <c r="CZ462">
        <f t="shared" si="82"/>
        <v>6.09</v>
      </c>
      <c r="DA462">
        <f t="shared" si="83"/>
        <v>6.17</v>
      </c>
      <c r="DB462">
        <f t="shared" si="84"/>
        <v>0</v>
      </c>
      <c r="DC462">
        <f t="shared" si="85"/>
        <v>0</v>
      </c>
    </row>
    <row r="463" spans="1:107">
      <c r="A463">
        <f>ROW(Source!A232)</f>
        <v>232</v>
      </c>
      <c r="B463">
        <v>31028412</v>
      </c>
      <c r="C463">
        <v>31029695</v>
      </c>
      <c r="D463">
        <v>29152686</v>
      </c>
      <c r="E463">
        <v>1</v>
      </c>
      <c r="F463">
        <v>1</v>
      </c>
      <c r="G463">
        <v>1</v>
      </c>
      <c r="H463">
        <v>3</v>
      </c>
      <c r="I463" t="s">
        <v>1074</v>
      </c>
      <c r="J463" t="s">
        <v>1075</v>
      </c>
      <c r="K463" t="s">
        <v>1076</v>
      </c>
      <c r="L463">
        <v>1348</v>
      </c>
      <c r="N463">
        <v>1009</v>
      </c>
      <c r="O463" t="s">
        <v>137</v>
      </c>
      <c r="P463" t="s">
        <v>137</v>
      </c>
      <c r="Q463">
        <v>1000</v>
      </c>
      <c r="W463">
        <v>0</v>
      </c>
      <c r="X463">
        <v>1867646757</v>
      </c>
      <c r="Y463">
        <v>0</v>
      </c>
      <c r="AA463">
        <v>32187.040000000001</v>
      </c>
      <c r="AB463">
        <v>0</v>
      </c>
      <c r="AC463">
        <v>0</v>
      </c>
      <c r="AD463">
        <v>0</v>
      </c>
      <c r="AE463">
        <v>5216.7</v>
      </c>
      <c r="AF463">
        <v>0</v>
      </c>
      <c r="AG463">
        <v>0</v>
      </c>
      <c r="AH463">
        <v>0</v>
      </c>
      <c r="AI463">
        <v>6.17</v>
      </c>
      <c r="AJ463">
        <v>1</v>
      </c>
      <c r="AK463">
        <v>1</v>
      </c>
      <c r="AL463">
        <v>1</v>
      </c>
      <c r="AN463">
        <v>0</v>
      </c>
      <c r="AO463">
        <v>1</v>
      </c>
      <c r="AP463">
        <v>1</v>
      </c>
      <c r="AQ463">
        <v>0</v>
      </c>
      <c r="AR463">
        <v>0</v>
      </c>
      <c r="AS463" t="s">
        <v>6</v>
      </c>
      <c r="AT463">
        <v>5.9999999999999995E-4</v>
      </c>
      <c r="AU463" t="s">
        <v>24</v>
      </c>
      <c r="AV463">
        <v>0</v>
      </c>
      <c r="AW463">
        <v>2</v>
      </c>
      <c r="AX463">
        <v>31029734</v>
      </c>
      <c r="AY463">
        <v>1</v>
      </c>
      <c r="AZ463">
        <v>0</v>
      </c>
      <c r="BA463">
        <v>488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CX463">
        <f>Y463*Source!I232</f>
        <v>0</v>
      </c>
      <c r="CY463">
        <f t="shared" si="81"/>
        <v>32187.040000000001</v>
      </c>
      <c r="CZ463">
        <f t="shared" si="82"/>
        <v>5216.7</v>
      </c>
      <c r="DA463">
        <f t="shared" si="83"/>
        <v>6.17</v>
      </c>
      <c r="DB463">
        <f t="shared" si="84"/>
        <v>0</v>
      </c>
      <c r="DC463">
        <f t="shared" si="85"/>
        <v>0</v>
      </c>
    </row>
    <row r="464" spans="1:107">
      <c r="A464">
        <f>ROW(Source!A232)</f>
        <v>232</v>
      </c>
      <c r="B464">
        <v>31028412</v>
      </c>
      <c r="C464">
        <v>31029695</v>
      </c>
      <c r="D464">
        <v>29158135</v>
      </c>
      <c r="E464">
        <v>1</v>
      </c>
      <c r="F464">
        <v>1</v>
      </c>
      <c r="G464">
        <v>1</v>
      </c>
      <c r="H464">
        <v>3</v>
      </c>
      <c r="I464" t="s">
        <v>1077</v>
      </c>
      <c r="J464" t="s">
        <v>1078</v>
      </c>
      <c r="K464" t="s">
        <v>1079</v>
      </c>
      <c r="L464">
        <v>1339</v>
      </c>
      <c r="N464">
        <v>1007</v>
      </c>
      <c r="O464" t="s">
        <v>109</v>
      </c>
      <c r="P464" t="s">
        <v>109</v>
      </c>
      <c r="Q464">
        <v>1</v>
      </c>
      <c r="W464">
        <v>0</v>
      </c>
      <c r="X464">
        <v>-1383397346</v>
      </c>
      <c r="Y464">
        <v>0</v>
      </c>
      <c r="AA464">
        <v>10479.75</v>
      </c>
      <c r="AB464">
        <v>0</v>
      </c>
      <c r="AC464">
        <v>0</v>
      </c>
      <c r="AD464">
        <v>0</v>
      </c>
      <c r="AE464">
        <v>1698.5</v>
      </c>
      <c r="AF464">
        <v>0</v>
      </c>
      <c r="AG464">
        <v>0</v>
      </c>
      <c r="AH464">
        <v>0</v>
      </c>
      <c r="AI464">
        <v>6.17</v>
      </c>
      <c r="AJ464">
        <v>1</v>
      </c>
      <c r="AK464">
        <v>1</v>
      </c>
      <c r="AL464">
        <v>1</v>
      </c>
      <c r="AN464">
        <v>0</v>
      </c>
      <c r="AO464">
        <v>1</v>
      </c>
      <c r="AP464">
        <v>1</v>
      </c>
      <c r="AQ464">
        <v>0</v>
      </c>
      <c r="AR464">
        <v>0</v>
      </c>
      <c r="AS464" t="s">
        <v>6</v>
      </c>
      <c r="AT464">
        <v>1.0300000000000001E-3</v>
      </c>
      <c r="AU464" t="s">
        <v>24</v>
      </c>
      <c r="AV464">
        <v>0</v>
      </c>
      <c r="AW464">
        <v>2</v>
      </c>
      <c r="AX464">
        <v>31029735</v>
      </c>
      <c r="AY464">
        <v>1</v>
      </c>
      <c r="AZ464">
        <v>0</v>
      </c>
      <c r="BA464">
        <v>489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CX464">
        <f>Y464*Source!I232</f>
        <v>0</v>
      </c>
      <c r="CY464">
        <f t="shared" si="81"/>
        <v>10479.75</v>
      </c>
      <c r="CZ464">
        <f t="shared" si="82"/>
        <v>1698.5</v>
      </c>
      <c r="DA464">
        <f t="shared" si="83"/>
        <v>6.17</v>
      </c>
      <c r="DB464">
        <f t="shared" si="84"/>
        <v>0</v>
      </c>
      <c r="DC464">
        <f t="shared" si="85"/>
        <v>0</v>
      </c>
    </row>
    <row r="465" spans="1:107">
      <c r="A465">
        <f>ROW(Source!A232)</f>
        <v>232</v>
      </c>
      <c r="B465">
        <v>31028412</v>
      </c>
      <c r="C465">
        <v>31029695</v>
      </c>
      <c r="D465">
        <v>29164616</v>
      </c>
      <c r="E465">
        <v>1</v>
      </c>
      <c r="F465">
        <v>1</v>
      </c>
      <c r="G465">
        <v>1</v>
      </c>
      <c r="H465">
        <v>3</v>
      </c>
      <c r="I465" t="s">
        <v>1080</v>
      </c>
      <c r="J465" t="s">
        <v>1081</v>
      </c>
      <c r="K465" t="s">
        <v>1082</v>
      </c>
      <c r="L465">
        <v>1348</v>
      </c>
      <c r="N465">
        <v>1009</v>
      </c>
      <c r="O465" t="s">
        <v>137</v>
      </c>
      <c r="P465" t="s">
        <v>137</v>
      </c>
      <c r="Q465">
        <v>1000</v>
      </c>
      <c r="W465">
        <v>0</v>
      </c>
      <c r="X465">
        <v>172498338</v>
      </c>
      <c r="Y465">
        <v>0</v>
      </c>
      <c r="AA465">
        <v>74496.58</v>
      </c>
      <c r="AB465">
        <v>0</v>
      </c>
      <c r="AC465">
        <v>0</v>
      </c>
      <c r="AD465">
        <v>0</v>
      </c>
      <c r="AE465">
        <v>12074</v>
      </c>
      <c r="AF465">
        <v>0</v>
      </c>
      <c r="AG465">
        <v>0</v>
      </c>
      <c r="AH465">
        <v>0</v>
      </c>
      <c r="AI465">
        <v>6.17</v>
      </c>
      <c r="AJ465">
        <v>1</v>
      </c>
      <c r="AK465">
        <v>1</v>
      </c>
      <c r="AL465">
        <v>1</v>
      </c>
      <c r="AN465">
        <v>0</v>
      </c>
      <c r="AO465">
        <v>1</v>
      </c>
      <c r="AP465">
        <v>1</v>
      </c>
      <c r="AQ465">
        <v>0</v>
      </c>
      <c r="AR465">
        <v>0</v>
      </c>
      <c r="AS465" t="s">
        <v>6</v>
      </c>
      <c r="AT465">
        <v>3.1E-4</v>
      </c>
      <c r="AU465" t="s">
        <v>24</v>
      </c>
      <c r="AV465">
        <v>0</v>
      </c>
      <c r="AW465">
        <v>2</v>
      </c>
      <c r="AX465">
        <v>31029736</v>
      </c>
      <c r="AY465">
        <v>1</v>
      </c>
      <c r="AZ465">
        <v>0</v>
      </c>
      <c r="BA465">
        <v>490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CX465">
        <f>Y465*Source!I232</f>
        <v>0</v>
      </c>
      <c r="CY465">
        <f t="shared" si="81"/>
        <v>74496.58</v>
      </c>
      <c r="CZ465">
        <f t="shared" si="82"/>
        <v>12074</v>
      </c>
      <c r="DA465">
        <f t="shared" si="83"/>
        <v>6.17</v>
      </c>
      <c r="DB465">
        <f t="shared" si="84"/>
        <v>0</v>
      </c>
      <c r="DC465">
        <f t="shared" si="85"/>
        <v>0</v>
      </c>
    </row>
    <row r="466" spans="1:107">
      <c r="A466">
        <f>ROW(Source!A232)</f>
        <v>232</v>
      </c>
      <c r="B466">
        <v>31028412</v>
      </c>
      <c r="C466">
        <v>31029695</v>
      </c>
      <c r="D466">
        <v>29170363</v>
      </c>
      <c r="E466">
        <v>1</v>
      </c>
      <c r="F466">
        <v>1</v>
      </c>
      <c r="G466">
        <v>1</v>
      </c>
      <c r="H466">
        <v>3</v>
      </c>
      <c r="I466" t="s">
        <v>1083</v>
      </c>
      <c r="J466" t="s">
        <v>1084</v>
      </c>
      <c r="K466" t="s">
        <v>1085</v>
      </c>
      <c r="L466">
        <v>1348</v>
      </c>
      <c r="N466">
        <v>1009</v>
      </c>
      <c r="O466" t="s">
        <v>137</v>
      </c>
      <c r="P466" t="s">
        <v>137</v>
      </c>
      <c r="Q466">
        <v>1000</v>
      </c>
      <c r="W466">
        <v>0</v>
      </c>
      <c r="X466">
        <v>-284258139</v>
      </c>
      <c r="Y466">
        <v>0</v>
      </c>
      <c r="AA466">
        <v>52275.57</v>
      </c>
      <c r="AB466">
        <v>0</v>
      </c>
      <c r="AC466">
        <v>0</v>
      </c>
      <c r="AD466">
        <v>0</v>
      </c>
      <c r="AE466">
        <v>8472.5400000000009</v>
      </c>
      <c r="AF466">
        <v>0</v>
      </c>
      <c r="AG466">
        <v>0</v>
      </c>
      <c r="AH466">
        <v>0</v>
      </c>
      <c r="AI466">
        <v>6.17</v>
      </c>
      <c r="AJ466">
        <v>1</v>
      </c>
      <c r="AK466">
        <v>1</v>
      </c>
      <c r="AL466">
        <v>1</v>
      </c>
      <c r="AN466">
        <v>0</v>
      </c>
      <c r="AO466">
        <v>1</v>
      </c>
      <c r="AP466">
        <v>1</v>
      </c>
      <c r="AQ466">
        <v>0</v>
      </c>
      <c r="AR466">
        <v>0</v>
      </c>
      <c r="AS466" t="s">
        <v>6</v>
      </c>
      <c r="AT466">
        <v>2.0000000000000001E-4</v>
      </c>
      <c r="AU466" t="s">
        <v>24</v>
      </c>
      <c r="AV466">
        <v>0</v>
      </c>
      <c r="AW466">
        <v>2</v>
      </c>
      <c r="AX466">
        <v>31029737</v>
      </c>
      <c r="AY466">
        <v>1</v>
      </c>
      <c r="AZ466">
        <v>0</v>
      </c>
      <c r="BA466">
        <v>491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CX466">
        <f>Y466*Source!I232</f>
        <v>0</v>
      </c>
      <c r="CY466">
        <f t="shared" si="81"/>
        <v>52275.57</v>
      </c>
      <c r="CZ466">
        <f t="shared" si="82"/>
        <v>8472.5400000000009</v>
      </c>
      <c r="DA466">
        <f t="shared" si="83"/>
        <v>6.17</v>
      </c>
      <c r="DB466">
        <f t="shared" si="84"/>
        <v>0</v>
      </c>
      <c r="DC466">
        <f t="shared" si="85"/>
        <v>0</v>
      </c>
    </row>
    <row r="467" spans="1:107">
      <c r="A467">
        <f>ROW(Source!A232)</f>
        <v>232</v>
      </c>
      <c r="B467">
        <v>31028412</v>
      </c>
      <c r="C467">
        <v>31029695</v>
      </c>
      <c r="D467">
        <v>29171678</v>
      </c>
      <c r="E467">
        <v>1</v>
      </c>
      <c r="F467">
        <v>1</v>
      </c>
      <c r="G467">
        <v>1</v>
      </c>
      <c r="H467">
        <v>3</v>
      </c>
      <c r="I467" t="s">
        <v>1086</v>
      </c>
      <c r="J467" t="s">
        <v>1087</v>
      </c>
      <c r="K467" t="s">
        <v>1088</v>
      </c>
      <c r="L467">
        <v>1348</v>
      </c>
      <c r="N467">
        <v>1009</v>
      </c>
      <c r="O467" t="s">
        <v>137</v>
      </c>
      <c r="P467" t="s">
        <v>137</v>
      </c>
      <c r="Q467">
        <v>1000</v>
      </c>
      <c r="W467">
        <v>0</v>
      </c>
      <c r="X467">
        <v>-632795430</v>
      </c>
      <c r="Y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6.17</v>
      </c>
      <c r="AJ467">
        <v>1</v>
      </c>
      <c r="AK467">
        <v>1</v>
      </c>
      <c r="AL467">
        <v>1</v>
      </c>
      <c r="AN467">
        <v>0</v>
      </c>
      <c r="AO467">
        <v>0</v>
      </c>
      <c r="AP467">
        <v>1</v>
      </c>
      <c r="AQ467">
        <v>0</v>
      </c>
      <c r="AR467">
        <v>0</v>
      </c>
      <c r="AS467" t="s">
        <v>6</v>
      </c>
      <c r="AT467">
        <v>1</v>
      </c>
      <c r="AU467" t="s">
        <v>24</v>
      </c>
      <c r="AV467">
        <v>0</v>
      </c>
      <c r="AW467">
        <v>2</v>
      </c>
      <c r="AX467">
        <v>31029738</v>
      </c>
      <c r="AY467">
        <v>1</v>
      </c>
      <c r="AZ467">
        <v>0</v>
      </c>
      <c r="BA467">
        <v>492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CX467">
        <f>Y467*Source!I232</f>
        <v>0</v>
      </c>
      <c r="CY467">
        <f t="shared" si="81"/>
        <v>0</v>
      </c>
      <c r="CZ467">
        <f t="shared" si="82"/>
        <v>0</v>
      </c>
      <c r="DA467">
        <f t="shared" si="83"/>
        <v>6.17</v>
      </c>
      <c r="DB467">
        <f t="shared" si="84"/>
        <v>0</v>
      </c>
      <c r="DC467">
        <f t="shared" si="85"/>
        <v>0</v>
      </c>
    </row>
    <row r="468" spans="1:107">
      <c r="A468">
        <f>ROW(Source!A232)</f>
        <v>232</v>
      </c>
      <c r="B468">
        <v>31028412</v>
      </c>
      <c r="C468">
        <v>31029695</v>
      </c>
      <c r="D468">
        <v>29207512</v>
      </c>
      <c r="E468">
        <v>1</v>
      </c>
      <c r="F468">
        <v>1</v>
      </c>
      <c r="G468">
        <v>1</v>
      </c>
      <c r="H468">
        <v>3</v>
      </c>
      <c r="I468" t="s">
        <v>1089</v>
      </c>
      <c r="J468" t="s">
        <v>1090</v>
      </c>
      <c r="K468" t="s">
        <v>1091</v>
      </c>
      <c r="L468">
        <v>1302</v>
      </c>
      <c r="N468">
        <v>1003</v>
      </c>
      <c r="O468" t="s">
        <v>629</v>
      </c>
      <c r="P468" t="s">
        <v>629</v>
      </c>
      <c r="Q468">
        <v>10</v>
      </c>
      <c r="W468">
        <v>0</v>
      </c>
      <c r="X468">
        <v>1891405489</v>
      </c>
      <c r="Y468">
        <v>0</v>
      </c>
      <c r="AA468">
        <v>309.98</v>
      </c>
      <c r="AB468">
        <v>0</v>
      </c>
      <c r="AC468">
        <v>0</v>
      </c>
      <c r="AD468">
        <v>0</v>
      </c>
      <c r="AE468">
        <v>50.24</v>
      </c>
      <c r="AF468">
        <v>0</v>
      </c>
      <c r="AG468">
        <v>0</v>
      </c>
      <c r="AH468">
        <v>0</v>
      </c>
      <c r="AI468">
        <v>6.17</v>
      </c>
      <c r="AJ468">
        <v>1</v>
      </c>
      <c r="AK468">
        <v>1</v>
      </c>
      <c r="AL468">
        <v>1</v>
      </c>
      <c r="AN468">
        <v>0</v>
      </c>
      <c r="AO468">
        <v>1</v>
      </c>
      <c r="AP468">
        <v>1</v>
      </c>
      <c r="AQ468">
        <v>0</v>
      </c>
      <c r="AR468">
        <v>0</v>
      </c>
      <c r="AS468" t="s">
        <v>6</v>
      </c>
      <c r="AT468">
        <v>1.8700000000000001E-2</v>
      </c>
      <c r="AU468" t="s">
        <v>24</v>
      </c>
      <c r="AV468">
        <v>0</v>
      </c>
      <c r="AW468">
        <v>2</v>
      </c>
      <c r="AX468">
        <v>31029739</v>
      </c>
      <c r="AY468">
        <v>1</v>
      </c>
      <c r="AZ468">
        <v>0</v>
      </c>
      <c r="BA468">
        <v>493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CX468">
        <f>Y468*Source!I232</f>
        <v>0</v>
      </c>
      <c r="CY468">
        <f t="shared" si="81"/>
        <v>309.98</v>
      </c>
      <c r="CZ468">
        <f t="shared" si="82"/>
        <v>50.24</v>
      </c>
      <c r="DA468">
        <f t="shared" si="83"/>
        <v>6.17</v>
      </c>
      <c r="DB468">
        <f t="shared" si="84"/>
        <v>0</v>
      </c>
      <c r="DC468">
        <f t="shared" si="85"/>
        <v>0</v>
      </c>
    </row>
    <row r="469" spans="1:107">
      <c r="A469">
        <f>ROW(Source!A233)</f>
        <v>233</v>
      </c>
      <c r="B469">
        <v>31028412</v>
      </c>
      <c r="C469">
        <v>31029740</v>
      </c>
      <c r="D469">
        <v>29084574</v>
      </c>
      <c r="E469">
        <v>1</v>
      </c>
      <c r="F469">
        <v>1</v>
      </c>
      <c r="G469">
        <v>1</v>
      </c>
      <c r="H469">
        <v>1</v>
      </c>
      <c r="I469" t="s">
        <v>820</v>
      </c>
      <c r="J469" t="s">
        <v>6</v>
      </c>
      <c r="K469" t="s">
        <v>821</v>
      </c>
      <c r="L469">
        <v>1369</v>
      </c>
      <c r="N469">
        <v>1013</v>
      </c>
      <c r="O469" t="s">
        <v>773</v>
      </c>
      <c r="P469" t="s">
        <v>773</v>
      </c>
      <c r="Q469">
        <v>1</v>
      </c>
      <c r="W469">
        <v>0</v>
      </c>
      <c r="X469">
        <v>-1263252757</v>
      </c>
      <c r="Y469">
        <v>11.086</v>
      </c>
      <c r="AA469">
        <v>0</v>
      </c>
      <c r="AB469">
        <v>0</v>
      </c>
      <c r="AC469">
        <v>0</v>
      </c>
      <c r="AD469">
        <v>182.38</v>
      </c>
      <c r="AE469">
        <v>0</v>
      </c>
      <c r="AF469">
        <v>0</v>
      </c>
      <c r="AG469">
        <v>0</v>
      </c>
      <c r="AH469">
        <v>7.53</v>
      </c>
      <c r="AI469">
        <v>1</v>
      </c>
      <c r="AJ469">
        <v>1</v>
      </c>
      <c r="AK469">
        <v>1</v>
      </c>
      <c r="AL469">
        <v>24.22</v>
      </c>
      <c r="AN469">
        <v>0</v>
      </c>
      <c r="AO469">
        <v>1</v>
      </c>
      <c r="AP469">
        <v>1</v>
      </c>
      <c r="AQ469">
        <v>0</v>
      </c>
      <c r="AR469">
        <v>0</v>
      </c>
      <c r="AS469" t="s">
        <v>6</v>
      </c>
      <c r="AT469">
        <v>9.64</v>
      </c>
      <c r="AU469" t="s">
        <v>36</v>
      </c>
      <c r="AV469">
        <v>1</v>
      </c>
      <c r="AW469">
        <v>2</v>
      </c>
      <c r="AX469">
        <v>31029744</v>
      </c>
      <c r="AY469">
        <v>1</v>
      </c>
      <c r="AZ469">
        <v>0</v>
      </c>
      <c r="BA469">
        <v>494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CX469">
        <f>Y469*Source!I233</f>
        <v>133.03200000000001</v>
      </c>
      <c r="CY469">
        <f>AD469</f>
        <v>182.38</v>
      </c>
      <c r="CZ469">
        <f>AH469</f>
        <v>7.53</v>
      </c>
      <c r="DA469">
        <f>AL469</f>
        <v>24.22</v>
      </c>
      <c r="DB469">
        <f>ROUND((ROUND(AT469*CZ469,2)*ROUND(1.15,7)),6)</f>
        <v>83.478499999999997</v>
      </c>
      <c r="DC469">
        <f>ROUND((ROUND(AT469*AG469,2)*ROUND(1.15,7)),6)</f>
        <v>0</v>
      </c>
    </row>
    <row r="470" spans="1:107">
      <c r="A470">
        <f>ROW(Source!A233)</f>
        <v>233</v>
      </c>
      <c r="B470">
        <v>31028412</v>
      </c>
      <c r="C470">
        <v>31029740</v>
      </c>
      <c r="D470">
        <v>29084573</v>
      </c>
      <c r="E470">
        <v>1</v>
      </c>
      <c r="F470">
        <v>1</v>
      </c>
      <c r="G470">
        <v>1</v>
      </c>
      <c r="H470">
        <v>1</v>
      </c>
      <c r="I470" t="s">
        <v>774</v>
      </c>
      <c r="J470" t="s">
        <v>6</v>
      </c>
      <c r="K470" t="s">
        <v>775</v>
      </c>
      <c r="L470">
        <v>608254</v>
      </c>
      <c r="N470">
        <v>1013</v>
      </c>
      <c r="O470" t="s">
        <v>776</v>
      </c>
      <c r="P470" t="s">
        <v>776</v>
      </c>
      <c r="Q470">
        <v>1</v>
      </c>
      <c r="W470">
        <v>0</v>
      </c>
      <c r="X470">
        <v>95408949</v>
      </c>
      <c r="Y470">
        <v>1.15E-2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1</v>
      </c>
      <c r="AJ470">
        <v>1</v>
      </c>
      <c r="AK470">
        <v>24.22</v>
      </c>
      <c r="AL470">
        <v>1</v>
      </c>
      <c r="AN470">
        <v>0</v>
      </c>
      <c r="AO470">
        <v>1</v>
      </c>
      <c r="AP470">
        <v>1</v>
      </c>
      <c r="AQ470">
        <v>0</v>
      </c>
      <c r="AR470">
        <v>0</v>
      </c>
      <c r="AS470" t="s">
        <v>6</v>
      </c>
      <c r="AT470">
        <v>0.01</v>
      </c>
      <c r="AU470" t="s">
        <v>36</v>
      </c>
      <c r="AV470">
        <v>2</v>
      </c>
      <c r="AW470">
        <v>2</v>
      </c>
      <c r="AX470">
        <v>31029745</v>
      </c>
      <c r="AY470">
        <v>1</v>
      </c>
      <c r="AZ470">
        <v>0</v>
      </c>
      <c r="BA470">
        <v>495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CX470">
        <f>Y470*Source!I233</f>
        <v>0.13800000000000001</v>
      </c>
      <c r="CY470">
        <f>AD470</f>
        <v>0</v>
      </c>
      <c r="CZ470">
        <f>AH470</f>
        <v>0</v>
      </c>
      <c r="DA470">
        <f>AL470</f>
        <v>1</v>
      </c>
      <c r="DB470">
        <f>ROUND((ROUND(AT470*CZ470,2)*ROUND(1.15,7)),6)</f>
        <v>0</v>
      </c>
      <c r="DC470">
        <f>ROUND((ROUND(AT470*AG470,2)*ROUND(1.15,7)),6)</f>
        <v>0</v>
      </c>
    </row>
    <row r="471" spans="1:107">
      <c r="A471">
        <f>ROW(Source!A233)</f>
        <v>233</v>
      </c>
      <c r="B471">
        <v>31028412</v>
      </c>
      <c r="C471">
        <v>31029740</v>
      </c>
      <c r="D471">
        <v>29147732</v>
      </c>
      <c r="E471">
        <v>1</v>
      </c>
      <c r="F471">
        <v>1</v>
      </c>
      <c r="G471">
        <v>1</v>
      </c>
      <c r="H471">
        <v>2</v>
      </c>
      <c r="I471" t="s">
        <v>846</v>
      </c>
      <c r="J471" t="s">
        <v>847</v>
      </c>
      <c r="K471" t="s">
        <v>848</v>
      </c>
      <c r="L471">
        <v>1368</v>
      </c>
      <c r="N471">
        <v>1011</v>
      </c>
      <c r="O471" t="s">
        <v>780</v>
      </c>
      <c r="P471" t="s">
        <v>780</v>
      </c>
      <c r="Q471">
        <v>1</v>
      </c>
      <c r="W471">
        <v>0</v>
      </c>
      <c r="X471">
        <v>-1205898307</v>
      </c>
      <c r="Y471">
        <v>1.15E-2</v>
      </c>
      <c r="AA471">
        <v>0</v>
      </c>
      <c r="AB471">
        <v>235.69</v>
      </c>
      <c r="AC471">
        <v>315.58999999999997</v>
      </c>
      <c r="AD471">
        <v>0</v>
      </c>
      <c r="AE471">
        <v>0</v>
      </c>
      <c r="AF471">
        <v>30.85</v>
      </c>
      <c r="AG471">
        <v>13.03</v>
      </c>
      <c r="AH471">
        <v>0</v>
      </c>
      <c r="AI471">
        <v>1</v>
      </c>
      <c r="AJ471">
        <v>7.64</v>
      </c>
      <c r="AK471">
        <v>24.22</v>
      </c>
      <c r="AL471">
        <v>1</v>
      </c>
      <c r="AN471">
        <v>0</v>
      </c>
      <c r="AO471">
        <v>1</v>
      </c>
      <c r="AP471">
        <v>1</v>
      </c>
      <c r="AQ471">
        <v>0</v>
      </c>
      <c r="AR471">
        <v>0</v>
      </c>
      <c r="AS471" t="s">
        <v>6</v>
      </c>
      <c r="AT471">
        <v>0.01</v>
      </c>
      <c r="AU471" t="s">
        <v>36</v>
      </c>
      <c r="AV471">
        <v>0</v>
      </c>
      <c r="AW471">
        <v>2</v>
      </c>
      <c r="AX471">
        <v>31029746</v>
      </c>
      <c r="AY471">
        <v>1</v>
      </c>
      <c r="AZ471">
        <v>0</v>
      </c>
      <c r="BA471">
        <v>496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CX471">
        <f>Y471*Source!I233</f>
        <v>0.13800000000000001</v>
      </c>
      <c r="CY471">
        <f>AB471</f>
        <v>235.69</v>
      </c>
      <c r="CZ471">
        <f>AF471</f>
        <v>30.85</v>
      </c>
      <c r="DA471">
        <f>AJ471</f>
        <v>7.64</v>
      </c>
      <c r="DB471">
        <f>ROUND((ROUND(AT471*CZ471,2)*ROUND(1.15,7)),6)</f>
        <v>0.35649999999999998</v>
      </c>
      <c r="DC471">
        <f>ROUND((ROUND(AT471*AG471,2)*ROUND(1.15,7)),6)</f>
        <v>0.14949999999999999</v>
      </c>
    </row>
    <row r="472" spans="1:107">
      <c r="A472">
        <f>ROW(Source!A234)</f>
        <v>234</v>
      </c>
      <c r="B472">
        <v>31028412</v>
      </c>
      <c r="C472">
        <v>31029747</v>
      </c>
      <c r="D472">
        <v>29084597</v>
      </c>
      <c r="E472">
        <v>1</v>
      </c>
      <c r="F472">
        <v>1</v>
      </c>
      <c r="G472">
        <v>1</v>
      </c>
      <c r="H472">
        <v>1</v>
      </c>
      <c r="I472" t="s">
        <v>1092</v>
      </c>
      <c r="J472" t="s">
        <v>6</v>
      </c>
      <c r="K472" t="s">
        <v>1093</v>
      </c>
      <c r="L472">
        <v>1369</v>
      </c>
      <c r="N472">
        <v>1013</v>
      </c>
      <c r="O472" t="s">
        <v>773</v>
      </c>
      <c r="P472" t="s">
        <v>773</v>
      </c>
      <c r="Q472">
        <v>1</v>
      </c>
      <c r="W472">
        <v>0</v>
      </c>
      <c r="X472">
        <v>353187930</v>
      </c>
      <c r="Y472">
        <v>68.834399999999988</v>
      </c>
      <c r="AA472">
        <v>0</v>
      </c>
      <c r="AB472">
        <v>0</v>
      </c>
      <c r="AC472">
        <v>0</v>
      </c>
      <c r="AD472">
        <v>231.79</v>
      </c>
      <c r="AE472">
        <v>0</v>
      </c>
      <c r="AF472">
        <v>0</v>
      </c>
      <c r="AG472">
        <v>0</v>
      </c>
      <c r="AH472">
        <v>9.57</v>
      </c>
      <c r="AI472">
        <v>1</v>
      </c>
      <c r="AJ472">
        <v>1</v>
      </c>
      <c r="AK472">
        <v>1</v>
      </c>
      <c r="AL472">
        <v>24.22</v>
      </c>
      <c r="AN472">
        <v>0</v>
      </c>
      <c r="AO472">
        <v>1</v>
      </c>
      <c r="AP472">
        <v>1</v>
      </c>
      <c r="AQ472">
        <v>0</v>
      </c>
      <c r="AR472">
        <v>0</v>
      </c>
      <c r="AS472" t="s">
        <v>6</v>
      </c>
      <c r="AT472">
        <v>149.63999999999999</v>
      </c>
      <c r="AU472" t="s">
        <v>492</v>
      </c>
      <c r="AV472">
        <v>1</v>
      </c>
      <c r="AW472">
        <v>2</v>
      </c>
      <c r="AX472">
        <v>31029765</v>
      </c>
      <c r="AY472">
        <v>1</v>
      </c>
      <c r="AZ472">
        <v>0</v>
      </c>
      <c r="BA472">
        <v>497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CX472">
        <f>Y472*Source!I234</f>
        <v>247.80383999999995</v>
      </c>
      <c r="CY472">
        <f>AD472</f>
        <v>231.79</v>
      </c>
      <c r="CZ472">
        <f>AH472</f>
        <v>9.57</v>
      </c>
      <c r="DA472">
        <f>AL472</f>
        <v>24.22</v>
      </c>
      <c r="DB472">
        <f t="shared" ref="DB472:DB477" si="86">ROUND((ROUND(AT472*CZ472,2)*ROUND((0.4*1.15),7)),6)</f>
        <v>658.74300000000005</v>
      </c>
      <c r="DC472">
        <f t="shared" ref="DC472:DC477" si="87">ROUND((ROUND(AT472*AG472,2)*ROUND((0.4*1.15),7)),6)</f>
        <v>0</v>
      </c>
    </row>
    <row r="473" spans="1:107">
      <c r="A473">
        <f>ROW(Source!A234)</f>
        <v>234</v>
      </c>
      <c r="B473">
        <v>31028412</v>
      </c>
      <c r="C473">
        <v>31029747</v>
      </c>
      <c r="D473">
        <v>29084573</v>
      </c>
      <c r="E473">
        <v>1</v>
      </c>
      <c r="F473">
        <v>1</v>
      </c>
      <c r="G473">
        <v>1</v>
      </c>
      <c r="H473">
        <v>1</v>
      </c>
      <c r="I473" t="s">
        <v>774</v>
      </c>
      <c r="J473" t="s">
        <v>6</v>
      </c>
      <c r="K473" t="s">
        <v>775</v>
      </c>
      <c r="L473">
        <v>608254</v>
      </c>
      <c r="N473">
        <v>1013</v>
      </c>
      <c r="O473" t="s">
        <v>776</v>
      </c>
      <c r="P473" t="s">
        <v>776</v>
      </c>
      <c r="Q473">
        <v>1</v>
      </c>
      <c r="W473">
        <v>0</v>
      </c>
      <c r="X473">
        <v>95408949</v>
      </c>
      <c r="Y473">
        <v>3.7719999999999994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1</v>
      </c>
      <c r="AJ473">
        <v>1</v>
      </c>
      <c r="AK473">
        <v>24.22</v>
      </c>
      <c r="AL473">
        <v>1</v>
      </c>
      <c r="AN473">
        <v>0</v>
      </c>
      <c r="AO473">
        <v>1</v>
      </c>
      <c r="AP473">
        <v>1</v>
      </c>
      <c r="AQ473">
        <v>0</v>
      </c>
      <c r="AR473">
        <v>0</v>
      </c>
      <c r="AS473" t="s">
        <v>6</v>
      </c>
      <c r="AT473">
        <v>8.1999999999999993</v>
      </c>
      <c r="AU473" t="s">
        <v>492</v>
      </c>
      <c r="AV473">
        <v>2</v>
      </c>
      <c r="AW473">
        <v>2</v>
      </c>
      <c r="AX473">
        <v>31029766</v>
      </c>
      <c r="AY473">
        <v>1</v>
      </c>
      <c r="AZ473">
        <v>0</v>
      </c>
      <c r="BA473">
        <v>498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CX473">
        <f>Y473*Source!I234</f>
        <v>13.579199999999998</v>
      </c>
      <c r="CY473">
        <f>AD473</f>
        <v>0</v>
      </c>
      <c r="CZ473">
        <f>AH473</f>
        <v>0</v>
      </c>
      <c r="DA473">
        <f>AL473</f>
        <v>1</v>
      </c>
      <c r="DB473">
        <f t="shared" si="86"/>
        <v>0</v>
      </c>
      <c r="DC473">
        <f t="shared" si="87"/>
        <v>0</v>
      </c>
    </row>
    <row r="474" spans="1:107">
      <c r="A474">
        <f>ROW(Source!A234)</f>
        <v>234</v>
      </c>
      <c r="B474">
        <v>31028412</v>
      </c>
      <c r="C474">
        <v>31029747</v>
      </c>
      <c r="D474">
        <v>29147520</v>
      </c>
      <c r="E474">
        <v>1</v>
      </c>
      <c r="F474">
        <v>1</v>
      </c>
      <c r="G474">
        <v>1</v>
      </c>
      <c r="H474">
        <v>2</v>
      </c>
      <c r="I474" t="s">
        <v>777</v>
      </c>
      <c r="J474" t="s">
        <v>778</v>
      </c>
      <c r="K474" t="s">
        <v>779</v>
      </c>
      <c r="L474">
        <v>1368</v>
      </c>
      <c r="N474">
        <v>1011</v>
      </c>
      <c r="O474" t="s">
        <v>780</v>
      </c>
      <c r="P474" t="s">
        <v>780</v>
      </c>
      <c r="Q474">
        <v>1</v>
      </c>
      <c r="W474">
        <v>0</v>
      </c>
      <c r="X474">
        <v>-2048414082</v>
      </c>
      <c r="Y474">
        <v>2.3000000000000003E-2</v>
      </c>
      <c r="AA474">
        <v>0</v>
      </c>
      <c r="AB474">
        <v>656.51</v>
      </c>
      <c r="AC474">
        <v>315.58999999999997</v>
      </c>
      <c r="AD474">
        <v>0</v>
      </c>
      <c r="AE474">
        <v>0</v>
      </c>
      <c r="AF474">
        <v>85.93</v>
      </c>
      <c r="AG474">
        <v>13.03</v>
      </c>
      <c r="AH474">
        <v>0</v>
      </c>
      <c r="AI474">
        <v>1</v>
      </c>
      <c r="AJ474">
        <v>7.64</v>
      </c>
      <c r="AK474">
        <v>24.22</v>
      </c>
      <c r="AL474">
        <v>1</v>
      </c>
      <c r="AN474">
        <v>0</v>
      </c>
      <c r="AO474">
        <v>1</v>
      </c>
      <c r="AP474">
        <v>1</v>
      </c>
      <c r="AQ474">
        <v>0</v>
      </c>
      <c r="AR474">
        <v>0</v>
      </c>
      <c r="AS474" t="s">
        <v>6</v>
      </c>
      <c r="AT474">
        <v>0.05</v>
      </c>
      <c r="AU474" t="s">
        <v>492</v>
      </c>
      <c r="AV474">
        <v>0</v>
      </c>
      <c r="AW474">
        <v>2</v>
      </c>
      <c r="AX474">
        <v>31029767</v>
      </c>
      <c r="AY474">
        <v>1</v>
      </c>
      <c r="AZ474">
        <v>0</v>
      </c>
      <c r="BA474">
        <v>499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CX474">
        <f>Y474*Source!I234</f>
        <v>8.2800000000000012E-2</v>
      </c>
      <c r="CY474">
        <f>AB474</f>
        <v>656.51</v>
      </c>
      <c r="CZ474">
        <f>AF474</f>
        <v>85.93</v>
      </c>
      <c r="DA474">
        <f>AJ474</f>
        <v>7.64</v>
      </c>
      <c r="DB474">
        <f t="shared" si="86"/>
        <v>1.978</v>
      </c>
      <c r="DC474">
        <f t="shared" si="87"/>
        <v>0.29899999999999999</v>
      </c>
    </row>
    <row r="475" spans="1:107">
      <c r="A475">
        <f>ROW(Source!A234)</f>
        <v>234</v>
      </c>
      <c r="B475">
        <v>31028412</v>
      </c>
      <c r="C475">
        <v>31029747</v>
      </c>
      <c r="D475">
        <v>29147601</v>
      </c>
      <c r="E475">
        <v>1</v>
      </c>
      <c r="F475">
        <v>1</v>
      </c>
      <c r="G475">
        <v>1</v>
      </c>
      <c r="H475">
        <v>2</v>
      </c>
      <c r="I475" t="s">
        <v>781</v>
      </c>
      <c r="J475" t="s">
        <v>782</v>
      </c>
      <c r="K475" t="s">
        <v>783</v>
      </c>
      <c r="L475">
        <v>1368</v>
      </c>
      <c r="N475">
        <v>1011</v>
      </c>
      <c r="O475" t="s">
        <v>780</v>
      </c>
      <c r="P475" t="s">
        <v>780</v>
      </c>
      <c r="Q475">
        <v>1</v>
      </c>
      <c r="W475">
        <v>0</v>
      </c>
      <c r="X475">
        <v>1170567961</v>
      </c>
      <c r="Y475">
        <v>1.38E-2</v>
      </c>
      <c r="AA475">
        <v>0</v>
      </c>
      <c r="AB475">
        <v>828.56</v>
      </c>
      <c r="AC475">
        <v>315.58999999999997</v>
      </c>
      <c r="AD475">
        <v>0</v>
      </c>
      <c r="AE475">
        <v>0</v>
      </c>
      <c r="AF475">
        <v>108.45</v>
      </c>
      <c r="AG475">
        <v>13.03</v>
      </c>
      <c r="AH475">
        <v>0</v>
      </c>
      <c r="AI475">
        <v>1</v>
      </c>
      <c r="AJ475">
        <v>7.64</v>
      </c>
      <c r="AK475">
        <v>24.22</v>
      </c>
      <c r="AL475">
        <v>1</v>
      </c>
      <c r="AN475">
        <v>0</v>
      </c>
      <c r="AO475">
        <v>1</v>
      </c>
      <c r="AP475">
        <v>1</v>
      </c>
      <c r="AQ475">
        <v>0</v>
      </c>
      <c r="AR475">
        <v>0</v>
      </c>
      <c r="AS475" t="s">
        <v>6</v>
      </c>
      <c r="AT475">
        <v>0.03</v>
      </c>
      <c r="AU475" t="s">
        <v>492</v>
      </c>
      <c r="AV475">
        <v>0</v>
      </c>
      <c r="AW475">
        <v>2</v>
      </c>
      <c r="AX475">
        <v>31029768</v>
      </c>
      <c r="AY475">
        <v>1</v>
      </c>
      <c r="AZ475">
        <v>0</v>
      </c>
      <c r="BA475">
        <v>500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CX475">
        <f>Y475*Source!I234</f>
        <v>4.9680000000000002E-2</v>
      </c>
      <c r="CY475">
        <f>AB475</f>
        <v>828.56</v>
      </c>
      <c r="CZ475">
        <f>AF475</f>
        <v>108.45</v>
      </c>
      <c r="DA475">
        <f>AJ475</f>
        <v>7.64</v>
      </c>
      <c r="DB475">
        <f t="shared" si="86"/>
        <v>1.4950000000000001</v>
      </c>
      <c r="DC475">
        <f t="shared" si="87"/>
        <v>0.1794</v>
      </c>
    </row>
    <row r="476" spans="1:107">
      <c r="A476">
        <f>ROW(Source!A234)</f>
        <v>234</v>
      </c>
      <c r="B476">
        <v>31028412</v>
      </c>
      <c r="C476">
        <v>31029747</v>
      </c>
      <c r="D476">
        <v>29148008</v>
      </c>
      <c r="E476">
        <v>1</v>
      </c>
      <c r="F476">
        <v>1</v>
      </c>
      <c r="G476">
        <v>1</v>
      </c>
      <c r="H476">
        <v>2</v>
      </c>
      <c r="I476" t="s">
        <v>1094</v>
      </c>
      <c r="J476" t="s">
        <v>1095</v>
      </c>
      <c r="K476" t="s">
        <v>1096</v>
      </c>
      <c r="L476">
        <v>1368</v>
      </c>
      <c r="N476">
        <v>1011</v>
      </c>
      <c r="O476" t="s">
        <v>780</v>
      </c>
      <c r="P476" t="s">
        <v>780</v>
      </c>
      <c r="Q476">
        <v>1</v>
      </c>
      <c r="W476">
        <v>0</v>
      </c>
      <c r="X476">
        <v>-691654175</v>
      </c>
      <c r="Y476">
        <v>3.7351999999999994</v>
      </c>
      <c r="AA476">
        <v>0</v>
      </c>
      <c r="AB476">
        <v>734.2</v>
      </c>
      <c r="AC476">
        <v>315.58999999999997</v>
      </c>
      <c r="AD476">
        <v>0</v>
      </c>
      <c r="AE476">
        <v>0</v>
      </c>
      <c r="AF476">
        <v>96.1</v>
      </c>
      <c r="AG476">
        <v>13.03</v>
      </c>
      <c r="AH476">
        <v>0</v>
      </c>
      <c r="AI476">
        <v>1</v>
      </c>
      <c r="AJ476">
        <v>7.64</v>
      </c>
      <c r="AK476">
        <v>24.22</v>
      </c>
      <c r="AL476">
        <v>1</v>
      </c>
      <c r="AN476">
        <v>0</v>
      </c>
      <c r="AO476">
        <v>1</v>
      </c>
      <c r="AP476">
        <v>1</v>
      </c>
      <c r="AQ476">
        <v>0</v>
      </c>
      <c r="AR476">
        <v>0</v>
      </c>
      <c r="AS476" t="s">
        <v>6</v>
      </c>
      <c r="AT476">
        <v>8.1199999999999992</v>
      </c>
      <c r="AU476" t="s">
        <v>492</v>
      </c>
      <c r="AV476">
        <v>0</v>
      </c>
      <c r="AW476">
        <v>2</v>
      </c>
      <c r="AX476">
        <v>31029769</v>
      </c>
      <c r="AY476">
        <v>1</v>
      </c>
      <c r="AZ476">
        <v>0</v>
      </c>
      <c r="BA476">
        <v>501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CX476">
        <f>Y476*Source!I234</f>
        <v>13.446719999999997</v>
      </c>
      <c r="CY476">
        <f>AB476</f>
        <v>734.2</v>
      </c>
      <c r="CZ476">
        <f>AF476</f>
        <v>96.1</v>
      </c>
      <c r="DA476">
        <f>AJ476</f>
        <v>7.64</v>
      </c>
      <c r="DB476">
        <f t="shared" si="86"/>
        <v>358.95179999999999</v>
      </c>
      <c r="DC476">
        <f t="shared" si="87"/>
        <v>48.667999999999999</v>
      </c>
    </row>
    <row r="477" spans="1:107">
      <c r="A477">
        <f>ROW(Source!A234)</f>
        <v>234</v>
      </c>
      <c r="B477">
        <v>31028412</v>
      </c>
      <c r="C477">
        <v>31029747</v>
      </c>
      <c r="D477">
        <v>29149520</v>
      </c>
      <c r="E477">
        <v>1</v>
      </c>
      <c r="F477">
        <v>1</v>
      </c>
      <c r="G477">
        <v>1</v>
      </c>
      <c r="H477">
        <v>2</v>
      </c>
      <c r="I477" t="s">
        <v>790</v>
      </c>
      <c r="J477" t="s">
        <v>791</v>
      </c>
      <c r="K477" t="s">
        <v>792</v>
      </c>
      <c r="L477">
        <v>1368</v>
      </c>
      <c r="N477">
        <v>1011</v>
      </c>
      <c r="O477" t="s">
        <v>780</v>
      </c>
      <c r="P477" t="s">
        <v>780</v>
      </c>
      <c r="Q477">
        <v>1</v>
      </c>
      <c r="W477">
        <v>0</v>
      </c>
      <c r="X477">
        <v>-1931461795</v>
      </c>
      <c r="Y477">
        <v>0.1012</v>
      </c>
      <c r="AA477">
        <v>0</v>
      </c>
      <c r="AB477">
        <v>699.98</v>
      </c>
      <c r="AC477">
        <v>0</v>
      </c>
      <c r="AD477">
        <v>0</v>
      </c>
      <c r="AE477">
        <v>0</v>
      </c>
      <c r="AF477">
        <v>91.62</v>
      </c>
      <c r="AG477">
        <v>0</v>
      </c>
      <c r="AH477">
        <v>0</v>
      </c>
      <c r="AI477">
        <v>1</v>
      </c>
      <c r="AJ477">
        <v>7.64</v>
      </c>
      <c r="AK477">
        <v>24.22</v>
      </c>
      <c r="AL477">
        <v>1</v>
      </c>
      <c r="AN477">
        <v>0</v>
      </c>
      <c r="AO477">
        <v>1</v>
      </c>
      <c r="AP477">
        <v>1</v>
      </c>
      <c r="AQ477">
        <v>0</v>
      </c>
      <c r="AR477">
        <v>0</v>
      </c>
      <c r="AS477" t="s">
        <v>6</v>
      </c>
      <c r="AT477">
        <v>0.22</v>
      </c>
      <c r="AU477" t="s">
        <v>492</v>
      </c>
      <c r="AV477">
        <v>0</v>
      </c>
      <c r="AW477">
        <v>2</v>
      </c>
      <c r="AX477">
        <v>31029770</v>
      </c>
      <c r="AY477">
        <v>1</v>
      </c>
      <c r="AZ477">
        <v>0</v>
      </c>
      <c r="BA477">
        <v>502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CX477">
        <f>Y477*Source!I234</f>
        <v>0.36431999999999998</v>
      </c>
      <c r="CY477">
        <f>AB477</f>
        <v>699.98</v>
      </c>
      <c r="CZ477">
        <f>AF477</f>
        <v>91.62</v>
      </c>
      <c r="DA477">
        <f>AJ477</f>
        <v>7.64</v>
      </c>
      <c r="DB477">
        <f t="shared" si="86"/>
        <v>9.2736000000000001</v>
      </c>
      <c r="DC477">
        <f t="shared" si="87"/>
        <v>0</v>
      </c>
    </row>
    <row r="478" spans="1:107">
      <c r="A478">
        <f>ROW(Source!A234)</f>
        <v>234</v>
      </c>
      <c r="B478">
        <v>31028412</v>
      </c>
      <c r="C478">
        <v>31029747</v>
      </c>
      <c r="D478">
        <v>29150503</v>
      </c>
      <c r="E478">
        <v>1</v>
      </c>
      <c r="F478">
        <v>1</v>
      </c>
      <c r="G478">
        <v>1</v>
      </c>
      <c r="H478">
        <v>3</v>
      </c>
      <c r="I478" t="s">
        <v>1097</v>
      </c>
      <c r="J478" t="s">
        <v>1098</v>
      </c>
      <c r="K478" t="s">
        <v>1099</v>
      </c>
      <c r="L478">
        <v>1348</v>
      </c>
      <c r="N478">
        <v>1009</v>
      </c>
      <c r="O478" t="s">
        <v>137</v>
      </c>
      <c r="P478" t="s">
        <v>137</v>
      </c>
      <c r="Q478">
        <v>1000</v>
      </c>
      <c r="W478">
        <v>0</v>
      </c>
      <c r="X478">
        <v>-1687798165</v>
      </c>
      <c r="Y478">
        <v>0</v>
      </c>
      <c r="AA478">
        <v>80537.009999999995</v>
      </c>
      <c r="AB478">
        <v>0</v>
      </c>
      <c r="AC478">
        <v>0</v>
      </c>
      <c r="AD478">
        <v>0</v>
      </c>
      <c r="AE478">
        <v>13053</v>
      </c>
      <c r="AF478">
        <v>0</v>
      </c>
      <c r="AG478">
        <v>0</v>
      </c>
      <c r="AH478">
        <v>0</v>
      </c>
      <c r="AI478">
        <v>6.17</v>
      </c>
      <c r="AJ478">
        <v>1</v>
      </c>
      <c r="AK478">
        <v>1</v>
      </c>
      <c r="AL478">
        <v>1</v>
      </c>
      <c r="AN478">
        <v>0</v>
      </c>
      <c r="AO478">
        <v>1</v>
      </c>
      <c r="AP478">
        <v>1</v>
      </c>
      <c r="AQ478">
        <v>0</v>
      </c>
      <c r="AR478">
        <v>0</v>
      </c>
      <c r="AS478" t="s">
        <v>6</v>
      </c>
      <c r="AT478">
        <v>5.9000000000000003E-4</v>
      </c>
      <c r="AU478" t="s">
        <v>24</v>
      </c>
      <c r="AV478">
        <v>0</v>
      </c>
      <c r="AW478">
        <v>2</v>
      </c>
      <c r="AX478">
        <v>31029771</v>
      </c>
      <c r="AY478">
        <v>1</v>
      </c>
      <c r="AZ478">
        <v>0</v>
      </c>
      <c r="BA478">
        <v>503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CX478">
        <f>Y478*Source!I234</f>
        <v>0</v>
      </c>
      <c r="CY478">
        <f t="shared" ref="CY478:CY488" si="88">AA478</f>
        <v>80537.009999999995</v>
      </c>
      <c r="CZ478">
        <f t="shared" ref="CZ478:CZ488" si="89">AE478</f>
        <v>13053</v>
      </c>
      <c r="DA478">
        <f t="shared" ref="DA478:DA488" si="90">AI478</f>
        <v>6.17</v>
      </c>
      <c r="DB478">
        <f t="shared" ref="DB478:DB488" si="91">ROUND((ROUND(AT478*CZ478,2)*ROUND(0,7)),6)</f>
        <v>0</v>
      </c>
      <c r="DC478">
        <f t="shared" ref="DC478:DC488" si="92">ROUND((ROUND(AT478*AG478,2)*ROUND(0,7)),6)</f>
        <v>0</v>
      </c>
    </row>
    <row r="479" spans="1:107">
      <c r="A479">
        <f>ROW(Source!A234)</f>
        <v>234</v>
      </c>
      <c r="B479">
        <v>31028412</v>
      </c>
      <c r="C479">
        <v>31029747</v>
      </c>
      <c r="D479">
        <v>29150687</v>
      </c>
      <c r="E479">
        <v>1</v>
      </c>
      <c r="F479">
        <v>1</v>
      </c>
      <c r="G479">
        <v>1</v>
      </c>
      <c r="H479">
        <v>3</v>
      </c>
      <c r="I479" t="s">
        <v>1100</v>
      </c>
      <c r="J479" t="s">
        <v>1101</v>
      </c>
      <c r="K479" t="s">
        <v>1102</v>
      </c>
      <c r="L479">
        <v>1346</v>
      </c>
      <c r="N479">
        <v>1009</v>
      </c>
      <c r="O479" t="s">
        <v>118</v>
      </c>
      <c r="P479" t="s">
        <v>118</v>
      </c>
      <c r="Q479">
        <v>1</v>
      </c>
      <c r="W479">
        <v>0</v>
      </c>
      <c r="X479">
        <v>-1416335338</v>
      </c>
      <c r="Y479">
        <v>0</v>
      </c>
      <c r="AA479">
        <v>178.5</v>
      </c>
      <c r="AB479">
        <v>0</v>
      </c>
      <c r="AC479">
        <v>0</v>
      </c>
      <c r="AD479">
        <v>0</v>
      </c>
      <c r="AE479">
        <v>28.93</v>
      </c>
      <c r="AF479">
        <v>0</v>
      </c>
      <c r="AG479">
        <v>0</v>
      </c>
      <c r="AH479">
        <v>0</v>
      </c>
      <c r="AI479">
        <v>6.17</v>
      </c>
      <c r="AJ479">
        <v>1</v>
      </c>
      <c r="AK479">
        <v>1</v>
      </c>
      <c r="AL479">
        <v>1</v>
      </c>
      <c r="AN479">
        <v>0</v>
      </c>
      <c r="AO479">
        <v>1</v>
      </c>
      <c r="AP479">
        <v>1</v>
      </c>
      <c r="AQ479">
        <v>0</v>
      </c>
      <c r="AR479">
        <v>0</v>
      </c>
      <c r="AS479" t="s">
        <v>6</v>
      </c>
      <c r="AT479">
        <v>0.2</v>
      </c>
      <c r="AU479" t="s">
        <v>24</v>
      </c>
      <c r="AV479">
        <v>0</v>
      </c>
      <c r="AW479">
        <v>2</v>
      </c>
      <c r="AX479">
        <v>31029772</v>
      </c>
      <c r="AY479">
        <v>1</v>
      </c>
      <c r="AZ479">
        <v>0</v>
      </c>
      <c r="BA479">
        <v>504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CX479">
        <f>Y479*Source!I234</f>
        <v>0</v>
      </c>
      <c r="CY479">
        <f t="shared" si="88"/>
        <v>178.5</v>
      </c>
      <c r="CZ479">
        <f t="shared" si="89"/>
        <v>28.93</v>
      </c>
      <c r="DA479">
        <f t="shared" si="90"/>
        <v>6.17</v>
      </c>
      <c r="DB479">
        <f t="shared" si="91"/>
        <v>0</v>
      </c>
      <c r="DC479">
        <f t="shared" si="92"/>
        <v>0</v>
      </c>
    </row>
    <row r="480" spans="1:107">
      <c r="A480">
        <f>ROW(Source!A234)</f>
        <v>234</v>
      </c>
      <c r="B480">
        <v>31028412</v>
      </c>
      <c r="C480">
        <v>31029747</v>
      </c>
      <c r="D480">
        <v>29151941</v>
      </c>
      <c r="E480">
        <v>1</v>
      </c>
      <c r="F480">
        <v>1</v>
      </c>
      <c r="G480">
        <v>1</v>
      </c>
      <c r="H480">
        <v>3</v>
      </c>
      <c r="I480" t="s">
        <v>1103</v>
      </c>
      <c r="J480" t="s">
        <v>1104</v>
      </c>
      <c r="K480" t="s">
        <v>1105</v>
      </c>
      <c r="L480">
        <v>1356</v>
      </c>
      <c r="N480">
        <v>1010</v>
      </c>
      <c r="O480" t="s">
        <v>155</v>
      </c>
      <c r="P480" t="s">
        <v>155</v>
      </c>
      <c r="Q480">
        <v>1000</v>
      </c>
      <c r="W480">
        <v>0</v>
      </c>
      <c r="X480">
        <v>1530186950</v>
      </c>
      <c r="Y480">
        <v>0</v>
      </c>
      <c r="AA480">
        <v>1685.64</v>
      </c>
      <c r="AB480">
        <v>0</v>
      </c>
      <c r="AC480">
        <v>0</v>
      </c>
      <c r="AD480">
        <v>0</v>
      </c>
      <c r="AE480">
        <v>273.2</v>
      </c>
      <c r="AF480">
        <v>0</v>
      </c>
      <c r="AG480">
        <v>0</v>
      </c>
      <c r="AH480">
        <v>0</v>
      </c>
      <c r="AI480">
        <v>6.17</v>
      </c>
      <c r="AJ480">
        <v>1</v>
      </c>
      <c r="AK480">
        <v>1</v>
      </c>
      <c r="AL480">
        <v>1</v>
      </c>
      <c r="AN480">
        <v>0</v>
      </c>
      <c r="AO480">
        <v>1</v>
      </c>
      <c r="AP480">
        <v>1</v>
      </c>
      <c r="AQ480">
        <v>0</v>
      </c>
      <c r="AR480">
        <v>0</v>
      </c>
      <c r="AS480" t="s">
        <v>6</v>
      </c>
      <c r="AT480">
        <v>6.9000000000000006E-2</v>
      </c>
      <c r="AU480" t="s">
        <v>24</v>
      </c>
      <c r="AV480">
        <v>0</v>
      </c>
      <c r="AW480">
        <v>2</v>
      </c>
      <c r="AX480">
        <v>31029773</v>
      </c>
      <c r="AY480">
        <v>1</v>
      </c>
      <c r="AZ480">
        <v>0</v>
      </c>
      <c r="BA480">
        <v>505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CX480">
        <f>Y480*Source!I234</f>
        <v>0</v>
      </c>
      <c r="CY480">
        <f t="shared" si="88"/>
        <v>1685.64</v>
      </c>
      <c r="CZ480">
        <f t="shared" si="89"/>
        <v>273.2</v>
      </c>
      <c r="DA480">
        <f t="shared" si="90"/>
        <v>6.17</v>
      </c>
      <c r="DB480">
        <f t="shared" si="91"/>
        <v>0</v>
      </c>
      <c r="DC480">
        <f t="shared" si="92"/>
        <v>0</v>
      </c>
    </row>
    <row r="481" spans="1:107">
      <c r="A481">
        <f>ROW(Source!A234)</f>
        <v>234</v>
      </c>
      <c r="B481">
        <v>31028412</v>
      </c>
      <c r="C481">
        <v>31029747</v>
      </c>
      <c r="D481">
        <v>29151960</v>
      </c>
      <c r="E481">
        <v>1</v>
      </c>
      <c r="F481">
        <v>1</v>
      </c>
      <c r="G481">
        <v>1</v>
      </c>
      <c r="H481">
        <v>3</v>
      </c>
      <c r="I481" t="s">
        <v>1106</v>
      </c>
      <c r="J481" t="s">
        <v>1107</v>
      </c>
      <c r="K481" t="s">
        <v>1108</v>
      </c>
      <c r="L481">
        <v>1346</v>
      </c>
      <c r="N481">
        <v>1009</v>
      </c>
      <c r="O481" t="s">
        <v>118</v>
      </c>
      <c r="P481" t="s">
        <v>118</v>
      </c>
      <c r="Q481">
        <v>1</v>
      </c>
      <c r="W481">
        <v>0</v>
      </c>
      <c r="X481">
        <v>275569828</v>
      </c>
      <c r="Y481">
        <v>0</v>
      </c>
      <c r="AA481">
        <v>167.27</v>
      </c>
      <c r="AB481">
        <v>0</v>
      </c>
      <c r="AC481">
        <v>0</v>
      </c>
      <c r="AD481">
        <v>0</v>
      </c>
      <c r="AE481">
        <v>27.11</v>
      </c>
      <c r="AF481">
        <v>0</v>
      </c>
      <c r="AG481">
        <v>0</v>
      </c>
      <c r="AH481">
        <v>0</v>
      </c>
      <c r="AI481">
        <v>6.17</v>
      </c>
      <c r="AJ481">
        <v>1</v>
      </c>
      <c r="AK481">
        <v>1</v>
      </c>
      <c r="AL481">
        <v>1</v>
      </c>
      <c r="AN481">
        <v>0</v>
      </c>
      <c r="AO481">
        <v>1</v>
      </c>
      <c r="AP481">
        <v>1</v>
      </c>
      <c r="AQ481">
        <v>0</v>
      </c>
      <c r="AR481">
        <v>0</v>
      </c>
      <c r="AS481" t="s">
        <v>6</v>
      </c>
      <c r="AT481">
        <v>0.38</v>
      </c>
      <c r="AU481" t="s">
        <v>24</v>
      </c>
      <c r="AV481">
        <v>0</v>
      </c>
      <c r="AW481">
        <v>2</v>
      </c>
      <c r="AX481">
        <v>31029774</v>
      </c>
      <c r="AY481">
        <v>1</v>
      </c>
      <c r="AZ481">
        <v>0</v>
      </c>
      <c r="BA481">
        <v>506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CX481">
        <f>Y481*Source!I234</f>
        <v>0</v>
      </c>
      <c r="CY481">
        <f t="shared" si="88"/>
        <v>167.27</v>
      </c>
      <c r="CZ481">
        <f t="shared" si="89"/>
        <v>27.11</v>
      </c>
      <c r="DA481">
        <f t="shared" si="90"/>
        <v>6.17</v>
      </c>
      <c r="DB481">
        <f t="shared" si="91"/>
        <v>0</v>
      </c>
      <c r="DC481">
        <f t="shared" si="92"/>
        <v>0</v>
      </c>
    </row>
    <row r="482" spans="1:107">
      <c r="A482">
        <f>ROW(Source!A234)</f>
        <v>234</v>
      </c>
      <c r="B482">
        <v>31028412</v>
      </c>
      <c r="C482">
        <v>31029747</v>
      </c>
      <c r="D482">
        <v>29161321</v>
      </c>
      <c r="E482">
        <v>1</v>
      </c>
      <c r="F482">
        <v>1</v>
      </c>
      <c r="G482">
        <v>1</v>
      </c>
      <c r="H482">
        <v>3</v>
      </c>
      <c r="I482" t="s">
        <v>1109</v>
      </c>
      <c r="J482" t="s">
        <v>1110</v>
      </c>
      <c r="K482" t="s">
        <v>1111</v>
      </c>
      <c r="L482">
        <v>1354</v>
      </c>
      <c r="N482">
        <v>1010</v>
      </c>
      <c r="O482" t="s">
        <v>704</v>
      </c>
      <c r="P482" t="s">
        <v>704</v>
      </c>
      <c r="Q482">
        <v>1</v>
      </c>
      <c r="W482">
        <v>0</v>
      </c>
      <c r="X482">
        <v>-1363827663</v>
      </c>
      <c r="Y482">
        <v>0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6.17</v>
      </c>
      <c r="AJ482">
        <v>1</v>
      </c>
      <c r="AK482">
        <v>1</v>
      </c>
      <c r="AL482">
        <v>1</v>
      </c>
      <c r="AN482">
        <v>1</v>
      </c>
      <c r="AO482">
        <v>0</v>
      </c>
      <c r="AP482">
        <v>1</v>
      </c>
      <c r="AQ482">
        <v>0</v>
      </c>
      <c r="AR482">
        <v>0</v>
      </c>
      <c r="AS482" t="s">
        <v>6</v>
      </c>
      <c r="AT482">
        <v>0</v>
      </c>
      <c r="AU482" t="s">
        <v>24</v>
      </c>
      <c r="AV482">
        <v>0</v>
      </c>
      <c r="AW482">
        <v>2</v>
      </c>
      <c r="AX482">
        <v>31029775</v>
      </c>
      <c r="AY482">
        <v>1</v>
      </c>
      <c r="AZ482">
        <v>0</v>
      </c>
      <c r="BA482">
        <v>507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CX482">
        <f>Y482*Source!I234</f>
        <v>0</v>
      </c>
      <c r="CY482">
        <f t="shared" si="88"/>
        <v>0</v>
      </c>
      <c r="CZ482">
        <f t="shared" si="89"/>
        <v>0</v>
      </c>
      <c r="DA482">
        <f t="shared" si="90"/>
        <v>6.17</v>
      </c>
      <c r="DB482">
        <f t="shared" si="91"/>
        <v>0</v>
      </c>
      <c r="DC482">
        <f t="shared" si="92"/>
        <v>0</v>
      </c>
    </row>
    <row r="483" spans="1:107">
      <c r="A483">
        <f>ROW(Source!A234)</f>
        <v>234</v>
      </c>
      <c r="B483">
        <v>31028412</v>
      </c>
      <c r="C483">
        <v>31029747</v>
      </c>
      <c r="D483">
        <v>29165029</v>
      </c>
      <c r="E483">
        <v>1</v>
      </c>
      <c r="F483">
        <v>1</v>
      </c>
      <c r="G483">
        <v>1</v>
      </c>
      <c r="H483">
        <v>3</v>
      </c>
      <c r="I483" t="s">
        <v>1112</v>
      </c>
      <c r="J483" t="s">
        <v>1113</v>
      </c>
      <c r="K483" t="s">
        <v>1114</v>
      </c>
      <c r="L483">
        <v>1346</v>
      </c>
      <c r="N483">
        <v>1009</v>
      </c>
      <c r="O483" t="s">
        <v>118</v>
      </c>
      <c r="P483" t="s">
        <v>118</v>
      </c>
      <c r="Q483">
        <v>1</v>
      </c>
      <c r="W483">
        <v>0</v>
      </c>
      <c r="X483">
        <v>-1042550941</v>
      </c>
      <c r="Y483">
        <v>0</v>
      </c>
      <c r="AA483">
        <v>72.81</v>
      </c>
      <c r="AB483">
        <v>0</v>
      </c>
      <c r="AC483">
        <v>0</v>
      </c>
      <c r="AD483">
        <v>0</v>
      </c>
      <c r="AE483">
        <v>11.8</v>
      </c>
      <c r="AF483">
        <v>0</v>
      </c>
      <c r="AG483">
        <v>0</v>
      </c>
      <c r="AH483">
        <v>0</v>
      </c>
      <c r="AI483">
        <v>6.17</v>
      </c>
      <c r="AJ483">
        <v>1</v>
      </c>
      <c r="AK483">
        <v>1</v>
      </c>
      <c r="AL483">
        <v>1</v>
      </c>
      <c r="AN483">
        <v>0</v>
      </c>
      <c r="AO483">
        <v>1</v>
      </c>
      <c r="AP483">
        <v>1</v>
      </c>
      <c r="AQ483">
        <v>0</v>
      </c>
      <c r="AR483">
        <v>0</v>
      </c>
      <c r="AS483" t="s">
        <v>6</v>
      </c>
      <c r="AT483">
        <v>0.25</v>
      </c>
      <c r="AU483" t="s">
        <v>24</v>
      </c>
      <c r="AV483">
        <v>0</v>
      </c>
      <c r="AW483">
        <v>2</v>
      </c>
      <c r="AX483">
        <v>31029776</v>
      </c>
      <c r="AY483">
        <v>1</v>
      </c>
      <c r="AZ483">
        <v>0</v>
      </c>
      <c r="BA483">
        <v>508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CX483">
        <f>Y483*Source!I234</f>
        <v>0</v>
      </c>
      <c r="CY483">
        <f t="shared" si="88"/>
        <v>72.81</v>
      </c>
      <c r="CZ483">
        <f t="shared" si="89"/>
        <v>11.8</v>
      </c>
      <c r="DA483">
        <f t="shared" si="90"/>
        <v>6.17</v>
      </c>
      <c r="DB483">
        <f t="shared" si="91"/>
        <v>0</v>
      </c>
      <c r="DC483">
        <f t="shared" si="92"/>
        <v>0</v>
      </c>
    </row>
    <row r="484" spans="1:107">
      <c r="A484">
        <f>ROW(Source!A234)</f>
        <v>234</v>
      </c>
      <c r="B484">
        <v>31028412</v>
      </c>
      <c r="C484">
        <v>31029747</v>
      </c>
      <c r="D484">
        <v>29183872</v>
      </c>
      <c r="E484">
        <v>1</v>
      </c>
      <c r="F484">
        <v>1</v>
      </c>
      <c r="G484">
        <v>1</v>
      </c>
      <c r="H484">
        <v>3</v>
      </c>
      <c r="I484" t="s">
        <v>1115</v>
      </c>
      <c r="J484" t="s">
        <v>1116</v>
      </c>
      <c r="K484" t="s">
        <v>1117</v>
      </c>
      <c r="L484">
        <v>1346</v>
      </c>
      <c r="N484">
        <v>1009</v>
      </c>
      <c r="O484" t="s">
        <v>118</v>
      </c>
      <c r="P484" t="s">
        <v>118</v>
      </c>
      <c r="Q484">
        <v>1</v>
      </c>
      <c r="W484">
        <v>0</v>
      </c>
      <c r="X484">
        <v>1383920472</v>
      </c>
      <c r="Y484">
        <v>0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6.17</v>
      </c>
      <c r="AJ484">
        <v>1</v>
      </c>
      <c r="AK484">
        <v>1</v>
      </c>
      <c r="AL484">
        <v>1</v>
      </c>
      <c r="AN484">
        <v>1</v>
      </c>
      <c r="AO484">
        <v>0</v>
      </c>
      <c r="AP484">
        <v>1</v>
      </c>
      <c r="AQ484">
        <v>0</v>
      </c>
      <c r="AR484">
        <v>0</v>
      </c>
      <c r="AS484" t="s">
        <v>6</v>
      </c>
      <c r="AT484">
        <v>0</v>
      </c>
      <c r="AU484" t="s">
        <v>24</v>
      </c>
      <c r="AV484">
        <v>0</v>
      </c>
      <c r="AW484">
        <v>2</v>
      </c>
      <c r="AX484">
        <v>31029777</v>
      </c>
      <c r="AY484">
        <v>1</v>
      </c>
      <c r="AZ484">
        <v>0</v>
      </c>
      <c r="BA484">
        <v>509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  <c r="CX484">
        <f>Y484*Source!I234</f>
        <v>0</v>
      </c>
      <c r="CY484">
        <f t="shared" si="88"/>
        <v>0</v>
      </c>
      <c r="CZ484">
        <f t="shared" si="89"/>
        <v>0</v>
      </c>
      <c r="DA484">
        <f t="shared" si="90"/>
        <v>6.17</v>
      </c>
      <c r="DB484">
        <f t="shared" si="91"/>
        <v>0</v>
      </c>
      <c r="DC484">
        <f t="shared" si="92"/>
        <v>0</v>
      </c>
    </row>
    <row r="485" spans="1:107">
      <c r="A485">
        <f>ROW(Source!A234)</f>
        <v>234</v>
      </c>
      <c r="B485">
        <v>31028412</v>
      </c>
      <c r="C485">
        <v>31029747</v>
      </c>
      <c r="D485">
        <v>29185738</v>
      </c>
      <c r="E485">
        <v>1</v>
      </c>
      <c r="F485">
        <v>1</v>
      </c>
      <c r="G485">
        <v>1</v>
      </c>
      <c r="H485">
        <v>3</v>
      </c>
      <c r="I485" t="s">
        <v>1118</v>
      </c>
      <c r="J485" t="s">
        <v>1119</v>
      </c>
      <c r="K485" t="s">
        <v>1120</v>
      </c>
      <c r="L485">
        <v>1354</v>
      </c>
      <c r="N485">
        <v>1010</v>
      </c>
      <c r="O485" t="s">
        <v>704</v>
      </c>
      <c r="P485" t="s">
        <v>704</v>
      </c>
      <c r="Q485">
        <v>1</v>
      </c>
      <c r="W485">
        <v>0</v>
      </c>
      <c r="X485">
        <v>-1275877564</v>
      </c>
      <c r="Y485">
        <v>0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6.17</v>
      </c>
      <c r="AJ485">
        <v>1</v>
      </c>
      <c r="AK485">
        <v>1</v>
      </c>
      <c r="AL485">
        <v>1</v>
      </c>
      <c r="AN485">
        <v>1</v>
      </c>
      <c r="AO485">
        <v>0</v>
      </c>
      <c r="AP485">
        <v>1</v>
      </c>
      <c r="AQ485">
        <v>0</v>
      </c>
      <c r="AR485">
        <v>0</v>
      </c>
      <c r="AS485" t="s">
        <v>6</v>
      </c>
      <c r="AT485">
        <v>0</v>
      </c>
      <c r="AU485" t="s">
        <v>24</v>
      </c>
      <c r="AV485">
        <v>0</v>
      </c>
      <c r="AW485">
        <v>2</v>
      </c>
      <c r="AX485">
        <v>31029778</v>
      </c>
      <c r="AY485">
        <v>1</v>
      </c>
      <c r="AZ485">
        <v>0</v>
      </c>
      <c r="BA485">
        <v>510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CX485">
        <f>Y485*Source!I234</f>
        <v>0</v>
      </c>
      <c r="CY485">
        <f t="shared" si="88"/>
        <v>0</v>
      </c>
      <c r="CZ485">
        <f t="shared" si="89"/>
        <v>0</v>
      </c>
      <c r="DA485">
        <f t="shared" si="90"/>
        <v>6.17</v>
      </c>
      <c r="DB485">
        <f t="shared" si="91"/>
        <v>0</v>
      </c>
      <c r="DC485">
        <f t="shared" si="92"/>
        <v>0</v>
      </c>
    </row>
    <row r="486" spans="1:107">
      <c r="A486">
        <f>ROW(Source!A234)</f>
        <v>234</v>
      </c>
      <c r="B486">
        <v>31028412</v>
      </c>
      <c r="C486">
        <v>31029747</v>
      </c>
      <c r="D486">
        <v>29194456</v>
      </c>
      <c r="E486">
        <v>1</v>
      </c>
      <c r="F486">
        <v>1</v>
      </c>
      <c r="G486">
        <v>1</v>
      </c>
      <c r="H486">
        <v>3</v>
      </c>
      <c r="I486" t="s">
        <v>1121</v>
      </c>
      <c r="J486" t="s">
        <v>1122</v>
      </c>
      <c r="K486" t="s">
        <v>1123</v>
      </c>
      <c r="L486">
        <v>1346</v>
      </c>
      <c r="N486">
        <v>1009</v>
      </c>
      <c r="O486" t="s">
        <v>118</v>
      </c>
      <c r="P486" t="s">
        <v>118</v>
      </c>
      <c r="Q486">
        <v>1</v>
      </c>
      <c r="W486">
        <v>0</v>
      </c>
      <c r="X486">
        <v>-1107002982</v>
      </c>
      <c r="Y486">
        <v>0</v>
      </c>
      <c r="AA486">
        <v>14.38</v>
      </c>
      <c r="AB486">
        <v>0</v>
      </c>
      <c r="AC486">
        <v>0</v>
      </c>
      <c r="AD486">
        <v>0</v>
      </c>
      <c r="AE486">
        <v>2.33</v>
      </c>
      <c r="AF486">
        <v>0</v>
      </c>
      <c r="AG486">
        <v>0</v>
      </c>
      <c r="AH486">
        <v>0</v>
      </c>
      <c r="AI486">
        <v>6.17</v>
      </c>
      <c r="AJ486">
        <v>1</v>
      </c>
      <c r="AK486">
        <v>1</v>
      </c>
      <c r="AL486">
        <v>1</v>
      </c>
      <c r="AN486">
        <v>0</v>
      </c>
      <c r="AO486">
        <v>1</v>
      </c>
      <c r="AP486">
        <v>1</v>
      </c>
      <c r="AQ486">
        <v>0</v>
      </c>
      <c r="AR486">
        <v>0</v>
      </c>
      <c r="AS486" t="s">
        <v>6</v>
      </c>
      <c r="AT486">
        <v>2.5000000000000001E-3</v>
      </c>
      <c r="AU486" t="s">
        <v>24</v>
      </c>
      <c r="AV486">
        <v>0</v>
      </c>
      <c r="AW486">
        <v>2</v>
      </c>
      <c r="AX486">
        <v>31029779</v>
      </c>
      <c r="AY486">
        <v>1</v>
      </c>
      <c r="AZ486">
        <v>0</v>
      </c>
      <c r="BA486">
        <v>511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CX486">
        <f>Y486*Source!I234</f>
        <v>0</v>
      </c>
      <c r="CY486">
        <f t="shared" si="88"/>
        <v>14.38</v>
      </c>
      <c r="CZ486">
        <f t="shared" si="89"/>
        <v>2.33</v>
      </c>
      <c r="DA486">
        <f t="shared" si="90"/>
        <v>6.17</v>
      </c>
      <c r="DB486">
        <f t="shared" si="91"/>
        <v>0</v>
      </c>
      <c r="DC486">
        <f t="shared" si="92"/>
        <v>0</v>
      </c>
    </row>
    <row r="487" spans="1:107">
      <c r="A487">
        <f>ROW(Source!A234)</f>
        <v>234</v>
      </c>
      <c r="B487">
        <v>31028412</v>
      </c>
      <c r="C487">
        <v>31029747</v>
      </c>
      <c r="D487">
        <v>29195171</v>
      </c>
      <c r="E487">
        <v>1</v>
      </c>
      <c r="F487">
        <v>1</v>
      </c>
      <c r="G487">
        <v>1</v>
      </c>
      <c r="H487">
        <v>3</v>
      </c>
      <c r="I487" t="s">
        <v>830</v>
      </c>
      <c r="J487" t="s">
        <v>831</v>
      </c>
      <c r="K487" t="s">
        <v>832</v>
      </c>
      <c r="L487">
        <v>1339</v>
      </c>
      <c r="N487">
        <v>1007</v>
      </c>
      <c r="O487" t="s">
        <v>109</v>
      </c>
      <c r="P487" t="s">
        <v>109</v>
      </c>
      <c r="Q487">
        <v>1</v>
      </c>
      <c r="W487">
        <v>0</v>
      </c>
      <c r="X487">
        <v>2050165204</v>
      </c>
      <c r="Y487">
        <v>0</v>
      </c>
      <c r="AA487">
        <v>15.12</v>
      </c>
      <c r="AB487">
        <v>0</v>
      </c>
      <c r="AC487">
        <v>0</v>
      </c>
      <c r="AD487">
        <v>0</v>
      </c>
      <c r="AE487">
        <v>2.4500000000000002</v>
      </c>
      <c r="AF487">
        <v>0</v>
      </c>
      <c r="AG487">
        <v>0</v>
      </c>
      <c r="AH487">
        <v>0</v>
      </c>
      <c r="AI487">
        <v>6.17</v>
      </c>
      <c r="AJ487">
        <v>1</v>
      </c>
      <c r="AK487">
        <v>1</v>
      </c>
      <c r="AL487">
        <v>1</v>
      </c>
      <c r="AN487">
        <v>0</v>
      </c>
      <c r="AO487">
        <v>1</v>
      </c>
      <c r="AP487">
        <v>1</v>
      </c>
      <c r="AQ487">
        <v>0</v>
      </c>
      <c r="AR487">
        <v>0</v>
      </c>
      <c r="AS487" t="s">
        <v>6</v>
      </c>
      <c r="AT487">
        <v>0.74</v>
      </c>
      <c r="AU487" t="s">
        <v>24</v>
      </c>
      <c r="AV487">
        <v>0</v>
      </c>
      <c r="AW487">
        <v>2</v>
      </c>
      <c r="AX487">
        <v>31029780</v>
      </c>
      <c r="AY487">
        <v>1</v>
      </c>
      <c r="AZ487">
        <v>0</v>
      </c>
      <c r="BA487">
        <v>512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CX487">
        <f>Y487*Source!I234</f>
        <v>0</v>
      </c>
      <c r="CY487">
        <f t="shared" si="88"/>
        <v>15.12</v>
      </c>
      <c r="CZ487">
        <f t="shared" si="89"/>
        <v>2.4500000000000002</v>
      </c>
      <c r="DA487">
        <f t="shared" si="90"/>
        <v>6.17</v>
      </c>
      <c r="DB487">
        <f t="shared" si="91"/>
        <v>0</v>
      </c>
      <c r="DC487">
        <f t="shared" si="92"/>
        <v>0</v>
      </c>
    </row>
    <row r="488" spans="1:107">
      <c r="A488">
        <f>ROW(Source!A234)</f>
        <v>234</v>
      </c>
      <c r="B488">
        <v>31028412</v>
      </c>
      <c r="C488">
        <v>31029747</v>
      </c>
      <c r="D488">
        <v>29203016</v>
      </c>
      <c r="E488">
        <v>1</v>
      </c>
      <c r="F488">
        <v>1</v>
      </c>
      <c r="G488">
        <v>1</v>
      </c>
      <c r="H488">
        <v>3</v>
      </c>
      <c r="I488" t="s">
        <v>627</v>
      </c>
      <c r="J488" t="s">
        <v>630</v>
      </c>
      <c r="K488" t="s">
        <v>628</v>
      </c>
      <c r="L488">
        <v>1302</v>
      </c>
      <c r="N488">
        <v>1003</v>
      </c>
      <c r="O488" t="s">
        <v>629</v>
      </c>
      <c r="P488" t="s">
        <v>629</v>
      </c>
      <c r="Q488">
        <v>10</v>
      </c>
      <c r="W488">
        <v>0</v>
      </c>
      <c r="X488">
        <v>-1961691766</v>
      </c>
      <c r="Y488">
        <v>0</v>
      </c>
      <c r="AA488">
        <v>295.85000000000002</v>
      </c>
      <c r="AB488">
        <v>0</v>
      </c>
      <c r="AC488">
        <v>0</v>
      </c>
      <c r="AD488">
        <v>0</v>
      </c>
      <c r="AE488">
        <v>47.95</v>
      </c>
      <c r="AF488">
        <v>0</v>
      </c>
      <c r="AG488">
        <v>0</v>
      </c>
      <c r="AH488">
        <v>0</v>
      </c>
      <c r="AI488">
        <v>6.17</v>
      </c>
      <c r="AJ488">
        <v>1</v>
      </c>
      <c r="AK488">
        <v>1</v>
      </c>
      <c r="AL488">
        <v>1</v>
      </c>
      <c r="AN488">
        <v>0</v>
      </c>
      <c r="AO488">
        <v>1</v>
      </c>
      <c r="AP488">
        <v>1</v>
      </c>
      <c r="AQ488">
        <v>0</v>
      </c>
      <c r="AR488">
        <v>0</v>
      </c>
      <c r="AS488" t="s">
        <v>6</v>
      </c>
      <c r="AT488">
        <v>9.2899999999999991</v>
      </c>
      <c r="AU488" t="s">
        <v>24</v>
      </c>
      <c r="AV488">
        <v>0</v>
      </c>
      <c r="AW488">
        <v>2</v>
      </c>
      <c r="AX488">
        <v>31029781</v>
      </c>
      <c r="AY488">
        <v>1</v>
      </c>
      <c r="AZ488">
        <v>0</v>
      </c>
      <c r="BA488">
        <v>513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CX488">
        <f>Y488*Source!I234</f>
        <v>0</v>
      </c>
      <c r="CY488">
        <f t="shared" si="88"/>
        <v>295.85000000000002</v>
      </c>
      <c r="CZ488">
        <f t="shared" si="89"/>
        <v>47.95</v>
      </c>
      <c r="DA488">
        <f t="shared" si="90"/>
        <v>6.17</v>
      </c>
      <c r="DB488">
        <f t="shared" si="91"/>
        <v>0</v>
      </c>
      <c r="DC488">
        <f t="shared" si="92"/>
        <v>0</v>
      </c>
    </row>
    <row r="489" spans="1:107">
      <c r="A489">
        <f>ROW(Source!A235)</f>
        <v>235</v>
      </c>
      <c r="B489">
        <v>31028412</v>
      </c>
      <c r="C489">
        <v>31029782</v>
      </c>
      <c r="D489">
        <v>29084597</v>
      </c>
      <c r="E489">
        <v>1</v>
      </c>
      <c r="F489">
        <v>1</v>
      </c>
      <c r="G489">
        <v>1</v>
      </c>
      <c r="H489">
        <v>1</v>
      </c>
      <c r="I489" t="s">
        <v>1092</v>
      </c>
      <c r="J489" t="s">
        <v>6</v>
      </c>
      <c r="K489" t="s">
        <v>1093</v>
      </c>
      <c r="L489">
        <v>1369</v>
      </c>
      <c r="N489">
        <v>1013</v>
      </c>
      <c r="O489" t="s">
        <v>773</v>
      </c>
      <c r="P489" t="s">
        <v>773</v>
      </c>
      <c r="Q489">
        <v>1</v>
      </c>
      <c r="W489">
        <v>0</v>
      </c>
      <c r="X489">
        <v>353187930</v>
      </c>
      <c r="Y489">
        <v>29.550399999999996</v>
      </c>
      <c r="AA489">
        <v>0</v>
      </c>
      <c r="AB489">
        <v>0</v>
      </c>
      <c r="AC489">
        <v>0</v>
      </c>
      <c r="AD489">
        <v>231.79</v>
      </c>
      <c r="AE489">
        <v>0</v>
      </c>
      <c r="AF489">
        <v>0</v>
      </c>
      <c r="AG489">
        <v>0</v>
      </c>
      <c r="AH489">
        <v>9.57</v>
      </c>
      <c r="AI489">
        <v>1</v>
      </c>
      <c r="AJ489">
        <v>1</v>
      </c>
      <c r="AK489">
        <v>1</v>
      </c>
      <c r="AL489">
        <v>24.22</v>
      </c>
      <c r="AN489">
        <v>0</v>
      </c>
      <c r="AO489">
        <v>1</v>
      </c>
      <c r="AP489">
        <v>1</v>
      </c>
      <c r="AQ489">
        <v>0</v>
      </c>
      <c r="AR489">
        <v>0</v>
      </c>
      <c r="AS489" t="s">
        <v>6</v>
      </c>
      <c r="AT489">
        <v>64.239999999999995</v>
      </c>
      <c r="AU489" t="s">
        <v>492</v>
      </c>
      <c r="AV489">
        <v>1</v>
      </c>
      <c r="AW489">
        <v>2</v>
      </c>
      <c r="AX489">
        <v>31029794</v>
      </c>
      <c r="AY489">
        <v>1</v>
      </c>
      <c r="AZ489">
        <v>0</v>
      </c>
      <c r="BA489">
        <v>514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CX489">
        <f>Y489*Source!I235</f>
        <v>53.190719999999992</v>
      </c>
      <c r="CY489">
        <f>AD489</f>
        <v>231.79</v>
      </c>
      <c r="CZ489">
        <f>AH489</f>
        <v>9.57</v>
      </c>
      <c r="DA489">
        <f>AL489</f>
        <v>24.22</v>
      </c>
      <c r="DB489">
        <f>ROUND((ROUND(AT489*CZ489,2)*ROUND((0.4*1.15),7)),6)</f>
        <v>282.79880000000003</v>
      </c>
      <c r="DC489">
        <f>ROUND((ROUND(AT489*AG489,2)*ROUND((0.4*1.15),7)),6)</f>
        <v>0</v>
      </c>
    </row>
    <row r="490" spans="1:107">
      <c r="A490">
        <f>ROW(Source!A235)</f>
        <v>235</v>
      </c>
      <c r="B490">
        <v>31028412</v>
      </c>
      <c r="C490">
        <v>31029782</v>
      </c>
      <c r="D490">
        <v>29084573</v>
      </c>
      <c r="E490">
        <v>1</v>
      </c>
      <c r="F490">
        <v>1</v>
      </c>
      <c r="G490">
        <v>1</v>
      </c>
      <c r="H490">
        <v>1</v>
      </c>
      <c r="I490" t="s">
        <v>774</v>
      </c>
      <c r="J490" t="s">
        <v>6</v>
      </c>
      <c r="K490" t="s">
        <v>775</v>
      </c>
      <c r="L490">
        <v>608254</v>
      </c>
      <c r="N490">
        <v>1013</v>
      </c>
      <c r="O490" t="s">
        <v>776</v>
      </c>
      <c r="P490" t="s">
        <v>776</v>
      </c>
      <c r="Q490">
        <v>1</v>
      </c>
      <c r="W490">
        <v>0</v>
      </c>
      <c r="X490">
        <v>95408949</v>
      </c>
      <c r="Y490">
        <v>9.1999999999999998E-3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1</v>
      </c>
      <c r="AJ490">
        <v>1</v>
      </c>
      <c r="AK490">
        <v>24.22</v>
      </c>
      <c r="AL490">
        <v>1</v>
      </c>
      <c r="AN490">
        <v>0</v>
      </c>
      <c r="AO490">
        <v>1</v>
      </c>
      <c r="AP490">
        <v>1</v>
      </c>
      <c r="AQ490">
        <v>0</v>
      </c>
      <c r="AR490">
        <v>0</v>
      </c>
      <c r="AS490" t="s">
        <v>6</v>
      </c>
      <c r="AT490">
        <v>0.02</v>
      </c>
      <c r="AU490" t="s">
        <v>492</v>
      </c>
      <c r="AV490">
        <v>2</v>
      </c>
      <c r="AW490">
        <v>2</v>
      </c>
      <c r="AX490">
        <v>31029795</v>
      </c>
      <c r="AY490">
        <v>1</v>
      </c>
      <c r="AZ490">
        <v>0</v>
      </c>
      <c r="BA490">
        <v>515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CX490">
        <f>Y490*Source!I235</f>
        <v>1.6560000000000002E-2</v>
      </c>
      <c r="CY490">
        <f>AD490</f>
        <v>0</v>
      </c>
      <c r="CZ490">
        <f>AH490</f>
        <v>0</v>
      </c>
      <c r="DA490">
        <f>AL490</f>
        <v>1</v>
      </c>
      <c r="DB490">
        <f>ROUND((ROUND(AT490*CZ490,2)*ROUND((0.4*1.15),7)),6)</f>
        <v>0</v>
      </c>
      <c r="DC490">
        <f>ROUND((ROUND(AT490*AG490,2)*ROUND((0.4*1.15),7)),6)</f>
        <v>0</v>
      </c>
    </row>
    <row r="491" spans="1:107">
      <c r="A491">
        <f>ROW(Source!A235)</f>
        <v>235</v>
      </c>
      <c r="B491">
        <v>31028412</v>
      </c>
      <c r="C491">
        <v>31029782</v>
      </c>
      <c r="D491">
        <v>29147520</v>
      </c>
      <c r="E491">
        <v>1</v>
      </c>
      <c r="F491">
        <v>1</v>
      </c>
      <c r="G491">
        <v>1</v>
      </c>
      <c r="H491">
        <v>2</v>
      </c>
      <c r="I491" t="s">
        <v>777</v>
      </c>
      <c r="J491" t="s">
        <v>778</v>
      </c>
      <c r="K491" t="s">
        <v>779</v>
      </c>
      <c r="L491">
        <v>1368</v>
      </c>
      <c r="N491">
        <v>1011</v>
      </c>
      <c r="O491" t="s">
        <v>780</v>
      </c>
      <c r="P491" t="s">
        <v>780</v>
      </c>
      <c r="Q491">
        <v>1</v>
      </c>
      <c r="W491">
        <v>0</v>
      </c>
      <c r="X491">
        <v>-2048414082</v>
      </c>
      <c r="Y491">
        <v>4.5999999999999999E-3</v>
      </c>
      <c r="AA491">
        <v>0</v>
      </c>
      <c r="AB491">
        <v>656.51</v>
      </c>
      <c r="AC491">
        <v>315.58999999999997</v>
      </c>
      <c r="AD491">
        <v>0</v>
      </c>
      <c r="AE491">
        <v>0</v>
      </c>
      <c r="AF491">
        <v>85.93</v>
      </c>
      <c r="AG491">
        <v>13.03</v>
      </c>
      <c r="AH491">
        <v>0</v>
      </c>
      <c r="AI491">
        <v>1</v>
      </c>
      <c r="AJ491">
        <v>7.64</v>
      </c>
      <c r="AK491">
        <v>24.22</v>
      </c>
      <c r="AL491">
        <v>1</v>
      </c>
      <c r="AN491">
        <v>0</v>
      </c>
      <c r="AO491">
        <v>1</v>
      </c>
      <c r="AP491">
        <v>1</v>
      </c>
      <c r="AQ491">
        <v>0</v>
      </c>
      <c r="AR491">
        <v>0</v>
      </c>
      <c r="AS491" t="s">
        <v>6</v>
      </c>
      <c r="AT491">
        <v>0.01</v>
      </c>
      <c r="AU491" t="s">
        <v>492</v>
      </c>
      <c r="AV491">
        <v>0</v>
      </c>
      <c r="AW491">
        <v>2</v>
      </c>
      <c r="AX491">
        <v>31029796</v>
      </c>
      <c r="AY491">
        <v>1</v>
      </c>
      <c r="AZ491">
        <v>0</v>
      </c>
      <c r="BA491">
        <v>516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CX491">
        <f>Y491*Source!I235</f>
        <v>8.2800000000000009E-3</v>
      </c>
      <c r="CY491">
        <f>AB491</f>
        <v>656.51</v>
      </c>
      <c r="CZ491">
        <f>AF491</f>
        <v>85.93</v>
      </c>
      <c r="DA491">
        <f>AJ491</f>
        <v>7.64</v>
      </c>
      <c r="DB491">
        <f>ROUND((ROUND(AT491*CZ491,2)*ROUND((0.4*1.15),7)),6)</f>
        <v>0.39560000000000001</v>
      </c>
      <c r="DC491">
        <f>ROUND((ROUND(AT491*AG491,2)*ROUND((0.4*1.15),7)),6)</f>
        <v>5.9799999999999999E-2</v>
      </c>
    </row>
    <row r="492" spans="1:107">
      <c r="A492">
        <f>ROW(Source!A235)</f>
        <v>235</v>
      </c>
      <c r="B492">
        <v>31028412</v>
      </c>
      <c r="C492">
        <v>31029782</v>
      </c>
      <c r="D492">
        <v>29147601</v>
      </c>
      <c r="E492">
        <v>1</v>
      </c>
      <c r="F492">
        <v>1</v>
      </c>
      <c r="G492">
        <v>1</v>
      </c>
      <c r="H492">
        <v>2</v>
      </c>
      <c r="I492" t="s">
        <v>781</v>
      </c>
      <c r="J492" t="s">
        <v>782</v>
      </c>
      <c r="K492" t="s">
        <v>783</v>
      </c>
      <c r="L492">
        <v>1368</v>
      </c>
      <c r="N492">
        <v>1011</v>
      </c>
      <c r="O492" t="s">
        <v>780</v>
      </c>
      <c r="P492" t="s">
        <v>780</v>
      </c>
      <c r="Q492">
        <v>1</v>
      </c>
      <c r="W492">
        <v>0</v>
      </c>
      <c r="X492">
        <v>1170567961</v>
      </c>
      <c r="Y492">
        <v>4.5999999999999999E-3</v>
      </c>
      <c r="AA492">
        <v>0</v>
      </c>
      <c r="AB492">
        <v>828.56</v>
      </c>
      <c r="AC492">
        <v>315.58999999999997</v>
      </c>
      <c r="AD492">
        <v>0</v>
      </c>
      <c r="AE492">
        <v>0</v>
      </c>
      <c r="AF492">
        <v>108.45</v>
      </c>
      <c r="AG492">
        <v>13.03</v>
      </c>
      <c r="AH492">
        <v>0</v>
      </c>
      <c r="AI492">
        <v>1</v>
      </c>
      <c r="AJ492">
        <v>7.64</v>
      </c>
      <c r="AK492">
        <v>24.22</v>
      </c>
      <c r="AL492">
        <v>1</v>
      </c>
      <c r="AN492">
        <v>0</v>
      </c>
      <c r="AO492">
        <v>1</v>
      </c>
      <c r="AP492">
        <v>1</v>
      </c>
      <c r="AQ492">
        <v>0</v>
      </c>
      <c r="AR492">
        <v>0</v>
      </c>
      <c r="AS492" t="s">
        <v>6</v>
      </c>
      <c r="AT492">
        <v>0.01</v>
      </c>
      <c r="AU492" t="s">
        <v>492</v>
      </c>
      <c r="AV492">
        <v>0</v>
      </c>
      <c r="AW492">
        <v>2</v>
      </c>
      <c r="AX492">
        <v>31029797</v>
      </c>
      <c r="AY492">
        <v>1</v>
      </c>
      <c r="AZ492">
        <v>0</v>
      </c>
      <c r="BA492">
        <v>517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CX492">
        <f>Y492*Source!I235</f>
        <v>8.2800000000000009E-3</v>
      </c>
      <c r="CY492">
        <f>AB492</f>
        <v>828.56</v>
      </c>
      <c r="CZ492">
        <f>AF492</f>
        <v>108.45</v>
      </c>
      <c r="DA492">
        <f>AJ492</f>
        <v>7.64</v>
      </c>
      <c r="DB492">
        <f>ROUND((ROUND(AT492*CZ492,2)*ROUND((0.4*1.15),7)),6)</f>
        <v>0.49680000000000002</v>
      </c>
      <c r="DC492">
        <f>ROUND((ROUND(AT492*AG492,2)*ROUND((0.4*1.15),7)),6)</f>
        <v>5.9799999999999999E-2</v>
      </c>
    </row>
    <row r="493" spans="1:107">
      <c r="A493">
        <f>ROW(Source!A235)</f>
        <v>235</v>
      </c>
      <c r="B493">
        <v>31028412</v>
      </c>
      <c r="C493">
        <v>31029782</v>
      </c>
      <c r="D493">
        <v>29149520</v>
      </c>
      <c r="E493">
        <v>1</v>
      </c>
      <c r="F493">
        <v>1</v>
      </c>
      <c r="G493">
        <v>1</v>
      </c>
      <c r="H493">
        <v>2</v>
      </c>
      <c r="I493" t="s">
        <v>790</v>
      </c>
      <c r="J493" t="s">
        <v>791</v>
      </c>
      <c r="K493" t="s">
        <v>792</v>
      </c>
      <c r="L493">
        <v>1368</v>
      </c>
      <c r="N493">
        <v>1011</v>
      </c>
      <c r="O493" t="s">
        <v>780</v>
      </c>
      <c r="P493" t="s">
        <v>780</v>
      </c>
      <c r="Q493">
        <v>1</v>
      </c>
      <c r="W493">
        <v>0</v>
      </c>
      <c r="X493">
        <v>-1931461795</v>
      </c>
      <c r="Y493">
        <v>4.5999999999999999E-3</v>
      </c>
      <c r="AA493">
        <v>0</v>
      </c>
      <c r="AB493">
        <v>699.98</v>
      </c>
      <c r="AC493">
        <v>0</v>
      </c>
      <c r="AD493">
        <v>0</v>
      </c>
      <c r="AE493">
        <v>0</v>
      </c>
      <c r="AF493">
        <v>91.62</v>
      </c>
      <c r="AG493">
        <v>0</v>
      </c>
      <c r="AH493">
        <v>0</v>
      </c>
      <c r="AI493">
        <v>1</v>
      </c>
      <c r="AJ493">
        <v>7.64</v>
      </c>
      <c r="AK493">
        <v>24.22</v>
      </c>
      <c r="AL493">
        <v>1</v>
      </c>
      <c r="AN493">
        <v>0</v>
      </c>
      <c r="AO493">
        <v>1</v>
      </c>
      <c r="AP493">
        <v>1</v>
      </c>
      <c r="AQ493">
        <v>0</v>
      </c>
      <c r="AR493">
        <v>0</v>
      </c>
      <c r="AS493" t="s">
        <v>6</v>
      </c>
      <c r="AT493">
        <v>0.01</v>
      </c>
      <c r="AU493" t="s">
        <v>492</v>
      </c>
      <c r="AV493">
        <v>0</v>
      </c>
      <c r="AW493">
        <v>2</v>
      </c>
      <c r="AX493">
        <v>31029798</v>
      </c>
      <c r="AY493">
        <v>1</v>
      </c>
      <c r="AZ493">
        <v>0</v>
      </c>
      <c r="BA493">
        <v>518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CX493">
        <f>Y493*Source!I235</f>
        <v>8.2800000000000009E-3</v>
      </c>
      <c r="CY493">
        <f>AB493</f>
        <v>699.98</v>
      </c>
      <c r="CZ493">
        <f>AF493</f>
        <v>91.62</v>
      </c>
      <c r="DA493">
        <f>AJ493</f>
        <v>7.64</v>
      </c>
      <c r="DB493">
        <f>ROUND((ROUND(AT493*CZ493,2)*ROUND((0.4*1.15),7)),6)</f>
        <v>0.42320000000000002</v>
      </c>
      <c r="DC493">
        <f>ROUND((ROUND(AT493*AG493,2)*ROUND((0.4*1.15),7)),6)</f>
        <v>0</v>
      </c>
    </row>
    <row r="494" spans="1:107">
      <c r="A494">
        <f>ROW(Source!A235)</f>
        <v>235</v>
      </c>
      <c r="B494">
        <v>31028412</v>
      </c>
      <c r="C494">
        <v>31029782</v>
      </c>
      <c r="D494">
        <v>29152667</v>
      </c>
      <c r="E494">
        <v>1</v>
      </c>
      <c r="F494">
        <v>1</v>
      </c>
      <c r="G494">
        <v>1</v>
      </c>
      <c r="H494">
        <v>3</v>
      </c>
      <c r="I494" t="s">
        <v>1124</v>
      </c>
      <c r="J494" t="s">
        <v>1125</v>
      </c>
      <c r="K494" t="s">
        <v>1126</v>
      </c>
      <c r="L494">
        <v>1346</v>
      </c>
      <c r="N494">
        <v>1009</v>
      </c>
      <c r="O494" t="s">
        <v>118</v>
      </c>
      <c r="P494" t="s">
        <v>118</v>
      </c>
      <c r="Q494">
        <v>1</v>
      </c>
      <c r="W494">
        <v>0</v>
      </c>
      <c r="X494">
        <v>1454443168</v>
      </c>
      <c r="Y494">
        <v>0</v>
      </c>
      <c r="AA494">
        <v>113.47</v>
      </c>
      <c r="AB494">
        <v>0</v>
      </c>
      <c r="AC494">
        <v>0</v>
      </c>
      <c r="AD494">
        <v>0</v>
      </c>
      <c r="AE494">
        <v>18.39</v>
      </c>
      <c r="AF494">
        <v>0</v>
      </c>
      <c r="AG494">
        <v>0</v>
      </c>
      <c r="AH494">
        <v>0</v>
      </c>
      <c r="AI494">
        <v>6.17</v>
      </c>
      <c r="AJ494">
        <v>1</v>
      </c>
      <c r="AK494">
        <v>1</v>
      </c>
      <c r="AL494">
        <v>1</v>
      </c>
      <c r="AN494">
        <v>0</v>
      </c>
      <c r="AO494">
        <v>1</v>
      </c>
      <c r="AP494">
        <v>1</v>
      </c>
      <c r="AQ494">
        <v>0</v>
      </c>
      <c r="AR494">
        <v>0</v>
      </c>
      <c r="AS494" t="s">
        <v>6</v>
      </c>
      <c r="AT494">
        <v>1.5</v>
      </c>
      <c r="AU494" t="s">
        <v>24</v>
      </c>
      <c r="AV494">
        <v>0</v>
      </c>
      <c r="AW494">
        <v>2</v>
      </c>
      <c r="AX494">
        <v>31029799</v>
      </c>
      <c r="AY494">
        <v>1</v>
      </c>
      <c r="AZ494">
        <v>0</v>
      </c>
      <c r="BA494">
        <v>519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CX494">
        <f>Y494*Source!I235</f>
        <v>0</v>
      </c>
      <c r="CY494">
        <f t="shared" ref="CY494:CY499" si="93">AA494</f>
        <v>113.47</v>
      </c>
      <c r="CZ494">
        <f t="shared" ref="CZ494:CZ499" si="94">AE494</f>
        <v>18.39</v>
      </c>
      <c r="DA494">
        <f t="shared" ref="DA494:DA499" si="95">AI494</f>
        <v>6.17</v>
      </c>
      <c r="DB494">
        <f t="shared" ref="DB494:DB499" si="96">ROUND((ROUND(AT494*CZ494,2)*ROUND(0,7)),6)</f>
        <v>0</v>
      </c>
      <c r="DC494">
        <f t="shared" ref="DC494:DC499" si="97">ROUND((ROUND(AT494*AG494,2)*ROUND(0,7)),6)</f>
        <v>0</v>
      </c>
    </row>
    <row r="495" spans="1:107">
      <c r="A495">
        <f>ROW(Source!A235)</f>
        <v>235</v>
      </c>
      <c r="B495">
        <v>31028412</v>
      </c>
      <c r="C495">
        <v>31029782</v>
      </c>
      <c r="D495">
        <v>29152803</v>
      </c>
      <c r="E495">
        <v>1</v>
      </c>
      <c r="F495">
        <v>1</v>
      </c>
      <c r="G495">
        <v>1</v>
      </c>
      <c r="H495">
        <v>3</v>
      </c>
      <c r="I495" t="s">
        <v>1127</v>
      </c>
      <c r="J495" t="s">
        <v>1128</v>
      </c>
      <c r="K495" t="s">
        <v>1129</v>
      </c>
      <c r="L495">
        <v>1348</v>
      </c>
      <c r="N495">
        <v>1009</v>
      </c>
      <c r="O495" t="s">
        <v>137</v>
      </c>
      <c r="P495" t="s">
        <v>137</v>
      </c>
      <c r="Q495">
        <v>1000</v>
      </c>
      <c r="W495">
        <v>0</v>
      </c>
      <c r="X495">
        <v>-715271261</v>
      </c>
      <c r="Y495">
        <v>0</v>
      </c>
      <c r="AA495">
        <v>99443.74</v>
      </c>
      <c r="AB495">
        <v>0</v>
      </c>
      <c r="AC495">
        <v>0</v>
      </c>
      <c r="AD495">
        <v>0</v>
      </c>
      <c r="AE495">
        <v>16117.3</v>
      </c>
      <c r="AF495">
        <v>0</v>
      </c>
      <c r="AG495">
        <v>0</v>
      </c>
      <c r="AH495">
        <v>0</v>
      </c>
      <c r="AI495">
        <v>6.17</v>
      </c>
      <c r="AJ495">
        <v>1</v>
      </c>
      <c r="AK495">
        <v>1</v>
      </c>
      <c r="AL495">
        <v>1</v>
      </c>
      <c r="AN495">
        <v>0</v>
      </c>
      <c r="AO495">
        <v>1</v>
      </c>
      <c r="AP495">
        <v>1</v>
      </c>
      <c r="AQ495">
        <v>0</v>
      </c>
      <c r="AR495">
        <v>0</v>
      </c>
      <c r="AS495" t="s">
        <v>6</v>
      </c>
      <c r="AT495">
        <v>1.1999999999999999E-3</v>
      </c>
      <c r="AU495" t="s">
        <v>24</v>
      </c>
      <c r="AV495">
        <v>0</v>
      </c>
      <c r="AW495">
        <v>2</v>
      </c>
      <c r="AX495">
        <v>31029800</v>
      </c>
      <c r="AY495">
        <v>1</v>
      </c>
      <c r="AZ495">
        <v>0</v>
      </c>
      <c r="BA495">
        <v>520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CX495">
        <f>Y495*Source!I235</f>
        <v>0</v>
      </c>
      <c r="CY495">
        <f t="shared" si="93"/>
        <v>99443.74</v>
      </c>
      <c r="CZ495">
        <f t="shared" si="94"/>
        <v>16117.3</v>
      </c>
      <c r="DA495">
        <f t="shared" si="95"/>
        <v>6.17</v>
      </c>
      <c r="DB495">
        <f t="shared" si="96"/>
        <v>0</v>
      </c>
      <c r="DC495">
        <f t="shared" si="97"/>
        <v>0</v>
      </c>
    </row>
    <row r="496" spans="1:107">
      <c r="A496">
        <f>ROW(Source!A235)</f>
        <v>235</v>
      </c>
      <c r="B496">
        <v>31028412</v>
      </c>
      <c r="C496">
        <v>31029782</v>
      </c>
      <c r="D496">
        <v>29183872</v>
      </c>
      <c r="E496">
        <v>1</v>
      </c>
      <c r="F496">
        <v>1</v>
      </c>
      <c r="G496">
        <v>1</v>
      </c>
      <c r="H496">
        <v>3</v>
      </c>
      <c r="I496" t="s">
        <v>1115</v>
      </c>
      <c r="J496" t="s">
        <v>1116</v>
      </c>
      <c r="K496" t="s">
        <v>1117</v>
      </c>
      <c r="L496">
        <v>1346</v>
      </c>
      <c r="N496">
        <v>1009</v>
      </c>
      <c r="O496" t="s">
        <v>118</v>
      </c>
      <c r="P496" t="s">
        <v>118</v>
      </c>
      <c r="Q496">
        <v>1</v>
      </c>
      <c r="W496">
        <v>0</v>
      </c>
      <c r="X496">
        <v>1383920472</v>
      </c>
      <c r="Y496">
        <v>0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6.17</v>
      </c>
      <c r="AJ496">
        <v>1</v>
      </c>
      <c r="AK496">
        <v>1</v>
      </c>
      <c r="AL496">
        <v>1</v>
      </c>
      <c r="AN496">
        <v>1</v>
      </c>
      <c r="AO496">
        <v>0</v>
      </c>
      <c r="AP496">
        <v>1</v>
      </c>
      <c r="AQ496">
        <v>0</v>
      </c>
      <c r="AR496">
        <v>0</v>
      </c>
      <c r="AS496" t="s">
        <v>6</v>
      </c>
      <c r="AT496">
        <v>0</v>
      </c>
      <c r="AU496" t="s">
        <v>24</v>
      </c>
      <c r="AV496">
        <v>0</v>
      </c>
      <c r="AW496">
        <v>2</v>
      </c>
      <c r="AX496">
        <v>31029801</v>
      </c>
      <c r="AY496">
        <v>1</v>
      </c>
      <c r="AZ496">
        <v>0</v>
      </c>
      <c r="BA496">
        <v>521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CX496">
        <f>Y496*Source!I235</f>
        <v>0</v>
      </c>
      <c r="CY496">
        <f t="shared" si="93"/>
        <v>0</v>
      </c>
      <c r="CZ496">
        <f t="shared" si="94"/>
        <v>0</v>
      </c>
      <c r="DA496">
        <f t="shared" si="95"/>
        <v>6.17</v>
      </c>
      <c r="DB496">
        <f t="shared" si="96"/>
        <v>0</v>
      </c>
      <c r="DC496">
        <f t="shared" si="97"/>
        <v>0</v>
      </c>
    </row>
    <row r="497" spans="1:107">
      <c r="A497">
        <f>ROW(Source!A235)</f>
        <v>235</v>
      </c>
      <c r="B497">
        <v>31028412</v>
      </c>
      <c r="C497">
        <v>31029782</v>
      </c>
      <c r="D497">
        <v>29185676</v>
      </c>
      <c r="E497">
        <v>1</v>
      </c>
      <c r="F497">
        <v>1</v>
      </c>
      <c r="G497">
        <v>1</v>
      </c>
      <c r="H497">
        <v>3</v>
      </c>
      <c r="I497" t="s">
        <v>1130</v>
      </c>
      <c r="J497" t="s">
        <v>1131</v>
      </c>
      <c r="K497" t="s">
        <v>1132</v>
      </c>
      <c r="L497">
        <v>1301</v>
      </c>
      <c r="N497">
        <v>1003</v>
      </c>
      <c r="O497" t="s">
        <v>315</v>
      </c>
      <c r="P497" t="s">
        <v>315</v>
      </c>
      <c r="Q497">
        <v>1</v>
      </c>
      <c r="W497">
        <v>0</v>
      </c>
      <c r="X497">
        <v>398670281</v>
      </c>
      <c r="Y497">
        <v>0</v>
      </c>
      <c r="AA497">
        <v>242.73</v>
      </c>
      <c r="AB497">
        <v>0</v>
      </c>
      <c r="AC497">
        <v>0</v>
      </c>
      <c r="AD497">
        <v>0</v>
      </c>
      <c r="AE497">
        <v>39.340000000000003</v>
      </c>
      <c r="AF497">
        <v>0</v>
      </c>
      <c r="AG497">
        <v>0</v>
      </c>
      <c r="AH497">
        <v>0</v>
      </c>
      <c r="AI497">
        <v>6.17</v>
      </c>
      <c r="AJ497">
        <v>1</v>
      </c>
      <c r="AK497">
        <v>1</v>
      </c>
      <c r="AL497">
        <v>1</v>
      </c>
      <c r="AN497">
        <v>0</v>
      </c>
      <c r="AO497">
        <v>1</v>
      </c>
      <c r="AP497">
        <v>1</v>
      </c>
      <c r="AQ497">
        <v>0</v>
      </c>
      <c r="AR497">
        <v>0</v>
      </c>
      <c r="AS497" t="s">
        <v>6</v>
      </c>
      <c r="AT497">
        <v>99.8</v>
      </c>
      <c r="AU497" t="s">
        <v>24</v>
      </c>
      <c r="AV497">
        <v>0</v>
      </c>
      <c r="AW497">
        <v>2</v>
      </c>
      <c r="AX497">
        <v>31029802</v>
      </c>
      <c r="AY497">
        <v>1</v>
      </c>
      <c r="AZ497">
        <v>0</v>
      </c>
      <c r="BA497">
        <v>522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CX497">
        <f>Y497*Source!I235</f>
        <v>0</v>
      </c>
      <c r="CY497">
        <f t="shared" si="93"/>
        <v>242.73</v>
      </c>
      <c r="CZ497">
        <f t="shared" si="94"/>
        <v>39.340000000000003</v>
      </c>
      <c r="DA497">
        <f t="shared" si="95"/>
        <v>6.17</v>
      </c>
      <c r="DB497">
        <f t="shared" si="96"/>
        <v>0</v>
      </c>
      <c r="DC497">
        <f t="shared" si="97"/>
        <v>0</v>
      </c>
    </row>
    <row r="498" spans="1:107">
      <c r="A498">
        <f>ROW(Source!A235)</f>
        <v>235</v>
      </c>
      <c r="B498">
        <v>31028412</v>
      </c>
      <c r="C498">
        <v>31029782</v>
      </c>
      <c r="D498">
        <v>29185708</v>
      </c>
      <c r="E498">
        <v>1</v>
      </c>
      <c r="F498">
        <v>1</v>
      </c>
      <c r="G498">
        <v>1</v>
      </c>
      <c r="H498">
        <v>3</v>
      </c>
      <c r="I498" t="s">
        <v>1133</v>
      </c>
      <c r="J498" t="s">
        <v>1134</v>
      </c>
      <c r="K498" t="s">
        <v>1135</v>
      </c>
      <c r="L498">
        <v>1354</v>
      </c>
      <c r="N498">
        <v>1010</v>
      </c>
      <c r="O498" t="s">
        <v>704</v>
      </c>
      <c r="P498" t="s">
        <v>704</v>
      </c>
      <c r="Q498">
        <v>1</v>
      </c>
      <c r="W498">
        <v>0</v>
      </c>
      <c r="X498">
        <v>1862702868</v>
      </c>
      <c r="Y498">
        <v>0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6.17</v>
      </c>
      <c r="AJ498">
        <v>1</v>
      </c>
      <c r="AK498">
        <v>1</v>
      </c>
      <c r="AL498">
        <v>1</v>
      </c>
      <c r="AN498">
        <v>1</v>
      </c>
      <c r="AO498">
        <v>0</v>
      </c>
      <c r="AP498">
        <v>1</v>
      </c>
      <c r="AQ498">
        <v>0</v>
      </c>
      <c r="AR498">
        <v>0</v>
      </c>
      <c r="AS498" t="s">
        <v>6</v>
      </c>
      <c r="AT498">
        <v>0</v>
      </c>
      <c r="AU498" t="s">
        <v>24</v>
      </c>
      <c r="AV498">
        <v>0</v>
      </c>
      <c r="AW498">
        <v>2</v>
      </c>
      <c r="AX498">
        <v>31029803</v>
      </c>
      <c r="AY498">
        <v>1</v>
      </c>
      <c r="AZ498">
        <v>0</v>
      </c>
      <c r="BA498">
        <v>523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CX498">
        <f>Y498*Source!I235</f>
        <v>0</v>
      </c>
      <c r="CY498">
        <f t="shared" si="93"/>
        <v>0</v>
      </c>
      <c r="CZ498">
        <f t="shared" si="94"/>
        <v>0</v>
      </c>
      <c r="DA498">
        <f t="shared" si="95"/>
        <v>6.17</v>
      </c>
      <c r="DB498">
        <f t="shared" si="96"/>
        <v>0</v>
      </c>
      <c r="DC498">
        <f t="shared" si="97"/>
        <v>0</v>
      </c>
    </row>
    <row r="499" spans="1:107">
      <c r="A499">
        <f>ROW(Source!A235)</f>
        <v>235</v>
      </c>
      <c r="B499">
        <v>31028412</v>
      </c>
      <c r="C499">
        <v>31029782</v>
      </c>
      <c r="D499">
        <v>29195171</v>
      </c>
      <c r="E499">
        <v>1</v>
      </c>
      <c r="F499">
        <v>1</v>
      </c>
      <c r="G499">
        <v>1</v>
      </c>
      <c r="H499">
        <v>3</v>
      </c>
      <c r="I499" t="s">
        <v>830</v>
      </c>
      <c r="J499" t="s">
        <v>831</v>
      </c>
      <c r="K499" t="s">
        <v>832</v>
      </c>
      <c r="L499">
        <v>1339</v>
      </c>
      <c r="N499">
        <v>1007</v>
      </c>
      <c r="O499" t="s">
        <v>109</v>
      </c>
      <c r="P499" t="s">
        <v>109</v>
      </c>
      <c r="Q499">
        <v>1</v>
      </c>
      <c r="W499">
        <v>0</v>
      </c>
      <c r="X499">
        <v>2050165204</v>
      </c>
      <c r="Y499">
        <v>0</v>
      </c>
      <c r="AA499">
        <v>15.12</v>
      </c>
      <c r="AB499">
        <v>0</v>
      </c>
      <c r="AC499">
        <v>0</v>
      </c>
      <c r="AD499">
        <v>0</v>
      </c>
      <c r="AE499">
        <v>2.4500000000000002</v>
      </c>
      <c r="AF499">
        <v>0</v>
      </c>
      <c r="AG499">
        <v>0</v>
      </c>
      <c r="AH499">
        <v>0</v>
      </c>
      <c r="AI499">
        <v>6.17</v>
      </c>
      <c r="AJ499">
        <v>1</v>
      </c>
      <c r="AK499">
        <v>1</v>
      </c>
      <c r="AL499">
        <v>1</v>
      </c>
      <c r="AN499">
        <v>0</v>
      </c>
      <c r="AO499">
        <v>1</v>
      </c>
      <c r="AP499">
        <v>1</v>
      </c>
      <c r="AQ499">
        <v>0</v>
      </c>
      <c r="AR499">
        <v>0</v>
      </c>
      <c r="AS499" t="s">
        <v>6</v>
      </c>
      <c r="AT499">
        <v>0.39</v>
      </c>
      <c r="AU499" t="s">
        <v>24</v>
      </c>
      <c r="AV499">
        <v>0</v>
      </c>
      <c r="AW499">
        <v>2</v>
      </c>
      <c r="AX499">
        <v>31029804</v>
      </c>
      <c r="AY499">
        <v>1</v>
      </c>
      <c r="AZ499">
        <v>0</v>
      </c>
      <c r="BA499">
        <v>524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CX499">
        <f>Y499*Source!I235</f>
        <v>0</v>
      </c>
      <c r="CY499">
        <f t="shared" si="93"/>
        <v>15.12</v>
      </c>
      <c r="CZ499">
        <f t="shared" si="94"/>
        <v>2.4500000000000002</v>
      </c>
      <c r="DA499">
        <f t="shared" si="95"/>
        <v>6.17</v>
      </c>
      <c r="DB499">
        <f t="shared" si="96"/>
        <v>0</v>
      </c>
      <c r="DC499">
        <f t="shared" si="97"/>
        <v>0</v>
      </c>
    </row>
    <row r="500" spans="1:107">
      <c r="A500">
        <f>ROW(Source!A236)</f>
        <v>236</v>
      </c>
      <c r="B500">
        <v>31028412</v>
      </c>
      <c r="C500">
        <v>31029805</v>
      </c>
      <c r="D500">
        <v>29084597</v>
      </c>
      <c r="E500">
        <v>1</v>
      </c>
      <c r="F500">
        <v>1</v>
      </c>
      <c r="G500">
        <v>1</v>
      </c>
      <c r="H500">
        <v>1</v>
      </c>
      <c r="I500" t="s">
        <v>1092</v>
      </c>
      <c r="J500" t="s">
        <v>6</v>
      </c>
      <c r="K500" t="s">
        <v>1093</v>
      </c>
      <c r="L500">
        <v>1369</v>
      </c>
      <c r="N500">
        <v>1013</v>
      </c>
      <c r="O500" t="s">
        <v>773</v>
      </c>
      <c r="P500" t="s">
        <v>773</v>
      </c>
      <c r="Q500">
        <v>1</v>
      </c>
      <c r="W500">
        <v>0</v>
      </c>
      <c r="X500">
        <v>353187930</v>
      </c>
      <c r="Y500">
        <v>28.335999999999999</v>
      </c>
      <c r="AA500">
        <v>0</v>
      </c>
      <c r="AB500">
        <v>0</v>
      </c>
      <c r="AC500">
        <v>0</v>
      </c>
      <c r="AD500">
        <v>231.79</v>
      </c>
      <c r="AE500">
        <v>0</v>
      </c>
      <c r="AF500">
        <v>0</v>
      </c>
      <c r="AG500">
        <v>0</v>
      </c>
      <c r="AH500">
        <v>9.57</v>
      </c>
      <c r="AI500">
        <v>1</v>
      </c>
      <c r="AJ500">
        <v>1</v>
      </c>
      <c r="AK500">
        <v>1</v>
      </c>
      <c r="AL500">
        <v>24.22</v>
      </c>
      <c r="AN500">
        <v>0</v>
      </c>
      <c r="AO500">
        <v>1</v>
      </c>
      <c r="AP500">
        <v>1</v>
      </c>
      <c r="AQ500">
        <v>0</v>
      </c>
      <c r="AR500">
        <v>0</v>
      </c>
      <c r="AS500" t="s">
        <v>6</v>
      </c>
      <c r="AT500">
        <v>61.6</v>
      </c>
      <c r="AU500" t="s">
        <v>492</v>
      </c>
      <c r="AV500">
        <v>1</v>
      </c>
      <c r="AW500">
        <v>2</v>
      </c>
      <c r="AX500">
        <v>31029817</v>
      </c>
      <c r="AY500">
        <v>1</v>
      </c>
      <c r="AZ500">
        <v>0</v>
      </c>
      <c r="BA500">
        <v>525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CX500">
        <f>Y500*Source!I236</f>
        <v>56.671999999999997</v>
      </c>
      <c r="CY500">
        <f>AD500</f>
        <v>231.79</v>
      </c>
      <c r="CZ500">
        <f>AH500</f>
        <v>9.57</v>
      </c>
      <c r="DA500">
        <f>AL500</f>
        <v>24.22</v>
      </c>
      <c r="DB500">
        <f>ROUND((ROUND(AT500*CZ500,2)*ROUND((0.4*1.15),7)),6)</f>
        <v>271.1746</v>
      </c>
      <c r="DC500">
        <f>ROUND((ROUND(AT500*AG500,2)*ROUND((0.4*1.15),7)),6)</f>
        <v>0</v>
      </c>
    </row>
    <row r="501" spans="1:107">
      <c r="A501">
        <f>ROW(Source!A236)</f>
        <v>236</v>
      </c>
      <c r="B501">
        <v>31028412</v>
      </c>
      <c r="C501">
        <v>31029805</v>
      </c>
      <c r="D501">
        <v>29084573</v>
      </c>
      <c r="E501">
        <v>1</v>
      </c>
      <c r="F501">
        <v>1</v>
      </c>
      <c r="G501">
        <v>1</v>
      </c>
      <c r="H501">
        <v>1</v>
      </c>
      <c r="I501" t="s">
        <v>774</v>
      </c>
      <c r="J501" t="s">
        <v>6</v>
      </c>
      <c r="K501" t="s">
        <v>775</v>
      </c>
      <c r="L501">
        <v>608254</v>
      </c>
      <c r="N501">
        <v>1013</v>
      </c>
      <c r="O501" t="s">
        <v>776</v>
      </c>
      <c r="P501" t="s">
        <v>776</v>
      </c>
      <c r="Q501">
        <v>1</v>
      </c>
      <c r="W501">
        <v>0</v>
      </c>
      <c r="X501">
        <v>95408949</v>
      </c>
      <c r="Y501">
        <v>2.3000000000000003E-2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1</v>
      </c>
      <c r="AJ501">
        <v>1</v>
      </c>
      <c r="AK501">
        <v>24.22</v>
      </c>
      <c r="AL501">
        <v>1</v>
      </c>
      <c r="AN501">
        <v>0</v>
      </c>
      <c r="AO501">
        <v>1</v>
      </c>
      <c r="AP501">
        <v>1</v>
      </c>
      <c r="AQ501">
        <v>0</v>
      </c>
      <c r="AR501">
        <v>0</v>
      </c>
      <c r="AS501" t="s">
        <v>6</v>
      </c>
      <c r="AT501">
        <v>0.05</v>
      </c>
      <c r="AU501" t="s">
        <v>492</v>
      </c>
      <c r="AV501">
        <v>2</v>
      </c>
      <c r="AW501">
        <v>2</v>
      </c>
      <c r="AX501">
        <v>31029818</v>
      </c>
      <c r="AY501">
        <v>1</v>
      </c>
      <c r="AZ501">
        <v>0</v>
      </c>
      <c r="BA501">
        <v>526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0</v>
      </c>
      <c r="CX501">
        <f>Y501*Source!I236</f>
        <v>4.6000000000000006E-2</v>
      </c>
      <c r="CY501">
        <f>AD501</f>
        <v>0</v>
      </c>
      <c r="CZ501">
        <f>AH501</f>
        <v>0</v>
      </c>
      <c r="DA501">
        <f>AL501</f>
        <v>1</v>
      </c>
      <c r="DB501">
        <f>ROUND((ROUND(AT501*CZ501,2)*ROUND((0.4*1.15),7)),6)</f>
        <v>0</v>
      </c>
      <c r="DC501">
        <f>ROUND((ROUND(AT501*AG501,2)*ROUND((0.4*1.15),7)),6)</f>
        <v>0</v>
      </c>
    </row>
    <row r="502" spans="1:107">
      <c r="A502">
        <f>ROW(Source!A236)</f>
        <v>236</v>
      </c>
      <c r="B502">
        <v>31028412</v>
      </c>
      <c r="C502">
        <v>31029805</v>
      </c>
      <c r="D502">
        <v>29147520</v>
      </c>
      <c r="E502">
        <v>1</v>
      </c>
      <c r="F502">
        <v>1</v>
      </c>
      <c r="G502">
        <v>1</v>
      </c>
      <c r="H502">
        <v>2</v>
      </c>
      <c r="I502" t="s">
        <v>777</v>
      </c>
      <c r="J502" t="s">
        <v>778</v>
      </c>
      <c r="K502" t="s">
        <v>779</v>
      </c>
      <c r="L502">
        <v>1368</v>
      </c>
      <c r="N502">
        <v>1011</v>
      </c>
      <c r="O502" t="s">
        <v>780</v>
      </c>
      <c r="P502" t="s">
        <v>780</v>
      </c>
      <c r="Q502">
        <v>1</v>
      </c>
      <c r="W502">
        <v>0</v>
      </c>
      <c r="X502">
        <v>-2048414082</v>
      </c>
      <c r="Y502">
        <v>1.38E-2</v>
      </c>
      <c r="AA502">
        <v>0</v>
      </c>
      <c r="AB502">
        <v>656.51</v>
      </c>
      <c r="AC502">
        <v>315.58999999999997</v>
      </c>
      <c r="AD502">
        <v>0</v>
      </c>
      <c r="AE502">
        <v>0</v>
      </c>
      <c r="AF502">
        <v>85.93</v>
      </c>
      <c r="AG502">
        <v>13.03</v>
      </c>
      <c r="AH502">
        <v>0</v>
      </c>
      <c r="AI502">
        <v>1</v>
      </c>
      <c r="AJ502">
        <v>7.64</v>
      </c>
      <c r="AK502">
        <v>24.22</v>
      </c>
      <c r="AL502">
        <v>1</v>
      </c>
      <c r="AN502">
        <v>0</v>
      </c>
      <c r="AO502">
        <v>1</v>
      </c>
      <c r="AP502">
        <v>1</v>
      </c>
      <c r="AQ502">
        <v>0</v>
      </c>
      <c r="AR502">
        <v>0</v>
      </c>
      <c r="AS502" t="s">
        <v>6</v>
      </c>
      <c r="AT502">
        <v>0.03</v>
      </c>
      <c r="AU502" t="s">
        <v>492</v>
      </c>
      <c r="AV502">
        <v>0</v>
      </c>
      <c r="AW502">
        <v>2</v>
      </c>
      <c r="AX502">
        <v>31029819</v>
      </c>
      <c r="AY502">
        <v>1</v>
      </c>
      <c r="AZ502">
        <v>0</v>
      </c>
      <c r="BA502">
        <v>527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CX502">
        <f>Y502*Source!I236</f>
        <v>2.76E-2</v>
      </c>
      <c r="CY502">
        <f>AB502</f>
        <v>656.51</v>
      </c>
      <c r="CZ502">
        <f>AF502</f>
        <v>85.93</v>
      </c>
      <c r="DA502">
        <f>AJ502</f>
        <v>7.64</v>
      </c>
      <c r="DB502">
        <f>ROUND((ROUND(AT502*CZ502,2)*ROUND((0.4*1.15),7)),6)</f>
        <v>1.1868000000000001</v>
      </c>
      <c r="DC502">
        <f>ROUND((ROUND(AT502*AG502,2)*ROUND((0.4*1.15),7)),6)</f>
        <v>0.1794</v>
      </c>
    </row>
    <row r="503" spans="1:107">
      <c r="A503">
        <f>ROW(Source!A236)</f>
        <v>236</v>
      </c>
      <c r="B503">
        <v>31028412</v>
      </c>
      <c r="C503">
        <v>31029805</v>
      </c>
      <c r="D503">
        <v>29147601</v>
      </c>
      <c r="E503">
        <v>1</v>
      </c>
      <c r="F503">
        <v>1</v>
      </c>
      <c r="G503">
        <v>1</v>
      </c>
      <c r="H503">
        <v>2</v>
      </c>
      <c r="I503" t="s">
        <v>781</v>
      </c>
      <c r="J503" t="s">
        <v>782</v>
      </c>
      <c r="K503" t="s">
        <v>783</v>
      </c>
      <c r="L503">
        <v>1368</v>
      </c>
      <c r="N503">
        <v>1011</v>
      </c>
      <c r="O503" t="s">
        <v>780</v>
      </c>
      <c r="P503" t="s">
        <v>780</v>
      </c>
      <c r="Q503">
        <v>1</v>
      </c>
      <c r="W503">
        <v>0</v>
      </c>
      <c r="X503">
        <v>1170567961</v>
      </c>
      <c r="Y503">
        <v>9.1999999999999998E-3</v>
      </c>
      <c r="AA503">
        <v>0</v>
      </c>
      <c r="AB503">
        <v>828.56</v>
      </c>
      <c r="AC503">
        <v>315.58999999999997</v>
      </c>
      <c r="AD503">
        <v>0</v>
      </c>
      <c r="AE503">
        <v>0</v>
      </c>
      <c r="AF503">
        <v>108.45</v>
      </c>
      <c r="AG503">
        <v>13.03</v>
      </c>
      <c r="AH503">
        <v>0</v>
      </c>
      <c r="AI503">
        <v>1</v>
      </c>
      <c r="AJ503">
        <v>7.64</v>
      </c>
      <c r="AK503">
        <v>24.22</v>
      </c>
      <c r="AL503">
        <v>1</v>
      </c>
      <c r="AN503">
        <v>0</v>
      </c>
      <c r="AO503">
        <v>1</v>
      </c>
      <c r="AP503">
        <v>1</v>
      </c>
      <c r="AQ503">
        <v>0</v>
      </c>
      <c r="AR503">
        <v>0</v>
      </c>
      <c r="AS503" t="s">
        <v>6</v>
      </c>
      <c r="AT503">
        <v>0.02</v>
      </c>
      <c r="AU503" t="s">
        <v>492</v>
      </c>
      <c r="AV503">
        <v>0</v>
      </c>
      <c r="AW503">
        <v>2</v>
      </c>
      <c r="AX503">
        <v>31029820</v>
      </c>
      <c r="AY503">
        <v>1</v>
      </c>
      <c r="AZ503">
        <v>0</v>
      </c>
      <c r="BA503">
        <v>528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CX503">
        <f>Y503*Source!I236</f>
        <v>1.84E-2</v>
      </c>
      <c r="CY503">
        <f>AB503</f>
        <v>828.56</v>
      </c>
      <c r="CZ503">
        <f>AF503</f>
        <v>108.45</v>
      </c>
      <c r="DA503">
        <f>AJ503</f>
        <v>7.64</v>
      </c>
      <c r="DB503">
        <f>ROUND((ROUND(AT503*CZ503,2)*ROUND((0.4*1.15),7)),6)</f>
        <v>0.99819999999999998</v>
      </c>
      <c r="DC503">
        <f>ROUND((ROUND(AT503*AG503,2)*ROUND((0.4*1.15),7)),6)</f>
        <v>0.1196</v>
      </c>
    </row>
    <row r="504" spans="1:107">
      <c r="A504">
        <f>ROW(Source!A236)</f>
        <v>236</v>
      </c>
      <c r="B504">
        <v>31028412</v>
      </c>
      <c r="C504">
        <v>31029805</v>
      </c>
      <c r="D504">
        <v>29149520</v>
      </c>
      <c r="E504">
        <v>1</v>
      </c>
      <c r="F504">
        <v>1</v>
      </c>
      <c r="G504">
        <v>1</v>
      </c>
      <c r="H504">
        <v>2</v>
      </c>
      <c r="I504" t="s">
        <v>790</v>
      </c>
      <c r="J504" t="s">
        <v>791</v>
      </c>
      <c r="K504" t="s">
        <v>792</v>
      </c>
      <c r="L504">
        <v>1368</v>
      </c>
      <c r="N504">
        <v>1011</v>
      </c>
      <c r="O504" t="s">
        <v>780</v>
      </c>
      <c r="P504" t="s">
        <v>780</v>
      </c>
      <c r="Q504">
        <v>1</v>
      </c>
      <c r="W504">
        <v>0</v>
      </c>
      <c r="X504">
        <v>-1931461795</v>
      </c>
      <c r="Y504">
        <v>9.1999999999999998E-3</v>
      </c>
      <c r="AA504">
        <v>0</v>
      </c>
      <c r="AB504">
        <v>699.98</v>
      </c>
      <c r="AC504">
        <v>0</v>
      </c>
      <c r="AD504">
        <v>0</v>
      </c>
      <c r="AE504">
        <v>0</v>
      </c>
      <c r="AF504">
        <v>91.62</v>
      </c>
      <c r="AG504">
        <v>0</v>
      </c>
      <c r="AH504">
        <v>0</v>
      </c>
      <c r="AI504">
        <v>1</v>
      </c>
      <c r="AJ504">
        <v>7.64</v>
      </c>
      <c r="AK504">
        <v>24.22</v>
      </c>
      <c r="AL504">
        <v>1</v>
      </c>
      <c r="AN504">
        <v>0</v>
      </c>
      <c r="AO504">
        <v>1</v>
      </c>
      <c r="AP504">
        <v>1</v>
      </c>
      <c r="AQ504">
        <v>0</v>
      </c>
      <c r="AR504">
        <v>0</v>
      </c>
      <c r="AS504" t="s">
        <v>6</v>
      </c>
      <c r="AT504">
        <v>0.02</v>
      </c>
      <c r="AU504" t="s">
        <v>492</v>
      </c>
      <c r="AV504">
        <v>0</v>
      </c>
      <c r="AW504">
        <v>2</v>
      </c>
      <c r="AX504">
        <v>31029821</v>
      </c>
      <c r="AY504">
        <v>1</v>
      </c>
      <c r="AZ504">
        <v>0</v>
      </c>
      <c r="BA504">
        <v>529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CX504">
        <f>Y504*Source!I236</f>
        <v>1.84E-2</v>
      </c>
      <c r="CY504">
        <f>AB504</f>
        <v>699.98</v>
      </c>
      <c r="CZ504">
        <f>AF504</f>
        <v>91.62</v>
      </c>
      <c r="DA504">
        <f>AJ504</f>
        <v>7.64</v>
      </c>
      <c r="DB504">
        <f>ROUND((ROUND(AT504*CZ504,2)*ROUND((0.4*1.15),7)),6)</f>
        <v>0.84179999999999999</v>
      </c>
      <c r="DC504">
        <f>ROUND((ROUND(AT504*AG504,2)*ROUND((0.4*1.15),7)),6)</f>
        <v>0</v>
      </c>
    </row>
    <row r="505" spans="1:107">
      <c r="A505">
        <f>ROW(Source!A236)</f>
        <v>236</v>
      </c>
      <c r="B505">
        <v>31028412</v>
      </c>
      <c r="C505">
        <v>31029805</v>
      </c>
      <c r="D505">
        <v>29152667</v>
      </c>
      <c r="E505">
        <v>1</v>
      </c>
      <c r="F505">
        <v>1</v>
      </c>
      <c r="G505">
        <v>1</v>
      </c>
      <c r="H505">
        <v>3</v>
      </c>
      <c r="I505" t="s">
        <v>1124</v>
      </c>
      <c r="J505" t="s">
        <v>1125</v>
      </c>
      <c r="K505" t="s">
        <v>1126</v>
      </c>
      <c r="L505">
        <v>1346</v>
      </c>
      <c r="N505">
        <v>1009</v>
      </c>
      <c r="O505" t="s">
        <v>118</v>
      </c>
      <c r="P505" t="s">
        <v>118</v>
      </c>
      <c r="Q505">
        <v>1</v>
      </c>
      <c r="W505">
        <v>0</v>
      </c>
      <c r="X505">
        <v>1454443168</v>
      </c>
      <c r="Y505">
        <v>0</v>
      </c>
      <c r="AA505">
        <v>113.47</v>
      </c>
      <c r="AB505">
        <v>0</v>
      </c>
      <c r="AC505">
        <v>0</v>
      </c>
      <c r="AD505">
        <v>0</v>
      </c>
      <c r="AE505">
        <v>18.39</v>
      </c>
      <c r="AF505">
        <v>0</v>
      </c>
      <c r="AG505">
        <v>0</v>
      </c>
      <c r="AH505">
        <v>0</v>
      </c>
      <c r="AI505">
        <v>6.17</v>
      </c>
      <c r="AJ505">
        <v>1</v>
      </c>
      <c r="AK505">
        <v>1</v>
      </c>
      <c r="AL505">
        <v>1</v>
      </c>
      <c r="AN505">
        <v>0</v>
      </c>
      <c r="AO505">
        <v>1</v>
      </c>
      <c r="AP505">
        <v>1</v>
      </c>
      <c r="AQ505">
        <v>0</v>
      </c>
      <c r="AR505">
        <v>0</v>
      </c>
      <c r="AS505" t="s">
        <v>6</v>
      </c>
      <c r="AT505">
        <v>4</v>
      </c>
      <c r="AU505" t="s">
        <v>24</v>
      </c>
      <c r="AV505">
        <v>0</v>
      </c>
      <c r="AW505">
        <v>2</v>
      </c>
      <c r="AX505">
        <v>31029822</v>
      </c>
      <c r="AY505">
        <v>1</v>
      </c>
      <c r="AZ505">
        <v>0</v>
      </c>
      <c r="BA505">
        <v>530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CX505">
        <f>Y505*Source!I236</f>
        <v>0</v>
      </c>
      <c r="CY505">
        <f t="shared" ref="CY505:CY510" si="98">AA505</f>
        <v>113.47</v>
      </c>
      <c r="CZ505">
        <f t="shared" ref="CZ505:CZ510" si="99">AE505</f>
        <v>18.39</v>
      </c>
      <c r="DA505">
        <f t="shared" ref="DA505:DA510" si="100">AI505</f>
        <v>6.17</v>
      </c>
      <c r="DB505">
        <f t="shared" ref="DB505:DB510" si="101">ROUND((ROUND(AT505*CZ505,2)*ROUND(0,7)),6)</f>
        <v>0</v>
      </c>
      <c r="DC505">
        <f t="shared" ref="DC505:DC510" si="102">ROUND((ROUND(AT505*AG505,2)*ROUND(0,7)),6)</f>
        <v>0</v>
      </c>
    </row>
    <row r="506" spans="1:107">
      <c r="A506">
        <f>ROW(Source!A236)</f>
        <v>236</v>
      </c>
      <c r="B506">
        <v>31028412</v>
      </c>
      <c r="C506">
        <v>31029805</v>
      </c>
      <c r="D506">
        <v>29152803</v>
      </c>
      <c r="E506">
        <v>1</v>
      </c>
      <c r="F506">
        <v>1</v>
      </c>
      <c r="G506">
        <v>1</v>
      </c>
      <c r="H506">
        <v>3</v>
      </c>
      <c r="I506" t="s">
        <v>1127</v>
      </c>
      <c r="J506" t="s">
        <v>1128</v>
      </c>
      <c r="K506" t="s">
        <v>1129</v>
      </c>
      <c r="L506">
        <v>1348</v>
      </c>
      <c r="N506">
        <v>1009</v>
      </c>
      <c r="O506" t="s">
        <v>137</v>
      </c>
      <c r="P506" t="s">
        <v>137</v>
      </c>
      <c r="Q506">
        <v>1000</v>
      </c>
      <c r="W506">
        <v>0</v>
      </c>
      <c r="X506">
        <v>-715271261</v>
      </c>
      <c r="Y506">
        <v>0</v>
      </c>
      <c r="AA506">
        <v>99443.74</v>
      </c>
      <c r="AB506">
        <v>0</v>
      </c>
      <c r="AC506">
        <v>0</v>
      </c>
      <c r="AD506">
        <v>0</v>
      </c>
      <c r="AE506">
        <v>16117.3</v>
      </c>
      <c r="AF506">
        <v>0</v>
      </c>
      <c r="AG506">
        <v>0</v>
      </c>
      <c r="AH506">
        <v>0</v>
      </c>
      <c r="AI506">
        <v>6.17</v>
      </c>
      <c r="AJ506">
        <v>1</v>
      </c>
      <c r="AK506">
        <v>1</v>
      </c>
      <c r="AL506">
        <v>1</v>
      </c>
      <c r="AN506">
        <v>0</v>
      </c>
      <c r="AO506">
        <v>1</v>
      </c>
      <c r="AP506">
        <v>1</v>
      </c>
      <c r="AQ506">
        <v>0</v>
      </c>
      <c r="AR506">
        <v>0</v>
      </c>
      <c r="AS506" t="s">
        <v>6</v>
      </c>
      <c r="AT506">
        <v>2.66E-3</v>
      </c>
      <c r="AU506" t="s">
        <v>24</v>
      </c>
      <c r="AV506">
        <v>0</v>
      </c>
      <c r="AW506">
        <v>2</v>
      </c>
      <c r="AX506">
        <v>31029823</v>
      </c>
      <c r="AY506">
        <v>1</v>
      </c>
      <c r="AZ506">
        <v>0</v>
      </c>
      <c r="BA506">
        <v>531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CX506">
        <f>Y506*Source!I236</f>
        <v>0</v>
      </c>
      <c r="CY506">
        <f t="shared" si="98"/>
        <v>99443.74</v>
      </c>
      <c r="CZ506">
        <f t="shared" si="99"/>
        <v>16117.3</v>
      </c>
      <c r="DA506">
        <f t="shared" si="100"/>
        <v>6.17</v>
      </c>
      <c r="DB506">
        <f t="shared" si="101"/>
        <v>0</v>
      </c>
      <c r="DC506">
        <f t="shared" si="102"/>
        <v>0</v>
      </c>
    </row>
    <row r="507" spans="1:107">
      <c r="A507">
        <f>ROW(Source!A236)</f>
        <v>236</v>
      </c>
      <c r="B507">
        <v>31028412</v>
      </c>
      <c r="C507">
        <v>31029805</v>
      </c>
      <c r="D507">
        <v>29183872</v>
      </c>
      <c r="E507">
        <v>1</v>
      </c>
      <c r="F507">
        <v>1</v>
      </c>
      <c r="G507">
        <v>1</v>
      </c>
      <c r="H507">
        <v>3</v>
      </c>
      <c r="I507" t="s">
        <v>1115</v>
      </c>
      <c r="J507" t="s">
        <v>1116</v>
      </c>
      <c r="K507" t="s">
        <v>1117</v>
      </c>
      <c r="L507">
        <v>1346</v>
      </c>
      <c r="N507">
        <v>1009</v>
      </c>
      <c r="O507" t="s">
        <v>118</v>
      </c>
      <c r="P507" t="s">
        <v>118</v>
      </c>
      <c r="Q507">
        <v>1</v>
      </c>
      <c r="W507">
        <v>0</v>
      </c>
      <c r="X507">
        <v>1383920472</v>
      </c>
      <c r="Y507">
        <v>0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6.17</v>
      </c>
      <c r="AJ507">
        <v>1</v>
      </c>
      <c r="AK507">
        <v>1</v>
      </c>
      <c r="AL507">
        <v>1</v>
      </c>
      <c r="AN507">
        <v>1</v>
      </c>
      <c r="AO507">
        <v>0</v>
      </c>
      <c r="AP507">
        <v>1</v>
      </c>
      <c r="AQ507">
        <v>0</v>
      </c>
      <c r="AR507">
        <v>0</v>
      </c>
      <c r="AS507" t="s">
        <v>6</v>
      </c>
      <c r="AT507">
        <v>0</v>
      </c>
      <c r="AU507" t="s">
        <v>24</v>
      </c>
      <c r="AV507">
        <v>0</v>
      </c>
      <c r="AW507">
        <v>2</v>
      </c>
      <c r="AX507">
        <v>31029824</v>
      </c>
      <c r="AY507">
        <v>1</v>
      </c>
      <c r="AZ507">
        <v>0</v>
      </c>
      <c r="BA507">
        <v>532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CX507">
        <f>Y507*Source!I236</f>
        <v>0</v>
      </c>
      <c r="CY507">
        <f t="shared" si="98"/>
        <v>0</v>
      </c>
      <c r="CZ507">
        <f t="shared" si="99"/>
        <v>0</v>
      </c>
      <c r="DA507">
        <f t="shared" si="100"/>
        <v>6.17</v>
      </c>
      <c r="DB507">
        <f t="shared" si="101"/>
        <v>0</v>
      </c>
      <c r="DC507">
        <f t="shared" si="102"/>
        <v>0</v>
      </c>
    </row>
    <row r="508" spans="1:107">
      <c r="A508">
        <f>ROW(Source!A236)</f>
        <v>236</v>
      </c>
      <c r="B508">
        <v>31028412</v>
      </c>
      <c r="C508">
        <v>31029805</v>
      </c>
      <c r="D508">
        <v>29185677</v>
      </c>
      <c r="E508">
        <v>1</v>
      </c>
      <c r="F508">
        <v>1</v>
      </c>
      <c r="G508">
        <v>1</v>
      </c>
      <c r="H508">
        <v>3</v>
      </c>
      <c r="I508" t="s">
        <v>1136</v>
      </c>
      <c r="J508" t="s">
        <v>1137</v>
      </c>
      <c r="K508" t="s">
        <v>1138</v>
      </c>
      <c r="L508">
        <v>1301</v>
      </c>
      <c r="N508">
        <v>1003</v>
      </c>
      <c r="O508" t="s">
        <v>315</v>
      </c>
      <c r="P508" t="s">
        <v>315</v>
      </c>
      <c r="Q508">
        <v>1</v>
      </c>
      <c r="W508">
        <v>0</v>
      </c>
      <c r="X508">
        <v>-669095906</v>
      </c>
      <c r="Y508">
        <v>0</v>
      </c>
      <c r="AA508">
        <v>398.15</v>
      </c>
      <c r="AB508">
        <v>0</v>
      </c>
      <c r="AC508">
        <v>0</v>
      </c>
      <c r="AD508">
        <v>0</v>
      </c>
      <c r="AE508">
        <v>64.53</v>
      </c>
      <c r="AF508">
        <v>0</v>
      </c>
      <c r="AG508">
        <v>0</v>
      </c>
      <c r="AH508">
        <v>0</v>
      </c>
      <c r="AI508">
        <v>6.17</v>
      </c>
      <c r="AJ508">
        <v>1</v>
      </c>
      <c r="AK508">
        <v>1</v>
      </c>
      <c r="AL508">
        <v>1</v>
      </c>
      <c r="AN508">
        <v>0</v>
      </c>
      <c r="AO508">
        <v>1</v>
      </c>
      <c r="AP508">
        <v>1</v>
      </c>
      <c r="AQ508">
        <v>0</v>
      </c>
      <c r="AR508">
        <v>0</v>
      </c>
      <c r="AS508" t="s">
        <v>6</v>
      </c>
      <c r="AT508">
        <v>99.8</v>
      </c>
      <c r="AU508" t="s">
        <v>24</v>
      </c>
      <c r="AV508">
        <v>0</v>
      </c>
      <c r="AW508">
        <v>2</v>
      </c>
      <c r="AX508">
        <v>31029825</v>
      </c>
      <c r="AY508">
        <v>1</v>
      </c>
      <c r="AZ508">
        <v>0</v>
      </c>
      <c r="BA508">
        <v>533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CX508">
        <f>Y508*Source!I236</f>
        <v>0</v>
      </c>
      <c r="CY508">
        <f t="shared" si="98"/>
        <v>398.15</v>
      </c>
      <c r="CZ508">
        <f t="shared" si="99"/>
        <v>64.53</v>
      </c>
      <c r="DA508">
        <f t="shared" si="100"/>
        <v>6.17</v>
      </c>
      <c r="DB508">
        <f t="shared" si="101"/>
        <v>0</v>
      </c>
      <c r="DC508">
        <f t="shared" si="102"/>
        <v>0</v>
      </c>
    </row>
    <row r="509" spans="1:107">
      <c r="A509">
        <f>ROW(Source!A236)</f>
        <v>236</v>
      </c>
      <c r="B509">
        <v>31028412</v>
      </c>
      <c r="C509">
        <v>31029805</v>
      </c>
      <c r="D509">
        <v>29185708</v>
      </c>
      <c r="E509">
        <v>1</v>
      </c>
      <c r="F509">
        <v>1</v>
      </c>
      <c r="G509">
        <v>1</v>
      </c>
      <c r="H509">
        <v>3</v>
      </c>
      <c r="I509" t="s">
        <v>1133</v>
      </c>
      <c r="J509" t="s">
        <v>1134</v>
      </c>
      <c r="K509" t="s">
        <v>1135</v>
      </c>
      <c r="L509">
        <v>1354</v>
      </c>
      <c r="N509">
        <v>1010</v>
      </c>
      <c r="O509" t="s">
        <v>704</v>
      </c>
      <c r="P509" t="s">
        <v>704</v>
      </c>
      <c r="Q509">
        <v>1</v>
      </c>
      <c r="W509">
        <v>0</v>
      </c>
      <c r="X509">
        <v>1862702868</v>
      </c>
      <c r="Y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6.17</v>
      </c>
      <c r="AJ509">
        <v>1</v>
      </c>
      <c r="AK509">
        <v>1</v>
      </c>
      <c r="AL509">
        <v>1</v>
      </c>
      <c r="AN509">
        <v>1</v>
      </c>
      <c r="AO509">
        <v>0</v>
      </c>
      <c r="AP509">
        <v>1</v>
      </c>
      <c r="AQ509">
        <v>0</v>
      </c>
      <c r="AR509">
        <v>0</v>
      </c>
      <c r="AS509" t="s">
        <v>6</v>
      </c>
      <c r="AT509">
        <v>0</v>
      </c>
      <c r="AU509" t="s">
        <v>24</v>
      </c>
      <c r="AV509">
        <v>0</v>
      </c>
      <c r="AW509">
        <v>2</v>
      </c>
      <c r="AX509">
        <v>31029826</v>
      </c>
      <c r="AY509">
        <v>1</v>
      </c>
      <c r="AZ509">
        <v>0</v>
      </c>
      <c r="BA509">
        <v>534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CX509">
        <f>Y509*Source!I236</f>
        <v>0</v>
      </c>
      <c r="CY509">
        <f t="shared" si="98"/>
        <v>0</v>
      </c>
      <c r="CZ509">
        <f t="shared" si="99"/>
        <v>0</v>
      </c>
      <c r="DA509">
        <f t="shared" si="100"/>
        <v>6.17</v>
      </c>
      <c r="DB509">
        <f t="shared" si="101"/>
        <v>0</v>
      </c>
      <c r="DC509">
        <f t="shared" si="102"/>
        <v>0</v>
      </c>
    </row>
    <row r="510" spans="1:107">
      <c r="A510">
        <f>ROW(Source!A236)</f>
        <v>236</v>
      </c>
      <c r="B510">
        <v>31028412</v>
      </c>
      <c r="C510">
        <v>31029805</v>
      </c>
      <c r="D510">
        <v>29195171</v>
      </c>
      <c r="E510">
        <v>1</v>
      </c>
      <c r="F510">
        <v>1</v>
      </c>
      <c r="G510">
        <v>1</v>
      </c>
      <c r="H510">
        <v>3</v>
      </c>
      <c r="I510" t="s">
        <v>830</v>
      </c>
      <c r="J510" t="s">
        <v>831</v>
      </c>
      <c r="K510" t="s">
        <v>832</v>
      </c>
      <c r="L510">
        <v>1339</v>
      </c>
      <c r="N510">
        <v>1007</v>
      </c>
      <c r="O510" t="s">
        <v>109</v>
      </c>
      <c r="P510" t="s">
        <v>109</v>
      </c>
      <c r="Q510">
        <v>1</v>
      </c>
      <c r="W510">
        <v>0</v>
      </c>
      <c r="X510">
        <v>2050165204</v>
      </c>
      <c r="Y510">
        <v>0</v>
      </c>
      <c r="AA510">
        <v>15.12</v>
      </c>
      <c r="AB510">
        <v>0</v>
      </c>
      <c r="AC510">
        <v>0</v>
      </c>
      <c r="AD510">
        <v>0</v>
      </c>
      <c r="AE510">
        <v>2.4500000000000002</v>
      </c>
      <c r="AF510">
        <v>0</v>
      </c>
      <c r="AG510">
        <v>0</v>
      </c>
      <c r="AH510">
        <v>0</v>
      </c>
      <c r="AI510">
        <v>6.17</v>
      </c>
      <c r="AJ510">
        <v>1</v>
      </c>
      <c r="AK510">
        <v>1</v>
      </c>
      <c r="AL510">
        <v>1</v>
      </c>
      <c r="AN510">
        <v>0</v>
      </c>
      <c r="AO510">
        <v>1</v>
      </c>
      <c r="AP510">
        <v>1</v>
      </c>
      <c r="AQ510">
        <v>0</v>
      </c>
      <c r="AR510">
        <v>0</v>
      </c>
      <c r="AS510" t="s">
        <v>6</v>
      </c>
      <c r="AT510">
        <v>1.57</v>
      </c>
      <c r="AU510" t="s">
        <v>24</v>
      </c>
      <c r="AV510">
        <v>0</v>
      </c>
      <c r="AW510">
        <v>2</v>
      </c>
      <c r="AX510">
        <v>31029827</v>
      </c>
      <c r="AY510">
        <v>1</v>
      </c>
      <c r="AZ510">
        <v>0</v>
      </c>
      <c r="BA510">
        <v>535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CX510">
        <f>Y510*Source!I236</f>
        <v>0</v>
      </c>
      <c r="CY510">
        <f t="shared" si="98"/>
        <v>15.12</v>
      </c>
      <c r="CZ510">
        <f t="shared" si="99"/>
        <v>2.4500000000000002</v>
      </c>
      <c r="DA510">
        <f t="shared" si="100"/>
        <v>6.17</v>
      </c>
      <c r="DB510">
        <f t="shared" si="101"/>
        <v>0</v>
      </c>
      <c r="DC510">
        <f t="shared" si="102"/>
        <v>0</v>
      </c>
    </row>
    <row r="511" spans="1:107">
      <c r="A511">
        <f>ROW(Source!A237)</f>
        <v>237</v>
      </c>
      <c r="B511">
        <v>31028412</v>
      </c>
      <c r="C511">
        <v>31029828</v>
      </c>
      <c r="D511">
        <v>29084591</v>
      </c>
      <c r="E511">
        <v>1</v>
      </c>
      <c r="F511">
        <v>1</v>
      </c>
      <c r="G511">
        <v>1</v>
      </c>
      <c r="H511">
        <v>1</v>
      </c>
      <c r="I511" t="s">
        <v>1139</v>
      </c>
      <c r="J511" t="s">
        <v>6</v>
      </c>
      <c r="K511" t="s">
        <v>1140</v>
      </c>
      <c r="L511">
        <v>1369</v>
      </c>
      <c r="N511">
        <v>1013</v>
      </c>
      <c r="O511" t="s">
        <v>773</v>
      </c>
      <c r="P511" t="s">
        <v>773</v>
      </c>
      <c r="Q511">
        <v>1</v>
      </c>
      <c r="W511">
        <v>0</v>
      </c>
      <c r="X511">
        <v>865703821</v>
      </c>
      <c r="Y511">
        <v>33.695</v>
      </c>
      <c r="AA511">
        <v>0</v>
      </c>
      <c r="AB511">
        <v>0</v>
      </c>
      <c r="AC511">
        <v>0</v>
      </c>
      <c r="AD511">
        <v>176.56</v>
      </c>
      <c r="AE511">
        <v>0</v>
      </c>
      <c r="AF511">
        <v>0</v>
      </c>
      <c r="AG511">
        <v>0</v>
      </c>
      <c r="AH511">
        <v>7.29</v>
      </c>
      <c r="AI511">
        <v>1</v>
      </c>
      <c r="AJ511">
        <v>1</v>
      </c>
      <c r="AK511">
        <v>1</v>
      </c>
      <c r="AL511">
        <v>24.22</v>
      </c>
      <c r="AN511">
        <v>0</v>
      </c>
      <c r="AO511">
        <v>1</v>
      </c>
      <c r="AP511">
        <v>1</v>
      </c>
      <c r="AQ511">
        <v>0</v>
      </c>
      <c r="AR511">
        <v>0</v>
      </c>
      <c r="AS511" t="s">
        <v>6</v>
      </c>
      <c r="AT511">
        <v>29.3</v>
      </c>
      <c r="AU511" t="s">
        <v>36</v>
      </c>
      <c r="AV511">
        <v>1</v>
      </c>
      <c r="AW511">
        <v>2</v>
      </c>
      <c r="AX511">
        <v>31029832</v>
      </c>
      <c r="AY511">
        <v>1</v>
      </c>
      <c r="AZ511">
        <v>0</v>
      </c>
      <c r="BA511">
        <v>536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  <c r="CX511">
        <f>Y511*Source!I237</f>
        <v>10.950875</v>
      </c>
      <c r="CY511">
        <f>AD511</f>
        <v>176.56</v>
      </c>
      <c r="CZ511">
        <f>AH511</f>
        <v>7.29</v>
      </c>
      <c r="DA511">
        <f>AL511</f>
        <v>24.22</v>
      </c>
      <c r="DB511">
        <f t="shared" ref="DB511:DB516" si="103">ROUND((ROUND(AT511*CZ511,2)*ROUND(1.15,7)),6)</f>
        <v>245.64</v>
      </c>
      <c r="DC511">
        <f t="shared" ref="DC511:DC516" si="104">ROUND((ROUND(AT511*AG511,2)*ROUND(1.15,7)),6)</f>
        <v>0</v>
      </c>
    </row>
    <row r="512" spans="1:107">
      <c r="A512">
        <f>ROW(Source!A237)</f>
        <v>237</v>
      </c>
      <c r="B512">
        <v>31028412</v>
      </c>
      <c r="C512">
        <v>31029828</v>
      </c>
      <c r="D512">
        <v>29084573</v>
      </c>
      <c r="E512">
        <v>1</v>
      </c>
      <c r="F512">
        <v>1</v>
      </c>
      <c r="G512">
        <v>1</v>
      </c>
      <c r="H512">
        <v>1</v>
      </c>
      <c r="I512" t="s">
        <v>774</v>
      </c>
      <c r="J512" t="s">
        <v>6</v>
      </c>
      <c r="K512" t="s">
        <v>775</v>
      </c>
      <c r="L512">
        <v>608254</v>
      </c>
      <c r="N512">
        <v>1013</v>
      </c>
      <c r="O512" t="s">
        <v>776</v>
      </c>
      <c r="P512" t="s">
        <v>776</v>
      </c>
      <c r="Q512">
        <v>1</v>
      </c>
      <c r="W512">
        <v>0</v>
      </c>
      <c r="X512">
        <v>95408949</v>
      </c>
      <c r="Y512">
        <v>7.8659999999999997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1</v>
      </c>
      <c r="AJ512">
        <v>1</v>
      </c>
      <c r="AK512">
        <v>24.22</v>
      </c>
      <c r="AL512">
        <v>1</v>
      </c>
      <c r="AN512">
        <v>0</v>
      </c>
      <c r="AO512">
        <v>1</v>
      </c>
      <c r="AP512">
        <v>1</v>
      </c>
      <c r="AQ512">
        <v>0</v>
      </c>
      <c r="AR512">
        <v>0</v>
      </c>
      <c r="AS512" t="s">
        <v>6</v>
      </c>
      <c r="AT512">
        <v>6.84</v>
      </c>
      <c r="AU512" t="s">
        <v>36</v>
      </c>
      <c r="AV512">
        <v>2</v>
      </c>
      <c r="AW512">
        <v>2</v>
      </c>
      <c r="AX512">
        <v>31029833</v>
      </c>
      <c r="AY512">
        <v>1</v>
      </c>
      <c r="AZ512">
        <v>0</v>
      </c>
      <c r="BA512">
        <v>537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CX512">
        <f>Y512*Source!I237</f>
        <v>2.5564499999999999</v>
      </c>
      <c r="CY512">
        <f>AD512</f>
        <v>0</v>
      </c>
      <c r="CZ512">
        <f>AH512</f>
        <v>0</v>
      </c>
      <c r="DA512">
        <f>AL512</f>
        <v>1</v>
      </c>
      <c r="DB512">
        <f t="shared" si="103"/>
        <v>0</v>
      </c>
      <c r="DC512">
        <f t="shared" si="104"/>
        <v>0</v>
      </c>
    </row>
    <row r="513" spans="1:107">
      <c r="A513">
        <f>ROW(Source!A237)</f>
        <v>237</v>
      </c>
      <c r="B513">
        <v>31028412</v>
      </c>
      <c r="C513">
        <v>31029828</v>
      </c>
      <c r="D513">
        <v>29147732</v>
      </c>
      <c r="E513">
        <v>1</v>
      </c>
      <c r="F513">
        <v>1</v>
      </c>
      <c r="G513">
        <v>1</v>
      </c>
      <c r="H513">
        <v>2</v>
      </c>
      <c r="I513" t="s">
        <v>846</v>
      </c>
      <c r="J513" t="s">
        <v>847</v>
      </c>
      <c r="K513" t="s">
        <v>848</v>
      </c>
      <c r="L513">
        <v>1368</v>
      </c>
      <c r="N513">
        <v>1011</v>
      </c>
      <c r="O513" t="s">
        <v>780</v>
      </c>
      <c r="P513" t="s">
        <v>780</v>
      </c>
      <c r="Q513">
        <v>1</v>
      </c>
      <c r="W513">
        <v>0</v>
      </c>
      <c r="X513">
        <v>-1205898307</v>
      </c>
      <c r="Y513">
        <v>7.8659999999999997</v>
      </c>
      <c r="AA513">
        <v>0</v>
      </c>
      <c r="AB513">
        <v>235.69</v>
      </c>
      <c r="AC513">
        <v>315.58999999999997</v>
      </c>
      <c r="AD513">
        <v>0</v>
      </c>
      <c r="AE513">
        <v>0</v>
      </c>
      <c r="AF513">
        <v>30.85</v>
      </c>
      <c r="AG513">
        <v>13.03</v>
      </c>
      <c r="AH513">
        <v>0</v>
      </c>
      <c r="AI513">
        <v>1</v>
      </c>
      <c r="AJ513">
        <v>7.64</v>
      </c>
      <c r="AK513">
        <v>24.22</v>
      </c>
      <c r="AL513">
        <v>1</v>
      </c>
      <c r="AN513">
        <v>0</v>
      </c>
      <c r="AO513">
        <v>1</v>
      </c>
      <c r="AP513">
        <v>1</v>
      </c>
      <c r="AQ513">
        <v>0</v>
      </c>
      <c r="AR513">
        <v>0</v>
      </c>
      <c r="AS513" t="s">
        <v>6</v>
      </c>
      <c r="AT513">
        <v>6.84</v>
      </c>
      <c r="AU513" t="s">
        <v>36</v>
      </c>
      <c r="AV513">
        <v>0</v>
      </c>
      <c r="AW513">
        <v>2</v>
      </c>
      <c r="AX513">
        <v>31029834</v>
      </c>
      <c r="AY513">
        <v>1</v>
      </c>
      <c r="AZ513">
        <v>0</v>
      </c>
      <c r="BA513">
        <v>538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CX513">
        <f>Y513*Source!I237</f>
        <v>2.5564499999999999</v>
      </c>
      <c r="CY513">
        <f>AB513</f>
        <v>235.69</v>
      </c>
      <c r="CZ513">
        <f>AF513</f>
        <v>30.85</v>
      </c>
      <c r="DA513">
        <f>AJ513</f>
        <v>7.64</v>
      </c>
      <c r="DB513">
        <f t="shared" si="103"/>
        <v>242.66149999999999</v>
      </c>
      <c r="DC513">
        <f t="shared" si="104"/>
        <v>102.4995</v>
      </c>
    </row>
    <row r="514" spans="1:107">
      <c r="A514">
        <f>ROW(Source!A238)</f>
        <v>238</v>
      </c>
      <c r="B514">
        <v>31028412</v>
      </c>
      <c r="C514">
        <v>31029835</v>
      </c>
      <c r="D514">
        <v>29084583</v>
      </c>
      <c r="E514">
        <v>1</v>
      </c>
      <c r="F514">
        <v>1</v>
      </c>
      <c r="G514">
        <v>1</v>
      </c>
      <c r="H514">
        <v>1</v>
      </c>
      <c r="I514" t="s">
        <v>857</v>
      </c>
      <c r="J514" t="s">
        <v>6</v>
      </c>
      <c r="K514" t="s">
        <v>858</v>
      </c>
      <c r="L514">
        <v>1369</v>
      </c>
      <c r="N514">
        <v>1013</v>
      </c>
      <c r="O514" t="s">
        <v>773</v>
      </c>
      <c r="P514" t="s">
        <v>773</v>
      </c>
      <c r="Q514">
        <v>1</v>
      </c>
      <c r="W514">
        <v>0</v>
      </c>
      <c r="X514">
        <v>1784516707</v>
      </c>
      <c r="Y514">
        <v>80.350499999999997</v>
      </c>
      <c r="AA514">
        <v>0</v>
      </c>
      <c r="AB514">
        <v>0</v>
      </c>
      <c r="AC514">
        <v>0</v>
      </c>
      <c r="AD514">
        <v>199.33</v>
      </c>
      <c r="AE514">
        <v>0</v>
      </c>
      <c r="AF514">
        <v>0</v>
      </c>
      <c r="AG514">
        <v>0</v>
      </c>
      <c r="AH514">
        <v>8.23</v>
      </c>
      <c r="AI514">
        <v>1</v>
      </c>
      <c r="AJ514">
        <v>1</v>
      </c>
      <c r="AK514">
        <v>1</v>
      </c>
      <c r="AL514">
        <v>24.22</v>
      </c>
      <c r="AN514">
        <v>0</v>
      </c>
      <c r="AO514">
        <v>1</v>
      </c>
      <c r="AP514">
        <v>1</v>
      </c>
      <c r="AQ514">
        <v>0</v>
      </c>
      <c r="AR514">
        <v>0</v>
      </c>
      <c r="AS514" t="s">
        <v>6</v>
      </c>
      <c r="AT514">
        <v>69.87</v>
      </c>
      <c r="AU514" t="s">
        <v>36</v>
      </c>
      <c r="AV514">
        <v>1</v>
      </c>
      <c r="AW514">
        <v>2</v>
      </c>
      <c r="AX514">
        <v>31029840</v>
      </c>
      <c r="AY514">
        <v>1</v>
      </c>
      <c r="AZ514">
        <v>0</v>
      </c>
      <c r="BA514">
        <v>539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CX514">
        <f>Y514*Source!I238</f>
        <v>107.348268</v>
      </c>
      <c r="CY514">
        <f>AD514</f>
        <v>199.33</v>
      </c>
      <c r="CZ514">
        <f>AH514</f>
        <v>8.23</v>
      </c>
      <c r="DA514">
        <f>AL514</f>
        <v>24.22</v>
      </c>
      <c r="DB514">
        <f t="shared" si="103"/>
        <v>661.28449999999998</v>
      </c>
      <c r="DC514">
        <f t="shared" si="104"/>
        <v>0</v>
      </c>
    </row>
    <row r="515" spans="1:107">
      <c r="A515">
        <f>ROW(Source!A238)</f>
        <v>238</v>
      </c>
      <c r="B515">
        <v>31028412</v>
      </c>
      <c r="C515">
        <v>31029835</v>
      </c>
      <c r="D515">
        <v>29084573</v>
      </c>
      <c r="E515">
        <v>1</v>
      </c>
      <c r="F515">
        <v>1</v>
      </c>
      <c r="G515">
        <v>1</v>
      </c>
      <c r="H515">
        <v>1</v>
      </c>
      <c r="I515" t="s">
        <v>774</v>
      </c>
      <c r="J515" t="s">
        <v>6</v>
      </c>
      <c r="K515" t="s">
        <v>775</v>
      </c>
      <c r="L515">
        <v>608254</v>
      </c>
      <c r="N515">
        <v>1013</v>
      </c>
      <c r="O515" t="s">
        <v>776</v>
      </c>
      <c r="P515" t="s">
        <v>776</v>
      </c>
      <c r="Q515">
        <v>1</v>
      </c>
      <c r="W515">
        <v>0</v>
      </c>
      <c r="X515">
        <v>95408949</v>
      </c>
      <c r="Y515">
        <v>1.6559999999999999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1</v>
      </c>
      <c r="AJ515">
        <v>1</v>
      </c>
      <c r="AK515">
        <v>24.22</v>
      </c>
      <c r="AL515">
        <v>1</v>
      </c>
      <c r="AN515">
        <v>0</v>
      </c>
      <c r="AO515">
        <v>1</v>
      </c>
      <c r="AP515">
        <v>1</v>
      </c>
      <c r="AQ515">
        <v>0</v>
      </c>
      <c r="AR515">
        <v>0</v>
      </c>
      <c r="AS515" t="s">
        <v>6</v>
      </c>
      <c r="AT515">
        <v>1.44</v>
      </c>
      <c r="AU515" t="s">
        <v>36</v>
      </c>
      <c r="AV515">
        <v>2</v>
      </c>
      <c r="AW515">
        <v>2</v>
      </c>
      <c r="AX515">
        <v>31029841</v>
      </c>
      <c r="AY515">
        <v>1</v>
      </c>
      <c r="AZ515">
        <v>0</v>
      </c>
      <c r="BA515">
        <v>540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  <c r="CX515">
        <f>Y515*Source!I238</f>
        <v>2.2124160000000002</v>
      </c>
      <c r="CY515">
        <f>AD515</f>
        <v>0</v>
      </c>
      <c r="CZ515">
        <f>AH515</f>
        <v>0</v>
      </c>
      <c r="DA515">
        <f>AL515</f>
        <v>1</v>
      </c>
      <c r="DB515">
        <f t="shared" si="103"/>
        <v>0</v>
      </c>
      <c r="DC515">
        <f t="shared" si="104"/>
        <v>0</v>
      </c>
    </row>
    <row r="516" spans="1:107">
      <c r="A516">
        <f>ROW(Source!A238)</f>
        <v>238</v>
      </c>
      <c r="B516">
        <v>31028412</v>
      </c>
      <c r="C516">
        <v>31029835</v>
      </c>
      <c r="D516">
        <v>29147732</v>
      </c>
      <c r="E516">
        <v>1</v>
      </c>
      <c r="F516">
        <v>1</v>
      </c>
      <c r="G516">
        <v>1</v>
      </c>
      <c r="H516">
        <v>2</v>
      </c>
      <c r="I516" t="s">
        <v>846</v>
      </c>
      <c r="J516" t="s">
        <v>847</v>
      </c>
      <c r="K516" t="s">
        <v>848</v>
      </c>
      <c r="L516">
        <v>1368</v>
      </c>
      <c r="N516">
        <v>1011</v>
      </c>
      <c r="O516" t="s">
        <v>780</v>
      </c>
      <c r="P516" t="s">
        <v>780</v>
      </c>
      <c r="Q516">
        <v>1</v>
      </c>
      <c r="W516">
        <v>0</v>
      </c>
      <c r="X516">
        <v>-1205898307</v>
      </c>
      <c r="Y516">
        <v>1.6559999999999999</v>
      </c>
      <c r="AA516">
        <v>0</v>
      </c>
      <c r="AB516">
        <v>235.69</v>
      </c>
      <c r="AC516">
        <v>315.58999999999997</v>
      </c>
      <c r="AD516">
        <v>0</v>
      </c>
      <c r="AE516">
        <v>0</v>
      </c>
      <c r="AF516">
        <v>30.85</v>
      </c>
      <c r="AG516">
        <v>13.03</v>
      </c>
      <c r="AH516">
        <v>0</v>
      </c>
      <c r="AI516">
        <v>1</v>
      </c>
      <c r="AJ516">
        <v>7.64</v>
      </c>
      <c r="AK516">
        <v>24.22</v>
      </c>
      <c r="AL516">
        <v>1</v>
      </c>
      <c r="AN516">
        <v>0</v>
      </c>
      <c r="AO516">
        <v>1</v>
      </c>
      <c r="AP516">
        <v>1</v>
      </c>
      <c r="AQ516">
        <v>0</v>
      </c>
      <c r="AR516">
        <v>0</v>
      </c>
      <c r="AS516" t="s">
        <v>6</v>
      </c>
      <c r="AT516">
        <v>1.44</v>
      </c>
      <c r="AU516" t="s">
        <v>36</v>
      </c>
      <c r="AV516">
        <v>0</v>
      </c>
      <c r="AW516">
        <v>2</v>
      </c>
      <c r="AX516">
        <v>31029842</v>
      </c>
      <c r="AY516">
        <v>1</v>
      </c>
      <c r="AZ516">
        <v>0</v>
      </c>
      <c r="BA516">
        <v>541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CX516">
        <f>Y516*Source!I238</f>
        <v>2.2124160000000002</v>
      </c>
      <c r="CY516">
        <f>AB516</f>
        <v>235.69</v>
      </c>
      <c r="CZ516">
        <f>AF516</f>
        <v>30.85</v>
      </c>
      <c r="DA516">
        <f>AJ516</f>
        <v>7.64</v>
      </c>
      <c r="DB516">
        <f t="shared" si="103"/>
        <v>51.082999999999998</v>
      </c>
      <c r="DC516">
        <f t="shared" si="104"/>
        <v>21.574000000000002</v>
      </c>
    </row>
    <row r="517" spans="1:107">
      <c r="A517">
        <f>ROW(Source!A238)</f>
        <v>238</v>
      </c>
      <c r="B517">
        <v>31028412</v>
      </c>
      <c r="C517">
        <v>31029835</v>
      </c>
      <c r="D517">
        <v>29215982</v>
      </c>
      <c r="E517">
        <v>1</v>
      </c>
      <c r="F517">
        <v>1</v>
      </c>
      <c r="G517">
        <v>1</v>
      </c>
      <c r="H517">
        <v>3</v>
      </c>
      <c r="I517" t="s">
        <v>825</v>
      </c>
      <c r="J517" t="s">
        <v>826</v>
      </c>
      <c r="K517" t="s">
        <v>827</v>
      </c>
      <c r="L517">
        <v>1348</v>
      </c>
      <c r="N517">
        <v>1009</v>
      </c>
      <c r="O517" t="s">
        <v>137</v>
      </c>
      <c r="P517" t="s">
        <v>137</v>
      </c>
      <c r="Q517">
        <v>1000</v>
      </c>
      <c r="W517">
        <v>0</v>
      </c>
      <c r="X517">
        <v>367953619</v>
      </c>
      <c r="Y517">
        <v>5.2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6.17</v>
      </c>
      <c r="AJ517">
        <v>1</v>
      </c>
      <c r="AK517">
        <v>1</v>
      </c>
      <c r="AL517">
        <v>1</v>
      </c>
      <c r="AN517">
        <v>0</v>
      </c>
      <c r="AO517">
        <v>0</v>
      </c>
      <c r="AP517">
        <v>0</v>
      </c>
      <c r="AQ517">
        <v>0</v>
      </c>
      <c r="AR517">
        <v>0</v>
      </c>
      <c r="AS517" t="s">
        <v>6</v>
      </c>
      <c r="AT517">
        <v>5.2</v>
      </c>
      <c r="AU517" t="s">
        <v>6</v>
      </c>
      <c r="AV517">
        <v>0</v>
      </c>
      <c r="AW517">
        <v>2</v>
      </c>
      <c r="AX517">
        <v>31029843</v>
      </c>
      <c r="AY517">
        <v>1</v>
      </c>
      <c r="AZ517">
        <v>0</v>
      </c>
      <c r="BA517">
        <v>542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0</v>
      </c>
      <c r="CX517">
        <f>Y517*Source!I238</f>
        <v>6.9472000000000005</v>
      </c>
      <c r="CY517">
        <f>AA517</f>
        <v>0</v>
      </c>
      <c r="CZ517">
        <f>AE517</f>
        <v>0</v>
      </c>
      <c r="DA517">
        <f>AI517</f>
        <v>6.17</v>
      </c>
      <c r="DB517">
        <f>ROUND(ROUND(AT517*CZ517,2),6)</f>
        <v>0</v>
      </c>
      <c r="DC517">
        <f>ROUND(ROUND(AT517*AG517,2),6)</f>
        <v>0</v>
      </c>
    </row>
    <row r="518" spans="1:107">
      <c r="A518">
        <f>ROW(Source!A239)</f>
        <v>239</v>
      </c>
      <c r="B518">
        <v>31028412</v>
      </c>
      <c r="C518">
        <v>31029844</v>
      </c>
      <c r="D518">
        <v>29084584</v>
      </c>
      <c r="E518">
        <v>1</v>
      </c>
      <c r="F518">
        <v>1</v>
      </c>
      <c r="G518">
        <v>1</v>
      </c>
      <c r="H518">
        <v>1</v>
      </c>
      <c r="I518" t="s">
        <v>898</v>
      </c>
      <c r="J518" t="s">
        <v>6</v>
      </c>
      <c r="K518" t="s">
        <v>899</v>
      </c>
      <c r="L518">
        <v>1369</v>
      </c>
      <c r="N518">
        <v>1013</v>
      </c>
      <c r="O518" t="s">
        <v>773</v>
      </c>
      <c r="P518" t="s">
        <v>773</v>
      </c>
      <c r="Q518">
        <v>1</v>
      </c>
      <c r="W518">
        <v>0</v>
      </c>
      <c r="X518">
        <v>-855355929</v>
      </c>
      <c r="Y518">
        <v>233.36949999999999</v>
      </c>
      <c r="AA518">
        <v>0</v>
      </c>
      <c r="AB518">
        <v>0</v>
      </c>
      <c r="AC518">
        <v>0</v>
      </c>
      <c r="AD518">
        <v>201.75</v>
      </c>
      <c r="AE518">
        <v>0</v>
      </c>
      <c r="AF518">
        <v>0</v>
      </c>
      <c r="AG518">
        <v>0</v>
      </c>
      <c r="AH518">
        <v>8.33</v>
      </c>
      <c r="AI518">
        <v>1</v>
      </c>
      <c r="AJ518">
        <v>1</v>
      </c>
      <c r="AK518">
        <v>1</v>
      </c>
      <c r="AL518">
        <v>24.22</v>
      </c>
      <c r="AN518">
        <v>0</v>
      </c>
      <c r="AO518">
        <v>1</v>
      </c>
      <c r="AP518">
        <v>1</v>
      </c>
      <c r="AQ518">
        <v>0</v>
      </c>
      <c r="AR518">
        <v>0</v>
      </c>
      <c r="AS518" t="s">
        <v>6</v>
      </c>
      <c r="AT518">
        <v>202.93</v>
      </c>
      <c r="AU518" t="s">
        <v>36</v>
      </c>
      <c r="AV518">
        <v>1</v>
      </c>
      <c r="AW518">
        <v>2</v>
      </c>
      <c r="AX518">
        <v>31029859</v>
      </c>
      <c r="AY518">
        <v>1</v>
      </c>
      <c r="AZ518">
        <v>0</v>
      </c>
      <c r="BA518">
        <v>543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CX518">
        <f>Y518*Source!I239</f>
        <v>35.005424999999995</v>
      </c>
      <c r="CY518">
        <f>AD518</f>
        <v>201.75</v>
      </c>
      <c r="CZ518">
        <f>AH518</f>
        <v>8.33</v>
      </c>
      <c r="DA518">
        <f>AL518</f>
        <v>24.22</v>
      </c>
      <c r="DB518">
        <f t="shared" ref="DB518:DB523" si="105">ROUND((ROUND(AT518*CZ518,2)*ROUND(1.15,7)),6)</f>
        <v>1943.9715000000001</v>
      </c>
      <c r="DC518">
        <f t="shared" ref="DC518:DC523" si="106">ROUND((ROUND(AT518*AG518,2)*ROUND(1.15,7)),6)</f>
        <v>0</v>
      </c>
    </row>
    <row r="519" spans="1:107">
      <c r="A519">
        <f>ROW(Source!A239)</f>
        <v>239</v>
      </c>
      <c r="B519">
        <v>31028412</v>
      </c>
      <c r="C519">
        <v>31029844</v>
      </c>
      <c r="D519">
        <v>29084573</v>
      </c>
      <c r="E519">
        <v>1</v>
      </c>
      <c r="F519">
        <v>1</v>
      </c>
      <c r="G519">
        <v>1</v>
      </c>
      <c r="H519">
        <v>1</v>
      </c>
      <c r="I519" t="s">
        <v>774</v>
      </c>
      <c r="J519" t="s">
        <v>6</v>
      </c>
      <c r="K519" t="s">
        <v>775</v>
      </c>
      <c r="L519">
        <v>608254</v>
      </c>
      <c r="N519">
        <v>1013</v>
      </c>
      <c r="O519" t="s">
        <v>776</v>
      </c>
      <c r="P519" t="s">
        <v>776</v>
      </c>
      <c r="Q519">
        <v>1</v>
      </c>
      <c r="W519">
        <v>0</v>
      </c>
      <c r="X519">
        <v>95408949</v>
      </c>
      <c r="Y519">
        <v>0.87399999999999989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1</v>
      </c>
      <c r="AJ519">
        <v>1</v>
      </c>
      <c r="AK519">
        <v>24.22</v>
      </c>
      <c r="AL519">
        <v>1</v>
      </c>
      <c r="AN519">
        <v>0</v>
      </c>
      <c r="AO519">
        <v>1</v>
      </c>
      <c r="AP519">
        <v>1</v>
      </c>
      <c r="AQ519">
        <v>0</v>
      </c>
      <c r="AR519">
        <v>0</v>
      </c>
      <c r="AS519" t="s">
        <v>6</v>
      </c>
      <c r="AT519">
        <v>0.76</v>
      </c>
      <c r="AU519" t="s">
        <v>36</v>
      </c>
      <c r="AV519">
        <v>2</v>
      </c>
      <c r="AW519">
        <v>2</v>
      </c>
      <c r="AX519">
        <v>31029860</v>
      </c>
      <c r="AY519">
        <v>1</v>
      </c>
      <c r="AZ519">
        <v>0</v>
      </c>
      <c r="BA519">
        <v>544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CX519">
        <f>Y519*Source!I239</f>
        <v>0.13109999999999997</v>
      </c>
      <c r="CY519">
        <f>AD519</f>
        <v>0</v>
      </c>
      <c r="CZ519">
        <f>AH519</f>
        <v>0</v>
      </c>
      <c r="DA519">
        <f>AL519</f>
        <v>1</v>
      </c>
      <c r="DB519">
        <f t="shared" si="105"/>
        <v>0</v>
      </c>
      <c r="DC519">
        <f t="shared" si="106"/>
        <v>0</v>
      </c>
    </row>
    <row r="520" spans="1:107">
      <c r="A520">
        <f>ROW(Source!A239)</f>
        <v>239</v>
      </c>
      <c r="B520">
        <v>31028412</v>
      </c>
      <c r="C520">
        <v>31029844</v>
      </c>
      <c r="D520">
        <v>29147601</v>
      </c>
      <c r="E520">
        <v>1</v>
      </c>
      <c r="F520">
        <v>1</v>
      </c>
      <c r="G520">
        <v>1</v>
      </c>
      <c r="H520">
        <v>2</v>
      </c>
      <c r="I520" t="s">
        <v>781</v>
      </c>
      <c r="J520" t="s">
        <v>782</v>
      </c>
      <c r="K520" t="s">
        <v>783</v>
      </c>
      <c r="L520">
        <v>1368</v>
      </c>
      <c r="N520">
        <v>1011</v>
      </c>
      <c r="O520" t="s">
        <v>780</v>
      </c>
      <c r="P520" t="s">
        <v>780</v>
      </c>
      <c r="Q520">
        <v>1</v>
      </c>
      <c r="W520">
        <v>0</v>
      </c>
      <c r="X520">
        <v>1170567961</v>
      </c>
      <c r="Y520">
        <v>0.87399999999999989</v>
      </c>
      <c r="AA520">
        <v>0</v>
      </c>
      <c r="AB520">
        <v>828.56</v>
      </c>
      <c r="AC520">
        <v>315.58999999999997</v>
      </c>
      <c r="AD520">
        <v>0</v>
      </c>
      <c r="AE520">
        <v>0</v>
      </c>
      <c r="AF520">
        <v>108.45</v>
      </c>
      <c r="AG520">
        <v>13.03</v>
      </c>
      <c r="AH520">
        <v>0</v>
      </c>
      <c r="AI520">
        <v>1</v>
      </c>
      <c r="AJ520">
        <v>7.64</v>
      </c>
      <c r="AK520">
        <v>24.22</v>
      </c>
      <c r="AL520">
        <v>1</v>
      </c>
      <c r="AN520">
        <v>0</v>
      </c>
      <c r="AO520">
        <v>1</v>
      </c>
      <c r="AP520">
        <v>1</v>
      </c>
      <c r="AQ520">
        <v>0</v>
      </c>
      <c r="AR520">
        <v>0</v>
      </c>
      <c r="AS520" t="s">
        <v>6</v>
      </c>
      <c r="AT520">
        <v>0.76</v>
      </c>
      <c r="AU520" t="s">
        <v>36</v>
      </c>
      <c r="AV520">
        <v>0</v>
      </c>
      <c r="AW520">
        <v>2</v>
      </c>
      <c r="AX520">
        <v>31029861</v>
      </c>
      <c r="AY520">
        <v>1</v>
      </c>
      <c r="AZ520">
        <v>0</v>
      </c>
      <c r="BA520">
        <v>545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CX520">
        <f>Y520*Source!I239</f>
        <v>0.13109999999999997</v>
      </c>
      <c r="CY520">
        <f>AB520</f>
        <v>828.56</v>
      </c>
      <c r="CZ520">
        <f>AF520</f>
        <v>108.45</v>
      </c>
      <c r="DA520">
        <f>AJ520</f>
        <v>7.64</v>
      </c>
      <c r="DB520">
        <f t="shared" si="105"/>
        <v>94.783000000000001</v>
      </c>
      <c r="DC520">
        <f t="shared" si="106"/>
        <v>11.385</v>
      </c>
    </row>
    <row r="521" spans="1:107">
      <c r="A521">
        <f>ROW(Source!A239)</f>
        <v>239</v>
      </c>
      <c r="B521">
        <v>31028412</v>
      </c>
      <c r="C521">
        <v>31029844</v>
      </c>
      <c r="D521">
        <v>29147807</v>
      </c>
      <c r="E521">
        <v>1</v>
      </c>
      <c r="F521">
        <v>1</v>
      </c>
      <c r="G521">
        <v>1</v>
      </c>
      <c r="H521">
        <v>2</v>
      </c>
      <c r="I521" t="s">
        <v>1050</v>
      </c>
      <c r="J521" t="s">
        <v>1051</v>
      </c>
      <c r="K521" t="s">
        <v>1052</v>
      </c>
      <c r="L521">
        <v>1368</v>
      </c>
      <c r="N521">
        <v>1011</v>
      </c>
      <c r="O521" t="s">
        <v>780</v>
      </c>
      <c r="P521" t="s">
        <v>780</v>
      </c>
      <c r="Q521">
        <v>1</v>
      </c>
      <c r="W521">
        <v>0</v>
      </c>
      <c r="X521">
        <v>1061538499</v>
      </c>
      <c r="Y521">
        <v>2.1044999999999998</v>
      </c>
      <c r="AA521">
        <v>0</v>
      </c>
      <c r="AB521">
        <v>9.17</v>
      </c>
      <c r="AC521">
        <v>0</v>
      </c>
      <c r="AD521">
        <v>0</v>
      </c>
      <c r="AE521">
        <v>0</v>
      </c>
      <c r="AF521">
        <v>1.2</v>
      </c>
      <c r="AG521">
        <v>0</v>
      </c>
      <c r="AH521">
        <v>0</v>
      </c>
      <c r="AI521">
        <v>1</v>
      </c>
      <c r="AJ521">
        <v>7.64</v>
      </c>
      <c r="AK521">
        <v>24.22</v>
      </c>
      <c r="AL521">
        <v>1</v>
      </c>
      <c r="AN521">
        <v>0</v>
      </c>
      <c r="AO521">
        <v>1</v>
      </c>
      <c r="AP521">
        <v>1</v>
      </c>
      <c r="AQ521">
        <v>0</v>
      </c>
      <c r="AR521">
        <v>0</v>
      </c>
      <c r="AS521" t="s">
        <v>6</v>
      </c>
      <c r="AT521">
        <v>1.83</v>
      </c>
      <c r="AU521" t="s">
        <v>36</v>
      </c>
      <c r="AV521">
        <v>0</v>
      </c>
      <c r="AW521">
        <v>2</v>
      </c>
      <c r="AX521">
        <v>31029862</v>
      </c>
      <c r="AY521">
        <v>1</v>
      </c>
      <c r="AZ521">
        <v>0</v>
      </c>
      <c r="BA521">
        <v>546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CX521">
        <f>Y521*Source!I239</f>
        <v>0.31567499999999998</v>
      </c>
      <c r="CY521">
        <f>AB521</f>
        <v>9.17</v>
      </c>
      <c r="CZ521">
        <f>AF521</f>
        <v>1.2</v>
      </c>
      <c r="DA521">
        <f>AJ521</f>
        <v>7.64</v>
      </c>
      <c r="DB521">
        <f t="shared" si="105"/>
        <v>2.5299999999999998</v>
      </c>
      <c r="DC521">
        <f t="shared" si="106"/>
        <v>0</v>
      </c>
    </row>
    <row r="522" spans="1:107">
      <c r="A522">
        <f>ROW(Source!A239)</f>
        <v>239</v>
      </c>
      <c r="B522">
        <v>31028412</v>
      </c>
      <c r="C522">
        <v>31029844</v>
      </c>
      <c r="D522">
        <v>29149183</v>
      </c>
      <c r="E522">
        <v>1</v>
      </c>
      <c r="F522">
        <v>1</v>
      </c>
      <c r="G522">
        <v>1</v>
      </c>
      <c r="H522">
        <v>2</v>
      </c>
      <c r="I522" t="s">
        <v>983</v>
      </c>
      <c r="J522" t="s">
        <v>984</v>
      </c>
      <c r="K522" t="s">
        <v>985</v>
      </c>
      <c r="L522">
        <v>1368</v>
      </c>
      <c r="N522">
        <v>1011</v>
      </c>
      <c r="O522" t="s">
        <v>780</v>
      </c>
      <c r="P522" t="s">
        <v>780</v>
      </c>
      <c r="Q522">
        <v>1</v>
      </c>
      <c r="W522">
        <v>0</v>
      </c>
      <c r="X522">
        <v>825056910</v>
      </c>
      <c r="Y522">
        <v>6.4399999999999995</v>
      </c>
      <c r="AA522">
        <v>0</v>
      </c>
      <c r="AB522">
        <v>14.9</v>
      </c>
      <c r="AC522">
        <v>0</v>
      </c>
      <c r="AD522">
        <v>0</v>
      </c>
      <c r="AE522">
        <v>0</v>
      </c>
      <c r="AF522">
        <v>1.95</v>
      </c>
      <c r="AG522">
        <v>0</v>
      </c>
      <c r="AH522">
        <v>0</v>
      </c>
      <c r="AI522">
        <v>1</v>
      </c>
      <c r="AJ522">
        <v>7.64</v>
      </c>
      <c r="AK522">
        <v>24.22</v>
      </c>
      <c r="AL522">
        <v>1</v>
      </c>
      <c r="AN522">
        <v>0</v>
      </c>
      <c r="AO522">
        <v>1</v>
      </c>
      <c r="AP522">
        <v>1</v>
      </c>
      <c r="AQ522">
        <v>0</v>
      </c>
      <c r="AR522">
        <v>0</v>
      </c>
      <c r="AS522" t="s">
        <v>6</v>
      </c>
      <c r="AT522">
        <v>5.6</v>
      </c>
      <c r="AU522" t="s">
        <v>36</v>
      </c>
      <c r="AV522">
        <v>0</v>
      </c>
      <c r="AW522">
        <v>2</v>
      </c>
      <c r="AX522">
        <v>31029863</v>
      </c>
      <c r="AY522">
        <v>1</v>
      </c>
      <c r="AZ522">
        <v>0</v>
      </c>
      <c r="BA522">
        <v>547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CX522">
        <f>Y522*Source!I239</f>
        <v>0.96599999999999986</v>
      </c>
      <c r="CY522">
        <f>AB522</f>
        <v>14.9</v>
      </c>
      <c r="CZ522">
        <f>AF522</f>
        <v>1.95</v>
      </c>
      <c r="DA522">
        <f>AJ522</f>
        <v>7.64</v>
      </c>
      <c r="DB522">
        <f t="shared" si="105"/>
        <v>12.558</v>
      </c>
      <c r="DC522">
        <f t="shared" si="106"/>
        <v>0</v>
      </c>
    </row>
    <row r="523" spans="1:107">
      <c r="A523">
        <f>ROW(Source!A239)</f>
        <v>239</v>
      </c>
      <c r="B523">
        <v>31028412</v>
      </c>
      <c r="C523">
        <v>31029844</v>
      </c>
      <c r="D523">
        <v>29149520</v>
      </c>
      <c r="E523">
        <v>1</v>
      </c>
      <c r="F523">
        <v>1</v>
      </c>
      <c r="G523">
        <v>1</v>
      </c>
      <c r="H523">
        <v>2</v>
      </c>
      <c r="I523" t="s">
        <v>790</v>
      </c>
      <c r="J523" t="s">
        <v>791</v>
      </c>
      <c r="K523" t="s">
        <v>792</v>
      </c>
      <c r="L523">
        <v>1368</v>
      </c>
      <c r="N523">
        <v>1011</v>
      </c>
      <c r="O523" t="s">
        <v>780</v>
      </c>
      <c r="P523" t="s">
        <v>780</v>
      </c>
      <c r="Q523">
        <v>1</v>
      </c>
      <c r="W523">
        <v>0</v>
      </c>
      <c r="X523">
        <v>-1931461795</v>
      </c>
      <c r="Y523">
        <v>0.22999999999999998</v>
      </c>
      <c r="AA523">
        <v>0</v>
      </c>
      <c r="AB523">
        <v>699.98</v>
      </c>
      <c r="AC523">
        <v>0</v>
      </c>
      <c r="AD523">
        <v>0</v>
      </c>
      <c r="AE523">
        <v>0</v>
      </c>
      <c r="AF523">
        <v>91.62</v>
      </c>
      <c r="AG523">
        <v>0</v>
      </c>
      <c r="AH523">
        <v>0</v>
      </c>
      <c r="AI523">
        <v>1</v>
      </c>
      <c r="AJ523">
        <v>7.64</v>
      </c>
      <c r="AK523">
        <v>24.22</v>
      </c>
      <c r="AL523">
        <v>1</v>
      </c>
      <c r="AN523">
        <v>0</v>
      </c>
      <c r="AO523">
        <v>1</v>
      </c>
      <c r="AP523">
        <v>1</v>
      </c>
      <c r="AQ523">
        <v>0</v>
      </c>
      <c r="AR523">
        <v>0</v>
      </c>
      <c r="AS523" t="s">
        <v>6</v>
      </c>
      <c r="AT523">
        <v>0.2</v>
      </c>
      <c r="AU523" t="s">
        <v>36</v>
      </c>
      <c r="AV523">
        <v>0</v>
      </c>
      <c r="AW523">
        <v>2</v>
      </c>
      <c r="AX523">
        <v>31029864</v>
      </c>
      <c r="AY523">
        <v>1</v>
      </c>
      <c r="AZ523">
        <v>0</v>
      </c>
      <c r="BA523">
        <v>548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CX523">
        <f>Y523*Source!I239</f>
        <v>3.4499999999999996E-2</v>
      </c>
      <c r="CY523">
        <f>AB523</f>
        <v>699.98</v>
      </c>
      <c r="CZ523">
        <f>AF523</f>
        <v>91.62</v>
      </c>
      <c r="DA523">
        <f>AJ523</f>
        <v>7.64</v>
      </c>
      <c r="DB523">
        <f t="shared" si="105"/>
        <v>21.068000000000001</v>
      </c>
      <c r="DC523">
        <f t="shared" si="106"/>
        <v>0</v>
      </c>
    </row>
    <row r="524" spans="1:107">
      <c r="A524">
        <f>ROW(Source!A239)</f>
        <v>239</v>
      </c>
      <c r="B524">
        <v>31028412</v>
      </c>
      <c r="C524">
        <v>31029844</v>
      </c>
      <c r="D524">
        <v>29150682</v>
      </c>
      <c r="E524">
        <v>1</v>
      </c>
      <c r="F524">
        <v>1</v>
      </c>
      <c r="G524">
        <v>1</v>
      </c>
      <c r="H524">
        <v>3</v>
      </c>
      <c r="I524" t="s">
        <v>1059</v>
      </c>
      <c r="J524" t="s">
        <v>1060</v>
      </c>
      <c r="K524" t="s">
        <v>1061</v>
      </c>
      <c r="L524">
        <v>1339</v>
      </c>
      <c r="N524">
        <v>1007</v>
      </c>
      <c r="O524" t="s">
        <v>109</v>
      </c>
      <c r="P524" t="s">
        <v>109</v>
      </c>
      <c r="Q524">
        <v>1</v>
      </c>
      <c r="W524">
        <v>0</v>
      </c>
      <c r="X524">
        <v>-121200843</v>
      </c>
      <c r="Y524">
        <v>1.77</v>
      </c>
      <c r="AA524">
        <v>38.380000000000003</v>
      </c>
      <c r="AB524">
        <v>0</v>
      </c>
      <c r="AC524">
        <v>0</v>
      </c>
      <c r="AD524">
        <v>0</v>
      </c>
      <c r="AE524">
        <v>6.22</v>
      </c>
      <c r="AF524">
        <v>0</v>
      </c>
      <c r="AG524">
        <v>0</v>
      </c>
      <c r="AH524">
        <v>0</v>
      </c>
      <c r="AI524">
        <v>6.17</v>
      </c>
      <c r="AJ524">
        <v>1</v>
      </c>
      <c r="AK524">
        <v>1</v>
      </c>
      <c r="AL524">
        <v>1</v>
      </c>
      <c r="AN524">
        <v>0</v>
      </c>
      <c r="AO524">
        <v>1</v>
      </c>
      <c r="AP524">
        <v>0</v>
      </c>
      <c r="AQ524">
        <v>0</v>
      </c>
      <c r="AR524">
        <v>0</v>
      </c>
      <c r="AS524" t="s">
        <v>6</v>
      </c>
      <c r="AT524">
        <v>1.77</v>
      </c>
      <c r="AU524" t="s">
        <v>6</v>
      </c>
      <c r="AV524">
        <v>0</v>
      </c>
      <c r="AW524">
        <v>2</v>
      </c>
      <c r="AX524">
        <v>31029865</v>
      </c>
      <c r="AY524">
        <v>1</v>
      </c>
      <c r="AZ524">
        <v>0</v>
      </c>
      <c r="BA524">
        <v>549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CX524">
        <f>Y524*Source!I239</f>
        <v>0.26550000000000001</v>
      </c>
      <c r="CY524">
        <f t="shared" ref="CY524:CY531" si="107">AA524</f>
        <v>38.380000000000003</v>
      </c>
      <c r="CZ524">
        <f t="shared" ref="CZ524:CZ531" si="108">AE524</f>
        <v>6.22</v>
      </c>
      <c r="DA524">
        <f t="shared" ref="DA524:DA531" si="109">AI524</f>
        <v>6.17</v>
      </c>
      <c r="DB524">
        <f t="shared" ref="DB524:DB531" si="110">ROUND(ROUND(AT524*CZ524,2),6)</f>
        <v>11.01</v>
      </c>
      <c r="DC524">
        <f t="shared" ref="DC524:DC531" si="111">ROUND(ROUND(AT524*AG524,2),6)</f>
        <v>0</v>
      </c>
    </row>
    <row r="525" spans="1:107">
      <c r="A525">
        <f>ROW(Source!A239)</f>
        <v>239</v>
      </c>
      <c r="B525">
        <v>31028412</v>
      </c>
      <c r="C525">
        <v>31029844</v>
      </c>
      <c r="D525">
        <v>29151973</v>
      </c>
      <c r="E525">
        <v>1</v>
      </c>
      <c r="F525">
        <v>1</v>
      </c>
      <c r="G525">
        <v>1</v>
      </c>
      <c r="H525">
        <v>3</v>
      </c>
      <c r="I525" t="s">
        <v>992</v>
      </c>
      <c r="J525" t="s">
        <v>993</v>
      </c>
      <c r="K525" t="s">
        <v>994</v>
      </c>
      <c r="L525">
        <v>1348</v>
      </c>
      <c r="N525">
        <v>1009</v>
      </c>
      <c r="O525" t="s">
        <v>137</v>
      </c>
      <c r="P525" t="s">
        <v>137</v>
      </c>
      <c r="Q525">
        <v>1000</v>
      </c>
      <c r="W525">
        <v>0</v>
      </c>
      <c r="X525">
        <v>-1571362654</v>
      </c>
      <c r="Y525">
        <v>0.05</v>
      </c>
      <c r="AA525">
        <v>60618.400000000001</v>
      </c>
      <c r="AB525">
        <v>0</v>
      </c>
      <c r="AC525">
        <v>0</v>
      </c>
      <c r="AD525">
        <v>0</v>
      </c>
      <c r="AE525">
        <v>9824.7000000000007</v>
      </c>
      <c r="AF525">
        <v>0</v>
      </c>
      <c r="AG525">
        <v>0</v>
      </c>
      <c r="AH525">
        <v>0</v>
      </c>
      <c r="AI525">
        <v>6.17</v>
      </c>
      <c r="AJ525">
        <v>1</v>
      </c>
      <c r="AK525">
        <v>1</v>
      </c>
      <c r="AL525">
        <v>1</v>
      </c>
      <c r="AN525">
        <v>0</v>
      </c>
      <c r="AO525">
        <v>1</v>
      </c>
      <c r="AP525">
        <v>0</v>
      </c>
      <c r="AQ525">
        <v>0</v>
      </c>
      <c r="AR525">
        <v>0</v>
      </c>
      <c r="AS525" t="s">
        <v>6</v>
      </c>
      <c r="AT525">
        <v>0.05</v>
      </c>
      <c r="AU525" t="s">
        <v>6</v>
      </c>
      <c r="AV525">
        <v>0</v>
      </c>
      <c r="AW525">
        <v>2</v>
      </c>
      <c r="AX525">
        <v>31029866</v>
      </c>
      <c r="AY525">
        <v>1</v>
      </c>
      <c r="AZ525">
        <v>0</v>
      </c>
      <c r="BA525">
        <v>550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CX525">
        <f>Y525*Source!I239</f>
        <v>7.4999999999999997E-3</v>
      </c>
      <c r="CY525">
        <f t="shared" si="107"/>
        <v>60618.400000000001</v>
      </c>
      <c r="CZ525">
        <f t="shared" si="108"/>
        <v>9824.7000000000007</v>
      </c>
      <c r="DA525">
        <f t="shared" si="109"/>
        <v>6.17</v>
      </c>
      <c r="DB525">
        <f t="shared" si="110"/>
        <v>491.24</v>
      </c>
      <c r="DC525">
        <f t="shared" si="111"/>
        <v>0</v>
      </c>
    </row>
    <row r="526" spans="1:107">
      <c r="A526">
        <f>ROW(Source!A239)</f>
        <v>239</v>
      </c>
      <c r="B526">
        <v>31028412</v>
      </c>
      <c r="C526">
        <v>31029844</v>
      </c>
      <c r="D526">
        <v>29152114</v>
      </c>
      <c r="E526">
        <v>1</v>
      </c>
      <c r="F526">
        <v>1</v>
      </c>
      <c r="G526">
        <v>1</v>
      </c>
      <c r="H526">
        <v>3</v>
      </c>
      <c r="I526" t="s">
        <v>1141</v>
      </c>
      <c r="J526" t="s">
        <v>1142</v>
      </c>
      <c r="K526" t="s">
        <v>1143</v>
      </c>
      <c r="L526">
        <v>1348</v>
      </c>
      <c r="N526">
        <v>1009</v>
      </c>
      <c r="O526" t="s">
        <v>137</v>
      </c>
      <c r="P526" t="s">
        <v>137</v>
      </c>
      <c r="Q526">
        <v>1000</v>
      </c>
      <c r="W526">
        <v>0</v>
      </c>
      <c r="X526">
        <v>810165012</v>
      </c>
      <c r="Y526">
        <v>0.48</v>
      </c>
      <c r="AA526">
        <v>39922.92</v>
      </c>
      <c r="AB526">
        <v>0</v>
      </c>
      <c r="AC526">
        <v>0</v>
      </c>
      <c r="AD526">
        <v>0</v>
      </c>
      <c r="AE526">
        <v>6470.49</v>
      </c>
      <c r="AF526">
        <v>0</v>
      </c>
      <c r="AG526">
        <v>0</v>
      </c>
      <c r="AH526">
        <v>0</v>
      </c>
      <c r="AI526">
        <v>6.17</v>
      </c>
      <c r="AJ526">
        <v>1</v>
      </c>
      <c r="AK526">
        <v>1</v>
      </c>
      <c r="AL526">
        <v>1</v>
      </c>
      <c r="AN526">
        <v>0</v>
      </c>
      <c r="AO526">
        <v>1</v>
      </c>
      <c r="AP526">
        <v>0</v>
      </c>
      <c r="AQ526">
        <v>0</v>
      </c>
      <c r="AR526">
        <v>0</v>
      </c>
      <c r="AS526" t="s">
        <v>6</v>
      </c>
      <c r="AT526">
        <v>0.48</v>
      </c>
      <c r="AU526" t="s">
        <v>6</v>
      </c>
      <c r="AV526">
        <v>0</v>
      </c>
      <c r="AW526">
        <v>2</v>
      </c>
      <c r="AX526">
        <v>31029867</v>
      </c>
      <c r="AY526">
        <v>1</v>
      </c>
      <c r="AZ526">
        <v>0</v>
      </c>
      <c r="BA526">
        <v>551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CX526">
        <f>Y526*Source!I239</f>
        <v>7.1999999999999995E-2</v>
      </c>
      <c r="CY526">
        <f t="shared" si="107"/>
        <v>39922.92</v>
      </c>
      <c r="CZ526">
        <f t="shared" si="108"/>
        <v>6470.49</v>
      </c>
      <c r="DA526">
        <f t="shared" si="109"/>
        <v>6.17</v>
      </c>
      <c r="DB526">
        <f t="shared" si="110"/>
        <v>3105.84</v>
      </c>
      <c r="DC526">
        <f t="shared" si="111"/>
        <v>0</v>
      </c>
    </row>
    <row r="527" spans="1:107">
      <c r="A527">
        <f>ROW(Source!A239)</f>
        <v>239</v>
      </c>
      <c r="B527">
        <v>31028412</v>
      </c>
      <c r="C527">
        <v>31029844</v>
      </c>
      <c r="D527">
        <v>29152475</v>
      </c>
      <c r="E527">
        <v>1</v>
      </c>
      <c r="F527">
        <v>1</v>
      </c>
      <c r="G527">
        <v>1</v>
      </c>
      <c r="H527">
        <v>3</v>
      </c>
      <c r="I527" t="s">
        <v>1071</v>
      </c>
      <c r="J527" t="s">
        <v>1072</v>
      </c>
      <c r="K527" t="s">
        <v>1073</v>
      </c>
      <c r="L527">
        <v>1346</v>
      </c>
      <c r="N527">
        <v>1009</v>
      </c>
      <c r="O527" t="s">
        <v>118</v>
      </c>
      <c r="P527" t="s">
        <v>118</v>
      </c>
      <c r="Q527">
        <v>1</v>
      </c>
      <c r="W527">
        <v>0</v>
      </c>
      <c r="X527">
        <v>2131496758</v>
      </c>
      <c r="Y527">
        <v>0.15</v>
      </c>
      <c r="AA527">
        <v>37.58</v>
      </c>
      <c r="AB527">
        <v>0</v>
      </c>
      <c r="AC527">
        <v>0</v>
      </c>
      <c r="AD527">
        <v>0</v>
      </c>
      <c r="AE527">
        <v>6.09</v>
      </c>
      <c r="AF527">
        <v>0</v>
      </c>
      <c r="AG527">
        <v>0</v>
      </c>
      <c r="AH527">
        <v>0</v>
      </c>
      <c r="AI527">
        <v>6.17</v>
      </c>
      <c r="AJ527">
        <v>1</v>
      </c>
      <c r="AK527">
        <v>1</v>
      </c>
      <c r="AL527">
        <v>1</v>
      </c>
      <c r="AN527">
        <v>0</v>
      </c>
      <c r="AO527">
        <v>1</v>
      </c>
      <c r="AP527">
        <v>0</v>
      </c>
      <c r="AQ527">
        <v>0</v>
      </c>
      <c r="AR527">
        <v>0</v>
      </c>
      <c r="AS527" t="s">
        <v>6</v>
      </c>
      <c r="AT527">
        <v>0.15</v>
      </c>
      <c r="AU527" t="s">
        <v>6</v>
      </c>
      <c r="AV527">
        <v>0</v>
      </c>
      <c r="AW527">
        <v>2</v>
      </c>
      <c r="AX527">
        <v>31029868</v>
      </c>
      <c r="AY527">
        <v>1</v>
      </c>
      <c r="AZ527">
        <v>0</v>
      </c>
      <c r="BA527">
        <v>552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CX527">
        <f>Y527*Source!I239</f>
        <v>2.2499999999999999E-2</v>
      </c>
      <c r="CY527">
        <f t="shared" si="107"/>
        <v>37.58</v>
      </c>
      <c r="CZ527">
        <f t="shared" si="108"/>
        <v>6.09</v>
      </c>
      <c r="DA527">
        <f t="shared" si="109"/>
        <v>6.17</v>
      </c>
      <c r="DB527">
        <f t="shared" si="110"/>
        <v>0.91</v>
      </c>
      <c r="DC527">
        <f t="shared" si="111"/>
        <v>0</v>
      </c>
    </row>
    <row r="528" spans="1:107">
      <c r="A528">
        <f>ROW(Source!A239)</f>
        <v>239</v>
      </c>
      <c r="B528">
        <v>31028412</v>
      </c>
      <c r="C528">
        <v>31029844</v>
      </c>
      <c r="D528">
        <v>29158139</v>
      </c>
      <c r="E528">
        <v>1</v>
      </c>
      <c r="F528">
        <v>1</v>
      </c>
      <c r="G528">
        <v>1</v>
      </c>
      <c r="H528">
        <v>3</v>
      </c>
      <c r="I528" t="s">
        <v>1144</v>
      </c>
      <c r="J528" t="s">
        <v>1145</v>
      </c>
      <c r="K528" t="s">
        <v>1146</v>
      </c>
      <c r="L528">
        <v>1339</v>
      </c>
      <c r="N528">
        <v>1007</v>
      </c>
      <c r="O528" t="s">
        <v>109</v>
      </c>
      <c r="P528" t="s">
        <v>109</v>
      </c>
      <c r="Q528">
        <v>1</v>
      </c>
      <c r="W528">
        <v>0</v>
      </c>
      <c r="X528">
        <v>-614526674</v>
      </c>
      <c r="Y528">
        <v>0.17</v>
      </c>
      <c r="AA528">
        <v>12258.56</v>
      </c>
      <c r="AB528">
        <v>0</v>
      </c>
      <c r="AC528">
        <v>0</v>
      </c>
      <c r="AD528">
        <v>0</v>
      </c>
      <c r="AE528">
        <v>1986.8</v>
      </c>
      <c r="AF528">
        <v>0</v>
      </c>
      <c r="AG528">
        <v>0</v>
      </c>
      <c r="AH528">
        <v>0</v>
      </c>
      <c r="AI528">
        <v>6.17</v>
      </c>
      <c r="AJ528">
        <v>1</v>
      </c>
      <c r="AK528">
        <v>1</v>
      </c>
      <c r="AL528">
        <v>1</v>
      </c>
      <c r="AN528">
        <v>0</v>
      </c>
      <c r="AO528">
        <v>1</v>
      </c>
      <c r="AP528">
        <v>0</v>
      </c>
      <c r="AQ528">
        <v>0</v>
      </c>
      <c r="AR528">
        <v>0</v>
      </c>
      <c r="AS528" t="s">
        <v>6</v>
      </c>
      <c r="AT528">
        <v>0.17</v>
      </c>
      <c r="AU528" t="s">
        <v>6</v>
      </c>
      <c r="AV528">
        <v>0</v>
      </c>
      <c r="AW528">
        <v>2</v>
      </c>
      <c r="AX528">
        <v>31029869</v>
      </c>
      <c r="AY528">
        <v>1</v>
      </c>
      <c r="AZ528">
        <v>0</v>
      </c>
      <c r="BA528">
        <v>553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CX528">
        <f>Y528*Source!I239</f>
        <v>2.5500000000000002E-2</v>
      </c>
      <c r="CY528">
        <f t="shared" si="107"/>
        <v>12258.56</v>
      </c>
      <c r="CZ528">
        <f t="shared" si="108"/>
        <v>1986.8</v>
      </c>
      <c r="DA528">
        <f t="shared" si="109"/>
        <v>6.17</v>
      </c>
      <c r="DB528">
        <f t="shared" si="110"/>
        <v>337.76</v>
      </c>
      <c r="DC528">
        <f t="shared" si="111"/>
        <v>0</v>
      </c>
    </row>
    <row r="529" spans="1:107">
      <c r="A529">
        <f>ROW(Source!A239)</f>
        <v>239</v>
      </c>
      <c r="B529">
        <v>31028412</v>
      </c>
      <c r="C529">
        <v>31029844</v>
      </c>
      <c r="D529">
        <v>29158714</v>
      </c>
      <c r="E529">
        <v>1</v>
      </c>
      <c r="F529">
        <v>1</v>
      </c>
      <c r="G529">
        <v>1</v>
      </c>
      <c r="H529">
        <v>3</v>
      </c>
      <c r="I529" t="s">
        <v>1147</v>
      </c>
      <c r="J529" t="s">
        <v>1148</v>
      </c>
      <c r="K529" t="s">
        <v>1149</v>
      </c>
      <c r="L529">
        <v>1301</v>
      </c>
      <c r="N529">
        <v>1003</v>
      </c>
      <c r="O529" t="s">
        <v>315</v>
      </c>
      <c r="P529" t="s">
        <v>315</v>
      </c>
      <c r="Q529">
        <v>1</v>
      </c>
      <c r="W529">
        <v>0</v>
      </c>
      <c r="X529">
        <v>198392040</v>
      </c>
      <c r="Y529">
        <v>11.3</v>
      </c>
      <c r="AA529">
        <v>160.22999999999999</v>
      </c>
      <c r="AB529">
        <v>0</v>
      </c>
      <c r="AC529">
        <v>0</v>
      </c>
      <c r="AD529">
        <v>0</v>
      </c>
      <c r="AE529">
        <v>25.97</v>
      </c>
      <c r="AF529">
        <v>0</v>
      </c>
      <c r="AG529">
        <v>0</v>
      </c>
      <c r="AH529">
        <v>0</v>
      </c>
      <c r="AI529">
        <v>6.17</v>
      </c>
      <c r="AJ529">
        <v>1</v>
      </c>
      <c r="AK529">
        <v>1</v>
      </c>
      <c r="AL529">
        <v>1</v>
      </c>
      <c r="AN529">
        <v>0</v>
      </c>
      <c r="AO529">
        <v>1</v>
      </c>
      <c r="AP529">
        <v>0</v>
      </c>
      <c r="AQ529">
        <v>0</v>
      </c>
      <c r="AR529">
        <v>0</v>
      </c>
      <c r="AS529" t="s">
        <v>6</v>
      </c>
      <c r="AT529">
        <v>11.3</v>
      </c>
      <c r="AU529" t="s">
        <v>6</v>
      </c>
      <c r="AV529">
        <v>0</v>
      </c>
      <c r="AW529">
        <v>2</v>
      </c>
      <c r="AX529">
        <v>31029870</v>
      </c>
      <c r="AY529">
        <v>1</v>
      </c>
      <c r="AZ529">
        <v>0</v>
      </c>
      <c r="BA529">
        <v>554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CX529">
        <f>Y529*Source!I239</f>
        <v>1.6950000000000001</v>
      </c>
      <c r="CY529">
        <f t="shared" si="107"/>
        <v>160.22999999999999</v>
      </c>
      <c r="CZ529">
        <f t="shared" si="108"/>
        <v>25.97</v>
      </c>
      <c r="DA529">
        <f t="shared" si="109"/>
        <v>6.17</v>
      </c>
      <c r="DB529">
        <f t="shared" si="110"/>
        <v>293.45999999999998</v>
      </c>
      <c r="DC529">
        <f t="shared" si="111"/>
        <v>0</v>
      </c>
    </row>
    <row r="530" spans="1:107">
      <c r="A530">
        <f>ROW(Source!A239)</f>
        <v>239</v>
      </c>
      <c r="B530">
        <v>31028412</v>
      </c>
      <c r="C530">
        <v>31029844</v>
      </c>
      <c r="D530">
        <v>29172317</v>
      </c>
      <c r="E530">
        <v>1</v>
      </c>
      <c r="F530">
        <v>1</v>
      </c>
      <c r="G530">
        <v>1</v>
      </c>
      <c r="H530">
        <v>3</v>
      </c>
      <c r="I530" t="s">
        <v>1150</v>
      </c>
      <c r="J530" t="s">
        <v>1151</v>
      </c>
      <c r="K530" t="s">
        <v>1152</v>
      </c>
      <c r="L530">
        <v>1327</v>
      </c>
      <c r="N530">
        <v>1005</v>
      </c>
      <c r="O530" t="s">
        <v>284</v>
      </c>
      <c r="P530" t="s">
        <v>284</v>
      </c>
      <c r="Q530">
        <v>1</v>
      </c>
      <c r="W530">
        <v>0</v>
      </c>
      <c r="X530">
        <v>-1328542767</v>
      </c>
      <c r="Y530">
        <v>14.4</v>
      </c>
      <c r="AA530">
        <v>219.22</v>
      </c>
      <c r="AB530">
        <v>0</v>
      </c>
      <c r="AC530">
        <v>0</v>
      </c>
      <c r="AD530">
        <v>0</v>
      </c>
      <c r="AE530">
        <v>35.53</v>
      </c>
      <c r="AF530">
        <v>0</v>
      </c>
      <c r="AG530">
        <v>0</v>
      </c>
      <c r="AH530">
        <v>0</v>
      </c>
      <c r="AI530">
        <v>6.17</v>
      </c>
      <c r="AJ530">
        <v>1</v>
      </c>
      <c r="AK530">
        <v>1</v>
      </c>
      <c r="AL530">
        <v>1</v>
      </c>
      <c r="AN530">
        <v>0</v>
      </c>
      <c r="AO530">
        <v>1</v>
      </c>
      <c r="AP530">
        <v>0</v>
      </c>
      <c r="AQ530">
        <v>0</v>
      </c>
      <c r="AR530">
        <v>0</v>
      </c>
      <c r="AS530" t="s">
        <v>6</v>
      </c>
      <c r="AT530">
        <v>14.4</v>
      </c>
      <c r="AU530" t="s">
        <v>6</v>
      </c>
      <c r="AV530">
        <v>0</v>
      </c>
      <c r="AW530">
        <v>2</v>
      </c>
      <c r="AX530">
        <v>31029871</v>
      </c>
      <c r="AY530">
        <v>1</v>
      </c>
      <c r="AZ530">
        <v>0</v>
      </c>
      <c r="BA530">
        <v>555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  <c r="CX530">
        <f>Y530*Source!I239</f>
        <v>2.16</v>
      </c>
      <c r="CY530">
        <f t="shared" si="107"/>
        <v>219.22</v>
      </c>
      <c r="CZ530">
        <f t="shared" si="108"/>
        <v>35.53</v>
      </c>
      <c r="DA530">
        <f t="shared" si="109"/>
        <v>6.17</v>
      </c>
      <c r="DB530">
        <f t="shared" si="110"/>
        <v>511.63</v>
      </c>
      <c r="DC530">
        <f t="shared" si="111"/>
        <v>0</v>
      </c>
    </row>
    <row r="531" spans="1:107">
      <c r="A531">
        <f>ROW(Source!A239)</f>
        <v>239</v>
      </c>
      <c r="B531">
        <v>31028412</v>
      </c>
      <c r="C531">
        <v>31029844</v>
      </c>
      <c r="D531">
        <v>29173169</v>
      </c>
      <c r="E531">
        <v>1</v>
      </c>
      <c r="F531">
        <v>1</v>
      </c>
      <c r="G531">
        <v>1</v>
      </c>
      <c r="H531">
        <v>3</v>
      </c>
      <c r="I531" t="s">
        <v>1153</v>
      </c>
      <c r="J531" t="s">
        <v>1154</v>
      </c>
      <c r="K531" t="s">
        <v>1155</v>
      </c>
      <c r="L531">
        <v>1348</v>
      </c>
      <c r="N531">
        <v>1009</v>
      </c>
      <c r="O531" t="s">
        <v>137</v>
      </c>
      <c r="P531" t="s">
        <v>137</v>
      </c>
      <c r="Q531">
        <v>1000</v>
      </c>
      <c r="W531">
        <v>0</v>
      </c>
      <c r="X531">
        <v>1031943304</v>
      </c>
      <c r="Y531">
        <v>0.47</v>
      </c>
      <c r="AA531">
        <v>27925.42</v>
      </c>
      <c r="AB531">
        <v>0</v>
      </c>
      <c r="AC531">
        <v>0</v>
      </c>
      <c r="AD531">
        <v>0</v>
      </c>
      <c r="AE531">
        <v>4526</v>
      </c>
      <c r="AF531">
        <v>0</v>
      </c>
      <c r="AG531">
        <v>0</v>
      </c>
      <c r="AH531">
        <v>0</v>
      </c>
      <c r="AI531">
        <v>6.17</v>
      </c>
      <c r="AJ531">
        <v>1</v>
      </c>
      <c r="AK531">
        <v>1</v>
      </c>
      <c r="AL531">
        <v>1</v>
      </c>
      <c r="AN531">
        <v>0</v>
      </c>
      <c r="AO531">
        <v>1</v>
      </c>
      <c r="AP531">
        <v>0</v>
      </c>
      <c r="AQ531">
        <v>0</v>
      </c>
      <c r="AR531">
        <v>0</v>
      </c>
      <c r="AS531" t="s">
        <v>6</v>
      </c>
      <c r="AT531">
        <v>0.47</v>
      </c>
      <c r="AU531" t="s">
        <v>6</v>
      </c>
      <c r="AV531">
        <v>0</v>
      </c>
      <c r="AW531">
        <v>2</v>
      </c>
      <c r="AX531">
        <v>31029872</v>
      </c>
      <c r="AY531">
        <v>1</v>
      </c>
      <c r="AZ531">
        <v>0</v>
      </c>
      <c r="BA531">
        <v>556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CX531">
        <f>Y531*Source!I239</f>
        <v>7.0499999999999993E-2</v>
      </c>
      <c r="CY531">
        <f t="shared" si="107"/>
        <v>27925.42</v>
      </c>
      <c r="CZ531">
        <f t="shared" si="108"/>
        <v>4526</v>
      </c>
      <c r="DA531">
        <f t="shared" si="109"/>
        <v>6.17</v>
      </c>
      <c r="DB531">
        <f t="shared" si="110"/>
        <v>2127.2199999999998</v>
      </c>
      <c r="DC531">
        <f t="shared" si="111"/>
        <v>0</v>
      </c>
    </row>
    <row r="532" spans="1:107">
      <c r="A532">
        <f>ROW(Source!A240)</f>
        <v>240</v>
      </c>
      <c r="B532">
        <v>31028412</v>
      </c>
      <c r="C532">
        <v>31029873</v>
      </c>
      <c r="D532">
        <v>29084607</v>
      </c>
      <c r="E532">
        <v>1</v>
      </c>
      <c r="F532">
        <v>1</v>
      </c>
      <c r="G532">
        <v>1</v>
      </c>
      <c r="H532">
        <v>1</v>
      </c>
      <c r="I532" t="s">
        <v>1156</v>
      </c>
      <c r="J532" t="s">
        <v>6</v>
      </c>
      <c r="K532" t="s">
        <v>1157</v>
      </c>
      <c r="L532">
        <v>1369</v>
      </c>
      <c r="N532">
        <v>1013</v>
      </c>
      <c r="O532" t="s">
        <v>773</v>
      </c>
      <c r="P532" t="s">
        <v>773</v>
      </c>
      <c r="Q532">
        <v>1</v>
      </c>
      <c r="W532">
        <v>0</v>
      </c>
      <c r="X532">
        <v>1541214617</v>
      </c>
      <c r="Y532">
        <v>7.0224749999999982</v>
      </c>
      <c r="AA532">
        <v>0</v>
      </c>
      <c r="AB532">
        <v>0</v>
      </c>
      <c r="AC532">
        <v>0</v>
      </c>
      <c r="AD532">
        <v>248.98</v>
      </c>
      <c r="AE532">
        <v>0</v>
      </c>
      <c r="AF532">
        <v>0</v>
      </c>
      <c r="AG532">
        <v>0</v>
      </c>
      <c r="AH532">
        <v>10.28</v>
      </c>
      <c r="AI532">
        <v>1</v>
      </c>
      <c r="AJ532">
        <v>1</v>
      </c>
      <c r="AK532">
        <v>1</v>
      </c>
      <c r="AL532">
        <v>24.22</v>
      </c>
      <c r="AN532">
        <v>0</v>
      </c>
      <c r="AO532">
        <v>1</v>
      </c>
      <c r="AP532">
        <v>1</v>
      </c>
      <c r="AQ532">
        <v>0</v>
      </c>
      <c r="AR532">
        <v>0</v>
      </c>
      <c r="AS532" t="s">
        <v>6</v>
      </c>
      <c r="AT532">
        <v>5.31</v>
      </c>
      <c r="AU532" t="s">
        <v>127</v>
      </c>
      <c r="AV532">
        <v>1</v>
      </c>
      <c r="AW532">
        <v>2</v>
      </c>
      <c r="AX532">
        <v>31029882</v>
      </c>
      <c r="AY532">
        <v>1</v>
      </c>
      <c r="AZ532">
        <v>0</v>
      </c>
      <c r="BA532">
        <v>557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CX532">
        <f>Y532*Source!I240</f>
        <v>0.91292174999999975</v>
      </c>
      <c r="CY532">
        <f>AD532</f>
        <v>248.98</v>
      </c>
      <c r="CZ532">
        <f>AH532</f>
        <v>10.28</v>
      </c>
      <c r="DA532">
        <f>AL532</f>
        <v>24.22</v>
      </c>
      <c r="DB532">
        <f>ROUND((ROUND(AT532*CZ532,2)*ROUND((1.15*1.15),7)),6)</f>
        <v>72.195274999999995</v>
      </c>
      <c r="DC532">
        <f>ROUND((ROUND(AT532*AG532,2)*ROUND((1.15*1.15),7)),6)</f>
        <v>0</v>
      </c>
    </row>
    <row r="533" spans="1:107">
      <c r="A533">
        <f>ROW(Source!A240)</f>
        <v>240</v>
      </c>
      <c r="B533">
        <v>31028412</v>
      </c>
      <c r="C533">
        <v>31029873</v>
      </c>
      <c r="D533">
        <v>29084573</v>
      </c>
      <c r="E533">
        <v>1</v>
      </c>
      <c r="F533">
        <v>1</v>
      </c>
      <c r="G533">
        <v>1</v>
      </c>
      <c r="H533">
        <v>1</v>
      </c>
      <c r="I533" t="s">
        <v>774</v>
      </c>
      <c r="J533" t="s">
        <v>6</v>
      </c>
      <c r="K533" t="s">
        <v>775</v>
      </c>
      <c r="L533">
        <v>608254</v>
      </c>
      <c r="N533">
        <v>1013</v>
      </c>
      <c r="O533" t="s">
        <v>776</v>
      </c>
      <c r="P533" t="s">
        <v>776</v>
      </c>
      <c r="Q533">
        <v>1</v>
      </c>
      <c r="W533">
        <v>0</v>
      </c>
      <c r="X533">
        <v>95408949</v>
      </c>
      <c r="Y533">
        <v>1.4374999999999999E-2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1</v>
      </c>
      <c r="AJ533">
        <v>1</v>
      </c>
      <c r="AK533">
        <v>24.22</v>
      </c>
      <c r="AL533">
        <v>1</v>
      </c>
      <c r="AN533">
        <v>0</v>
      </c>
      <c r="AO533">
        <v>1</v>
      </c>
      <c r="AP533">
        <v>1</v>
      </c>
      <c r="AQ533">
        <v>0</v>
      </c>
      <c r="AR533">
        <v>0</v>
      </c>
      <c r="AS533" t="s">
        <v>6</v>
      </c>
      <c r="AT533">
        <v>0.01</v>
      </c>
      <c r="AU533" t="s">
        <v>521</v>
      </c>
      <c r="AV533">
        <v>2</v>
      </c>
      <c r="AW533">
        <v>2</v>
      </c>
      <c r="AX533">
        <v>31029883</v>
      </c>
      <c r="AY533">
        <v>1</v>
      </c>
      <c r="AZ533">
        <v>0</v>
      </c>
      <c r="BA533">
        <v>558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0</v>
      </c>
      <c r="CX533">
        <f>Y533*Source!I240</f>
        <v>1.86875E-3</v>
      </c>
      <c r="CY533">
        <f>AD533</f>
        <v>0</v>
      </c>
      <c r="CZ533">
        <f>AH533</f>
        <v>0</v>
      </c>
      <c r="DA533">
        <f>AL533</f>
        <v>1</v>
      </c>
      <c r="DB533">
        <f>ROUND((ROUND(AT533*CZ533,2)*ROUND((1.15*1.25),7)),6)</f>
        <v>0</v>
      </c>
      <c r="DC533">
        <f>ROUND((ROUND(AT533*AG533,2)*ROUND((1.15*1.25),7)),6)</f>
        <v>0</v>
      </c>
    </row>
    <row r="534" spans="1:107">
      <c r="A534">
        <f>ROW(Source!A240)</f>
        <v>240</v>
      </c>
      <c r="B534">
        <v>31028412</v>
      </c>
      <c r="C534">
        <v>31029873</v>
      </c>
      <c r="D534">
        <v>29147673</v>
      </c>
      <c r="E534">
        <v>1</v>
      </c>
      <c r="F534">
        <v>1</v>
      </c>
      <c r="G534">
        <v>1</v>
      </c>
      <c r="H534">
        <v>2</v>
      </c>
      <c r="I534" t="s">
        <v>924</v>
      </c>
      <c r="J534" t="s">
        <v>925</v>
      </c>
      <c r="K534" t="s">
        <v>926</v>
      </c>
      <c r="L534">
        <v>1368</v>
      </c>
      <c r="N534">
        <v>1011</v>
      </c>
      <c r="O534" t="s">
        <v>780</v>
      </c>
      <c r="P534" t="s">
        <v>780</v>
      </c>
      <c r="Q534">
        <v>1</v>
      </c>
      <c r="W534">
        <v>0</v>
      </c>
      <c r="X534">
        <v>-149788903</v>
      </c>
      <c r="Y534">
        <v>1.4374999999999999E-2</v>
      </c>
      <c r="AA534">
        <v>0</v>
      </c>
      <c r="AB534">
        <v>748.34</v>
      </c>
      <c r="AC534">
        <v>235.18</v>
      </c>
      <c r="AD534">
        <v>0</v>
      </c>
      <c r="AE534">
        <v>0</v>
      </c>
      <c r="AF534">
        <v>97.95</v>
      </c>
      <c r="AG534">
        <v>9.7100000000000009</v>
      </c>
      <c r="AH534">
        <v>0</v>
      </c>
      <c r="AI534">
        <v>1</v>
      </c>
      <c r="AJ534">
        <v>7.64</v>
      </c>
      <c r="AK534">
        <v>24.22</v>
      </c>
      <c r="AL534">
        <v>1</v>
      </c>
      <c r="AN534">
        <v>0</v>
      </c>
      <c r="AO534">
        <v>1</v>
      </c>
      <c r="AP534">
        <v>1</v>
      </c>
      <c r="AQ534">
        <v>0</v>
      </c>
      <c r="AR534">
        <v>0</v>
      </c>
      <c r="AS534" t="s">
        <v>6</v>
      </c>
      <c r="AT534">
        <v>0.01</v>
      </c>
      <c r="AU534" t="s">
        <v>521</v>
      </c>
      <c r="AV534">
        <v>0</v>
      </c>
      <c r="AW534">
        <v>2</v>
      </c>
      <c r="AX534">
        <v>31029884</v>
      </c>
      <c r="AY534">
        <v>1</v>
      </c>
      <c r="AZ534">
        <v>0</v>
      </c>
      <c r="BA534">
        <v>559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  <c r="CX534">
        <f>Y534*Source!I240</f>
        <v>1.86875E-3</v>
      </c>
      <c r="CY534">
        <f>AB534</f>
        <v>748.34</v>
      </c>
      <c r="CZ534">
        <f>AF534</f>
        <v>97.95</v>
      </c>
      <c r="DA534">
        <f>AJ534</f>
        <v>7.64</v>
      </c>
      <c r="DB534">
        <f>ROUND((ROUND(AT534*CZ534,2)*ROUND((1.15*1.25),7)),6)</f>
        <v>1.4087499999999999</v>
      </c>
      <c r="DC534">
        <f>ROUND((ROUND(AT534*AG534,2)*ROUND((1.15*1.25),7)),6)</f>
        <v>0.14374999999999999</v>
      </c>
    </row>
    <row r="535" spans="1:107">
      <c r="A535">
        <f>ROW(Source!A240)</f>
        <v>240</v>
      </c>
      <c r="B535">
        <v>31028412</v>
      </c>
      <c r="C535">
        <v>31029873</v>
      </c>
      <c r="D535">
        <v>29147697</v>
      </c>
      <c r="E535">
        <v>1</v>
      </c>
      <c r="F535">
        <v>1</v>
      </c>
      <c r="G535">
        <v>1</v>
      </c>
      <c r="H535">
        <v>2</v>
      </c>
      <c r="I535" t="s">
        <v>822</v>
      </c>
      <c r="J535" t="s">
        <v>823</v>
      </c>
      <c r="K535" t="s">
        <v>824</v>
      </c>
      <c r="L535">
        <v>1368</v>
      </c>
      <c r="N535">
        <v>1011</v>
      </c>
      <c r="O535" t="s">
        <v>780</v>
      </c>
      <c r="P535" t="s">
        <v>780</v>
      </c>
      <c r="Q535">
        <v>1</v>
      </c>
      <c r="W535">
        <v>0</v>
      </c>
      <c r="X535">
        <v>-1933197009</v>
      </c>
      <c r="Y535">
        <v>1.4374999999999999E-2</v>
      </c>
      <c r="AA535">
        <v>0</v>
      </c>
      <c r="AB535">
        <v>12.99</v>
      </c>
      <c r="AC535">
        <v>0</v>
      </c>
      <c r="AD535">
        <v>0</v>
      </c>
      <c r="AE535">
        <v>0</v>
      </c>
      <c r="AF535">
        <v>1.7</v>
      </c>
      <c r="AG535">
        <v>0</v>
      </c>
      <c r="AH535">
        <v>0</v>
      </c>
      <c r="AI535">
        <v>1</v>
      </c>
      <c r="AJ535">
        <v>7.64</v>
      </c>
      <c r="AK535">
        <v>24.22</v>
      </c>
      <c r="AL535">
        <v>1</v>
      </c>
      <c r="AN535">
        <v>0</v>
      </c>
      <c r="AO535">
        <v>1</v>
      </c>
      <c r="AP535">
        <v>1</v>
      </c>
      <c r="AQ535">
        <v>0</v>
      </c>
      <c r="AR535">
        <v>0</v>
      </c>
      <c r="AS535" t="s">
        <v>6</v>
      </c>
      <c r="AT535">
        <v>0.01</v>
      </c>
      <c r="AU535" t="s">
        <v>521</v>
      </c>
      <c r="AV535">
        <v>0</v>
      </c>
      <c r="AW535">
        <v>2</v>
      </c>
      <c r="AX535">
        <v>31029885</v>
      </c>
      <c r="AY535">
        <v>1</v>
      </c>
      <c r="AZ535">
        <v>0</v>
      </c>
      <c r="BA535">
        <v>560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CX535">
        <f>Y535*Source!I240</f>
        <v>1.86875E-3</v>
      </c>
      <c r="CY535">
        <f>AB535</f>
        <v>12.99</v>
      </c>
      <c r="CZ535">
        <f>AF535</f>
        <v>1.7</v>
      </c>
      <c r="DA535">
        <f>AJ535</f>
        <v>7.64</v>
      </c>
      <c r="DB535">
        <f>ROUND((ROUND(AT535*CZ535,2)*ROUND((1.15*1.25),7)),6)</f>
        <v>2.8750000000000001E-2</v>
      </c>
      <c r="DC535">
        <f>ROUND((ROUND(AT535*AG535,2)*ROUND((1.15*1.25),7)),6)</f>
        <v>0</v>
      </c>
    </row>
    <row r="536" spans="1:107">
      <c r="A536">
        <f>ROW(Source!A240)</f>
        <v>240</v>
      </c>
      <c r="B536">
        <v>31028412</v>
      </c>
      <c r="C536">
        <v>31029873</v>
      </c>
      <c r="D536">
        <v>29149310</v>
      </c>
      <c r="E536">
        <v>1</v>
      </c>
      <c r="F536">
        <v>1</v>
      </c>
      <c r="G536">
        <v>1</v>
      </c>
      <c r="H536">
        <v>2</v>
      </c>
      <c r="I536" t="s">
        <v>1029</v>
      </c>
      <c r="J536" t="s">
        <v>1030</v>
      </c>
      <c r="K536" t="s">
        <v>1031</v>
      </c>
      <c r="L536">
        <v>1368</v>
      </c>
      <c r="N536">
        <v>1011</v>
      </c>
      <c r="O536" t="s">
        <v>780</v>
      </c>
      <c r="P536" t="s">
        <v>780</v>
      </c>
      <c r="Q536">
        <v>1</v>
      </c>
      <c r="W536">
        <v>0</v>
      </c>
      <c r="X536">
        <v>-492487493</v>
      </c>
      <c r="Y536">
        <v>1.61</v>
      </c>
      <c r="AA536">
        <v>0</v>
      </c>
      <c r="AB536">
        <v>52.1</v>
      </c>
      <c r="AC536">
        <v>0</v>
      </c>
      <c r="AD536">
        <v>0</v>
      </c>
      <c r="AE536">
        <v>0</v>
      </c>
      <c r="AF536">
        <v>6.82</v>
      </c>
      <c r="AG536">
        <v>0</v>
      </c>
      <c r="AH536">
        <v>0</v>
      </c>
      <c r="AI536">
        <v>1</v>
      </c>
      <c r="AJ536">
        <v>7.64</v>
      </c>
      <c r="AK536">
        <v>24.22</v>
      </c>
      <c r="AL536">
        <v>1</v>
      </c>
      <c r="AN536">
        <v>0</v>
      </c>
      <c r="AO536">
        <v>1</v>
      </c>
      <c r="AP536">
        <v>1</v>
      </c>
      <c r="AQ536">
        <v>0</v>
      </c>
      <c r="AR536">
        <v>0</v>
      </c>
      <c r="AS536" t="s">
        <v>6</v>
      </c>
      <c r="AT536">
        <v>1.1200000000000001</v>
      </c>
      <c r="AU536" t="s">
        <v>521</v>
      </c>
      <c r="AV536">
        <v>0</v>
      </c>
      <c r="AW536">
        <v>2</v>
      </c>
      <c r="AX536">
        <v>31029886</v>
      </c>
      <c r="AY536">
        <v>1</v>
      </c>
      <c r="AZ536">
        <v>0</v>
      </c>
      <c r="BA536">
        <v>561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CX536">
        <f>Y536*Source!I240</f>
        <v>0.20930000000000001</v>
      </c>
      <c r="CY536">
        <f>AB536</f>
        <v>52.1</v>
      </c>
      <c r="CZ536">
        <f>AF536</f>
        <v>6.82</v>
      </c>
      <c r="DA536">
        <f>AJ536</f>
        <v>7.64</v>
      </c>
      <c r="DB536">
        <f>ROUND((ROUND(AT536*CZ536,2)*ROUND((1.15*1.25),7)),6)</f>
        <v>10.9825</v>
      </c>
      <c r="DC536">
        <f>ROUND((ROUND(AT536*AG536,2)*ROUND((1.15*1.25),7)),6)</f>
        <v>0</v>
      </c>
    </row>
    <row r="537" spans="1:107">
      <c r="A537">
        <f>ROW(Source!A240)</f>
        <v>240</v>
      </c>
      <c r="B537">
        <v>31028412</v>
      </c>
      <c r="C537">
        <v>31029873</v>
      </c>
      <c r="D537">
        <v>29149520</v>
      </c>
      <c r="E537">
        <v>1</v>
      </c>
      <c r="F537">
        <v>1</v>
      </c>
      <c r="G537">
        <v>1</v>
      </c>
      <c r="H537">
        <v>2</v>
      </c>
      <c r="I537" t="s">
        <v>790</v>
      </c>
      <c r="J537" t="s">
        <v>791</v>
      </c>
      <c r="K537" t="s">
        <v>792</v>
      </c>
      <c r="L537">
        <v>1368</v>
      </c>
      <c r="N537">
        <v>1011</v>
      </c>
      <c r="O537" t="s">
        <v>780</v>
      </c>
      <c r="P537" t="s">
        <v>780</v>
      </c>
      <c r="Q537">
        <v>1</v>
      </c>
      <c r="W537">
        <v>0</v>
      </c>
      <c r="X537">
        <v>-1931461795</v>
      </c>
      <c r="Y537">
        <v>1.4374999999999999E-2</v>
      </c>
      <c r="AA537">
        <v>0</v>
      </c>
      <c r="AB537">
        <v>699.98</v>
      </c>
      <c r="AC537">
        <v>0</v>
      </c>
      <c r="AD537">
        <v>0</v>
      </c>
      <c r="AE537">
        <v>0</v>
      </c>
      <c r="AF537">
        <v>91.62</v>
      </c>
      <c r="AG537">
        <v>0</v>
      </c>
      <c r="AH537">
        <v>0</v>
      </c>
      <c r="AI537">
        <v>1</v>
      </c>
      <c r="AJ537">
        <v>7.64</v>
      </c>
      <c r="AK537">
        <v>24.22</v>
      </c>
      <c r="AL537">
        <v>1</v>
      </c>
      <c r="AN537">
        <v>0</v>
      </c>
      <c r="AO537">
        <v>1</v>
      </c>
      <c r="AP537">
        <v>1</v>
      </c>
      <c r="AQ537">
        <v>0</v>
      </c>
      <c r="AR537">
        <v>0</v>
      </c>
      <c r="AS537" t="s">
        <v>6</v>
      </c>
      <c r="AT537">
        <v>0.01</v>
      </c>
      <c r="AU537" t="s">
        <v>521</v>
      </c>
      <c r="AV537">
        <v>0</v>
      </c>
      <c r="AW537">
        <v>2</v>
      </c>
      <c r="AX537">
        <v>31029887</v>
      </c>
      <c r="AY537">
        <v>1</v>
      </c>
      <c r="AZ537">
        <v>0</v>
      </c>
      <c r="BA537">
        <v>562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  <c r="CX537">
        <f>Y537*Source!I240</f>
        <v>1.86875E-3</v>
      </c>
      <c r="CY537">
        <f>AB537</f>
        <v>699.98</v>
      </c>
      <c r="CZ537">
        <f>AF537</f>
        <v>91.62</v>
      </c>
      <c r="DA537">
        <f>AJ537</f>
        <v>7.64</v>
      </c>
      <c r="DB537">
        <f>ROUND((ROUND(AT537*CZ537,2)*ROUND((1.15*1.25),7)),6)</f>
        <v>1.3225</v>
      </c>
      <c r="DC537">
        <f>ROUND((ROUND(AT537*AG537,2)*ROUND((1.15*1.25),7)),6)</f>
        <v>0</v>
      </c>
    </row>
    <row r="538" spans="1:107">
      <c r="A538">
        <f>ROW(Source!A240)</f>
        <v>240</v>
      </c>
      <c r="B538">
        <v>31028412</v>
      </c>
      <c r="C538">
        <v>31029873</v>
      </c>
      <c r="D538">
        <v>29164616</v>
      </c>
      <c r="E538">
        <v>1</v>
      </c>
      <c r="F538">
        <v>1</v>
      </c>
      <c r="G538">
        <v>1</v>
      </c>
      <c r="H538">
        <v>3</v>
      </c>
      <c r="I538" t="s">
        <v>1080</v>
      </c>
      <c r="J538" t="s">
        <v>1081</v>
      </c>
      <c r="K538" t="s">
        <v>1082</v>
      </c>
      <c r="L538">
        <v>1348</v>
      </c>
      <c r="N538">
        <v>1009</v>
      </c>
      <c r="O538" t="s">
        <v>137</v>
      </c>
      <c r="P538" t="s">
        <v>137</v>
      </c>
      <c r="Q538">
        <v>1000</v>
      </c>
      <c r="W538">
        <v>0</v>
      </c>
      <c r="X538">
        <v>172498338</v>
      </c>
      <c r="Y538">
        <v>1.2E-2</v>
      </c>
      <c r="AA538">
        <v>74496.58</v>
      </c>
      <c r="AB538">
        <v>0</v>
      </c>
      <c r="AC538">
        <v>0</v>
      </c>
      <c r="AD538">
        <v>0</v>
      </c>
      <c r="AE538">
        <v>12074</v>
      </c>
      <c r="AF538">
        <v>0</v>
      </c>
      <c r="AG538">
        <v>0</v>
      </c>
      <c r="AH538">
        <v>0</v>
      </c>
      <c r="AI538">
        <v>6.17</v>
      </c>
      <c r="AJ538">
        <v>1</v>
      </c>
      <c r="AK538">
        <v>1</v>
      </c>
      <c r="AL538">
        <v>1</v>
      </c>
      <c r="AN538">
        <v>0</v>
      </c>
      <c r="AO538">
        <v>1</v>
      </c>
      <c r="AP538">
        <v>0</v>
      </c>
      <c r="AQ538">
        <v>0</v>
      </c>
      <c r="AR538">
        <v>0</v>
      </c>
      <c r="AS538" t="s">
        <v>6</v>
      </c>
      <c r="AT538">
        <v>1.2E-2</v>
      </c>
      <c r="AU538" t="s">
        <v>6</v>
      </c>
      <c r="AV538">
        <v>0</v>
      </c>
      <c r="AW538">
        <v>2</v>
      </c>
      <c r="AX538">
        <v>31029888</v>
      </c>
      <c r="AY538">
        <v>1</v>
      </c>
      <c r="AZ538">
        <v>0</v>
      </c>
      <c r="BA538">
        <v>563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  <c r="CX538">
        <f>Y538*Source!I240</f>
        <v>1.5600000000000002E-3</v>
      </c>
      <c r="CY538">
        <f>AA538</f>
        <v>74496.58</v>
      </c>
      <c r="CZ538">
        <f>AE538</f>
        <v>12074</v>
      </c>
      <c r="DA538">
        <f>AI538</f>
        <v>6.17</v>
      </c>
      <c r="DB538">
        <f>ROUND(ROUND(AT538*CZ538,2),6)</f>
        <v>144.88999999999999</v>
      </c>
      <c r="DC538">
        <f>ROUND(ROUND(AT538*AG538,2),6)</f>
        <v>0</v>
      </c>
    </row>
    <row r="539" spans="1:107">
      <c r="A539">
        <f>ROW(Source!A240)</f>
        <v>240</v>
      </c>
      <c r="B539">
        <v>31028412</v>
      </c>
      <c r="C539">
        <v>31029873</v>
      </c>
      <c r="D539">
        <v>29164667</v>
      </c>
      <c r="E539">
        <v>1</v>
      </c>
      <c r="F539">
        <v>1</v>
      </c>
      <c r="G539">
        <v>1</v>
      </c>
      <c r="H539">
        <v>3</v>
      </c>
      <c r="I539" t="s">
        <v>1158</v>
      </c>
      <c r="J539" t="s">
        <v>1159</v>
      </c>
      <c r="K539" t="s">
        <v>1160</v>
      </c>
      <c r="L539">
        <v>1348</v>
      </c>
      <c r="N539">
        <v>1009</v>
      </c>
      <c r="O539" t="s">
        <v>137</v>
      </c>
      <c r="P539" t="s">
        <v>137</v>
      </c>
      <c r="Q539">
        <v>1000</v>
      </c>
      <c r="W539">
        <v>0</v>
      </c>
      <c r="X539">
        <v>-1321106841</v>
      </c>
      <c r="Y539">
        <v>2E-3</v>
      </c>
      <c r="AA539">
        <v>14076.3</v>
      </c>
      <c r="AB539">
        <v>0</v>
      </c>
      <c r="AC539">
        <v>0</v>
      </c>
      <c r="AD539">
        <v>0</v>
      </c>
      <c r="AE539">
        <v>2281.41</v>
      </c>
      <c r="AF539">
        <v>0</v>
      </c>
      <c r="AG539">
        <v>0</v>
      </c>
      <c r="AH539">
        <v>0</v>
      </c>
      <c r="AI539">
        <v>6.17</v>
      </c>
      <c r="AJ539">
        <v>1</v>
      </c>
      <c r="AK539">
        <v>1</v>
      </c>
      <c r="AL539">
        <v>1</v>
      </c>
      <c r="AN539">
        <v>0</v>
      </c>
      <c r="AO539">
        <v>1</v>
      </c>
      <c r="AP539">
        <v>0</v>
      </c>
      <c r="AQ539">
        <v>0</v>
      </c>
      <c r="AR539">
        <v>0</v>
      </c>
      <c r="AS539" t="s">
        <v>6</v>
      </c>
      <c r="AT539">
        <v>2E-3</v>
      </c>
      <c r="AU539" t="s">
        <v>6</v>
      </c>
      <c r="AV539">
        <v>0</v>
      </c>
      <c r="AW539">
        <v>2</v>
      </c>
      <c r="AX539">
        <v>31029889</v>
      </c>
      <c r="AY539">
        <v>1</v>
      </c>
      <c r="AZ539">
        <v>0</v>
      </c>
      <c r="BA539">
        <v>564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CX539">
        <f>Y539*Source!I240</f>
        <v>2.6000000000000003E-4</v>
      </c>
      <c r="CY539">
        <f>AA539</f>
        <v>14076.3</v>
      </c>
      <c r="CZ539">
        <f>AE539</f>
        <v>2281.41</v>
      </c>
      <c r="DA539">
        <f>AI539</f>
        <v>6.17</v>
      </c>
      <c r="DB539">
        <f>ROUND(ROUND(AT539*CZ539,2),6)</f>
        <v>4.5599999999999996</v>
      </c>
      <c r="DC539">
        <f>ROUND(ROUND(AT539*AG539,2),6)</f>
        <v>0</v>
      </c>
    </row>
    <row r="540" spans="1:107">
      <c r="A540">
        <f>ROW(Source!A241)</f>
        <v>241</v>
      </c>
      <c r="B540">
        <v>31028412</v>
      </c>
      <c r="C540">
        <v>31029890</v>
      </c>
      <c r="D540">
        <v>29084588</v>
      </c>
      <c r="E540">
        <v>1</v>
      </c>
      <c r="F540">
        <v>1</v>
      </c>
      <c r="G540">
        <v>1</v>
      </c>
      <c r="H540">
        <v>1</v>
      </c>
      <c r="I540" t="s">
        <v>909</v>
      </c>
      <c r="J540" t="s">
        <v>6</v>
      </c>
      <c r="K540" t="s">
        <v>910</v>
      </c>
      <c r="L540">
        <v>1369</v>
      </c>
      <c r="N540">
        <v>1013</v>
      </c>
      <c r="O540" t="s">
        <v>773</v>
      </c>
      <c r="P540" t="s">
        <v>773</v>
      </c>
      <c r="Q540">
        <v>1</v>
      </c>
      <c r="W540">
        <v>0</v>
      </c>
      <c r="X540">
        <v>-1990058995</v>
      </c>
      <c r="Y540">
        <v>285.42194999999998</v>
      </c>
      <c r="AA540">
        <v>0</v>
      </c>
      <c r="AB540">
        <v>0</v>
      </c>
      <c r="AC540">
        <v>0</v>
      </c>
      <c r="AD540">
        <v>212.17</v>
      </c>
      <c r="AE540">
        <v>0</v>
      </c>
      <c r="AF540">
        <v>0</v>
      </c>
      <c r="AG540">
        <v>0</v>
      </c>
      <c r="AH540">
        <v>8.76</v>
      </c>
      <c r="AI540">
        <v>1</v>
      </c>
      <c r="AJ540">
        <v>1</v>
      </c>
      <c r="AK540">
        <v>1</v>
      </c>
      <c r="AL540">
        <v>24.22</v>
      </c>
      <c r="AN540">
        <v>0</v>
      </c>
      <c r="AO540">
        <v>1</v>
      </c>
      <c r="AP540">
        <v>1</v>
      </c>
      <c r="AQ540">
        <v>0</v>
      </c>
      <c r="AR540">
        <v>0</v>
      </c>
      <c r="AS540" t="s">
        <v>6</v>
      </c>
      <c r="AT540">
        <v>215.82</v>
      </c>
      <c r="AU540" t="s">
        <v>127</v>
      </c>
      <c r="AV540">
        <v>1</v>
      </c>
      <c r="AW540">
        <v>2</v>
      </c>
      <c r="AX540">
        <v>31029896</v>
      </c>
      <c r="AY540">
        <v>1</v>
      </c>
      <c r="AZ540">
        <v>0</v>
      </c>
      <c r="BA540">
        <v>565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CX540">
        <f>Y540*Source!I241</f>
        <v>0.91335023999999998</v>
      </c>
      <c r="CY540">
        <f>AD540</f>
        <v>212.17</v>
      </c>
      <c r="CZ540">
        <f>AH540</f>
        <v>8.76</v>
      </c>
      <c r="DA540">
        <f>AL540</f>
        <v>24.22</v>
      </c>
      <c r="DB540">
        <f>ROUND((ROUND(AT540*CZ540,2)*ROUND((1.15*1.15),7)),6)</f>
        <v>2500.29205</v>
      </c>
      <c r="DC540">
        <f>ROUND((ROUND(AT540*AG540,2)*ROUND((1.15*1.15),7)),6)</f>
        <v>0</v>
      </c>
    </row>
    <row r="541" spans="1:107">
      <c r="A541">
        <f>ROW(Source!A241)</f>
        <v>241</v>
      </c>
      <c r="B541">
        <v>31028412</v>
      </c>
      <c r="C541">
        <v>31029890</v>
      </c>
      <c r="D541">
        <v>29084573</v>
      </c>
      <c r="E541">
        <v>1</v>
      </c>
      <c r="F541">
        <v>1</v>
      </c>
      <c r="G541">
        <v>1</v>
      </c>
      <c r="H541">
        <v>1</v>
      </c>
      <c r="I541" t="s">
        <v>774</v>
      </c>
      <c r="J541" t="s">
        <v>6</v>
      </c>
      <c r="K541" t="s">
        <v>775</v>
      </c>
      <c r="L541">
        <v>608254</v>
      </c>
      <c r="N541">
        <v>1013</v>
      </c>
      <c r="O541" t="s">
        <v>776</v>
      </c>
      <c r="P541" t="s">
        <v>776</v>
      </c>
      <c r="Q541">
        <v>1</v>
      </c>
      <c r="W541">
        <v>0</v>
      </c>
      <c r="X541">
        <v>95408949</v>
      </c>
      <c r="Y541">
        <v>0.21562499999999998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1</v>
      </c>
      <c r="AJ541">
        <v>1</v>
      </c>
      <c r="AK541">
        <v>24.22</v>
      </c>
      <c r="AL541">
        <v>1</v>
      </c>
      <c r="AN541">
        <v>0</v>
      </c>
      <c r="AO541">
        <v>1</v>
      </c>
      <c r="AP541">
        <v>1</v>
      </c>
      <c r="AQ541">
        <v>0</v>
      </c>
      <c r="AR541">
        <v>0</v>
      </c>
      <c r="AS541" t="s">
        <v>6</v>
      </c>
      <c r="AT541">
        <v>0.15</v>
      </c>
      <c r="AU541" t="s">
        <v>126</v>
      </c>
      <c r="AV541">
        <v>2</v>
      </c>
      <c r="AW541">
        <v>2</v>
      </c>
      <c r="AX541">
        <v>31029897</v>
      </c>
      <c r="AY541">
        <v>1</v>
      </c>
      <c r="AZ541">
        <v>0</v>
      </c>
      <c r="BA541">
        <v>566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  <c r="CX541">
        <f>Y541*Source!I241</f>
        <v>6.8999999999999997E-4</v>
      </c>
      <c r="CY541">
        <f>AD541</f>
        <v>0</v>
      </c>
      <c r="CZ541">
        <f>AH541</f>
        <v>0</v>
      </c>
      <c r="DA541">
        <f>AL541</f>
        <v>1</v>
      </c>
      <c r="DB541">
        <f>ROUND((ROUND(AT541*CZ541,2)*ROUND((1.25*1.15),7)),6)</f>
        <v>0</v>
      </c>
      <c r="DC541">
        <f>ROUND((ROUND(AT541*AG541,2)*ROUND((1.25*1.15),7)),6)</f>
        <v>0</v>
      </c>
    </row>
    <row r="542" spans="1:107">
      <c r="A542">
        <f>ROW(Source!A241)</f>
        <v>241</v>
      </c>
      <c r="B542">
        <v>31028412</v>
      </c>
      <c r="C542">
        <v>31029890</v>
      </c>
      <c r="D542">
        <v>29147601</v>
      </c>
      <c r="E542">
        <v>1</v>
      </c>
      <c r="F542">
        <v>1</v>
      </c>
      <c r="G542">
        <v>1</v>
      </c>
      <c r="H542">
        <v>2</v>
      </c>
      <c r="I542" t="s">
        <v>781</v>
      </c>
      <c r="J542" t="s">
        <v>782</v>
      </c>
      <c r="K542" t="s">
        <v>783</v>
      </c>
      <c r="L542">
        <v>1368</v>
      </c>
      <c r="N542">
        <v>1011</v>
      </c>
      <c r="O542" t="s">
        <v>780</v>
      </c>
      <c r="P542" t="s">
        <v>780</v>
      </c>
      <c r="Q542">
        <v>1</v>
      </c>
      <c r="W542">
        <v>0</v>
      </c>
      <c r="X542">
        <v>1170567961</v>
      </c>
      <c r="Y542">
        <v>0.21562499999999998</v>
      </c>
      <c r="AA542">
        <v>0</v>
      </c>
      <c r="AB542">
        <v>828.56</v>
      </c>
      <c r="AC542">
        <v>315.58999999999997</v>
      </c>
      <c r="AD542">
        <v>0</v>
      </c>
      <c r="AE542">
        <v>0</v>
      </c>
      <c r="AF542">
        <v>108.45</v>
      </c>
      <c r="AG542">
        <v>13.03</v>
      </c>
      <c r="AH542">
        <v>0</v>
      </c>
      <c r="AI542">
        <v>1</v>
      </c>
      <c r="AJ542">
        <v>7.64</v>
      </c>
      <c r="AK542">
        <v>24.22</v>
      </c>
      <c r="AL542">
        <v>1</v>
      </c>
      <c r="AN542">
        <v>0</v>
      </c>
      <c r="AO542">
        <v>1</v>
      </c>
      <c r="AP542">
        <v>1</v>
      </c>
      <c r="AQ542">
        <v>0</v>
      </c>
      <c r="AR542">
        <v>0</v>
      </c>
      <c r="AS542" t="s">
        <v>6</v>
      </c>
      <c r="AT542">
        <v>0.15</v>
      </c>
      <c r="AU542" t="s">
        <v>126</v>
      </c>
      <c r="AV542">
        <v>0</v>
      </c>
      <c r="AW542">
        <v>2</v>
      </c>
      <c r="AX542">
        <v>31029898</v>
      </c>
      <c r="AY542">
        <v>1</v>
      </c>
      <c r="AZ542">
        <v>0</v>
      </c>
      <c r="BA542">
        <v>567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0</v>
      </c>
      <c r="CX542">
        <f>Y542*Source!I241</f>
        <v>6.8999999999999997E-4</v>
      </c>
      <c r="CY542">
        <f>AB542</f>
        <v>828.56</v>
      </c>
      <c r="CZ542">
        <f>AF542</f>
        <v>108.45</v>
      </c>
      <c r="DA542">
        <f>AJ542</f>
        <v>7.64</v>
      </c>
      <c r="DB542">
        <f>ROUND((ROUND(AT542*CZ542,2)*ROUND((1.25*1.15),7)),6)</f>
        <v>23.388124999999999</v>
      </c>
      <c r="DC542">
        <f>ROUND((ROUND(AT542*AG542,2)*ROUND((1.25*1.15),7)),6)</f>
        <v>2.8031250000000001</v>
      </c>
    </row>
    <row r="543" spans="1:107">
      <c r="A543">
        <f>ROW(Source!A241)</f>
        <v>241</v>
      </c>
      <c r="B543">
        <v>31028412</v>
      </c>
      <c r="C543">
        <v>31029890</v>
      </c>
      <c r="D543">
        <v>29149520</v>
      </c>
      <c r="E543">
        <v>1</v>
      </c>
      <c r="F543">
        <v>1</v>
      </c>
      <c r="G543">
        <v>1</v>
      </c>
      <c r="H543">
        <v>2</v>
      </c>
      <c r="I543" t="s">
        <v>790</v>
      </c>
      <c r="J543" t="s">
        <v>791</v>
      </c>
      <c r="K543" t="s">
        <v>792</v>
      </c>
      <c r="L543">
        <v>1368</v>
      </c>
      <c r="N543">
        <v>1011</v>
      </c>
      <c r="O543" t="s">
        <v>780</v>
      </c>
      <c r="P543" t="s">
        <v>780</v>
      </c>
      <c r="Q543">
        <v>1</v>
      </c>
      <c r="W543">
        <v>0</v>
      </c>
      <c r="X543">
        <v>-1931461795</v>
      </c>
      <c r="Y543">
        <v>0.301875</v>
      </c>
      <c r="AA543">
        <v>0</v>
      </c>
      <c r="AB543">
        <v>699.98</v>
      </c>
      <c r="AC543">
        <v>0</v>
      </c>
      <c r="AD543">
        <v>0</v>
      </c>
      <c r="AE543">
        <v>0</v>
      </c>
      <c r="AF543">
        <v>91.62</v>
      </c>
      <c r="AG543">
        <v>0</v>
      </c>
      <c r="AH543">
        <v>0</v>
      </c>
      <c r="AI543">
        <v>1</v>
      </c>
      <c r="AJ543">
        <v>7.64</v>
      </c>
      <c r="AK543">
        <v>24.22</v>
      </c>
      <c r="AL543">
        <v>1</v>
      </c>
      <c r="AN543">
        <v>0</v>
      </c>
      <c r="AO543">
        <v>1</v>
      </c>
      <c r="AP543">
        <v>1</v>
      </c>
      <c r="AQ543">
        <v>0</v>
      </c>
      <c r="AR543">
        <v>0</v>
      </c>
      <c r="AS543" t="s">
        <v>6</v>
      </c>
      <c r="AT543">
        <v>0.21</v>
      </c>
      <c r="AU543" t="s">
        <v>126</v>
      </c>
      <c r="AV543">
        <v>0</v>
      </c>
      <c r="AW543">
        <v>2</v>
      </c>
      <c r="AX543">
        <v>31029899</v>
      </c>
      <c r="AY543">
        <v>1</v>
      </c>
      <c r="AZ543">
        <v>0</v>
      </c>
      <c r="BA543">
        <v>568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CX543">
        <f>Y543*Source!I241</f>
        <v>9.6600000000000006E-4</v>
      </c>
      <c r="CY543">
        <f>AB543</f>
        <v>699.98</v>
      </c>
      <c r="CZ543">
        <f>AF543</f>
        <v>91.62</v>
      </c>
      <c r="DA543">
        <f>AJ543</f>
        <v>7.64</v>
      </c>
      <c r="DB543">
        <f>ROUND((ROUND(AT543*CZ543,2)*ROUND((1.25*1.15),7)),6)</f>
        <v>27.657499999999999</v>
      </c>
      <c r="DC543">
        <f>ROUND((ROUND(AT543*AG543,2)*ROUND((1.25*1.15),7)),6)</f>
        <v>0</v>
      </c>
    </row>
    <row r="544" spans="1:107">
      <c r="A544">
        <f>ROW(Source!A241)</f>
        <v>241</v>
      </c>
      <c r="B544">
        <v>31028412</v>
      </c>
      <c r="C544">
        <v>31029890</v>
      </c>
      <c r="D544">
        <v>29173218</v>
      </c>
      <c r="E544">
        <v>1</v>
      </c>
      <c r="F544">
        <v>1</v>
      </c>
      <c r="G544">
        <v>1</v>
      </c>
      <c r="H544">
        <v>3</v>
      </c>
      <c r="I544" t="s">
        <v>1161</v>
      </c>
      <c r="J544" t="s">
        <v>1162</v>
      </c>
      <c r="K544" t="s">
        <v>1163</v>
      </c>
      <c r="L544">
        <v>1348</v>
      </c>
      <c r="N544">
        <v>1009</v>
      </c>
      <c r="O544" t="s">
        <v>137</v>
      </c>
      <c r="P544" t="s">
        <v>137</v>
      </c>
      <c r="Q544">
        <v>1000</v>
      </c>
      <c r="W544">
        <v>0</v>
      </c>
      <c r="X544">
        <v>-2031407980</v>
      </c>
      <c r="Y544">
        <v>1</v>
      </c>
      <c r="AA544">
        <v>45606.85</v>
      </c>
      <c r="AB544">
        <v>0</v>
      </c>
      <c r="AC544">
        <v>0</v>
      </c>
      <c r="AD544">
        <v>0</v>
      </c>
      <c r="AE544">
        <v>7391.71</v>
      </c>
      <c r="AF544">
        <v>0</v>
      </c>
      <c r="AG544">
        <v>0</v>
      </c>
      <c r="AH544">
        <v>0</v>
      </c>
      <c r="AI544">
        <v>6.17</v>
      </c>
      <c r="AJ544">
        <v>1</v>
      </c>
      <c r="AK544">
        <v>1</v>
      </c>
      <c r="AL544">
        <v>1</v>
      </c>
      <c r="AN544">
        <v>0</v>
      </c>
      <c r="AO544">
        <v>1</v>
      </c>
      <c r="AP544">
        <v>0</v>
      </c>
      <c r="AQ544">
        <v>0</v>
      </c>
      <c r="AR544">
        <v>0</v>
      </c>
      <c r="AS544" t="s">
        <v>6</v>
      </c>
      <c r="AT544">
        <v>1</v>
      </c>
      <c r="AU544" t="s">
        <v>6</v>
      </c>
      <c r="AV544">
        <v>0</v>
      </c>
      <c r="AW544">
        <v>2</v>
      </c>
      <c r="AX544">
        <v>31029900</v>
      </c>
      <c r="AY544">
        <v>1</v>
      </c>
      <c r="AZ544">
        <v>0</v>
      </c>
      <c r="BA544">
        <v>569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CX544">
        <f>Y544*Source!I241</f>
        <v>3.2000000000000002E-3</v>
      </c>
      <c r="CY544">
        <f>AA544</f>
        <v>45606.85</v>
      </c>
      <c r="CZ544">
        <f>AE544</f>
        <v>7391.71</v>
      </c>
      <c r="DA544">
        <f>AI544</f>
        <v>6.17</v>
      </c>
      <c r="DB544">
        <f>ROUND(ROUND(AT544*CZ544,2),6)</f>
        <v>7391.71</v>
      </c>
      <c r="DC544">
        <f>ROUND(ROUND(AT544*AG544,2),6)</f>
        <v>0</v>
      </c>
    </row>
    <row r="545" spans="1:107">
      <c r="A545">
        <f>ROW(Source!A242)</f>
        <v>242</v>
      </c>
      <c r="B545">
        <v>31028412</v>
      </c>
      <c r="C545">
        <v>31029901</v>
      </c>
      <c r="D545">
        <v>29084590</v>
      </c>
      <c r="E545">
        <v>1</v>
      </c>
      <c r="F545">
        <v>1</v>
      </c>
      <c r="G545">
        <v>1</v>
      </c>
      <c r="H545">
        <v>1</v>
      </c>
      <c r="I545" t="s">
        <v>920</v>
      </c>
      <c r="J545" t="s">
        <v>6</v>
      </c>
      <c r="K545" t="s">
        <v>921</v>
      </c>
      <c r="L545">
        <v>1369</v>
      </c>
      <c r="N545">
        <v>1013</v>
      </c>
      <c r="O545" t="s">
        <v>773</v>
      </c>
      <c r="P545" t="s">
        <v>773</v>
      </c>
      <c r="Q545">
        <v>1</v>
      </c>
      <c r="W545">
        <v>0</v>
      </c>
      <c r="X545">
        <v>1790311140</v>
      </c>
      <c r="Y545">
        <v>63.43399999999999</v>
      </c>
      <c r="AA545">
        <v>0</v>
      </c>
      <c r="AB545">
        <v>0</v>
      </c>
      <c r="AC545">
        <v>0</v>
      </c>
      <c r="AD545">
        <v>189.16</v>
      </c>
      <c r="AE545">
        <v>0</v>
      </c>
      <c r="AF545">
        <v>0</v>
      </c>
      <c r="AG545">
        <v>0</v>
      </c>
      <c r="AH545">
        <v>7.81</v>
      </c>
      <c r="AI545">
        <v>1</v>
      </c>
      <c r="AJ545">
        <v>1</v>
      </c>
      <c r="AK545">
        <v>1</v>
      </c>
      <c r="AL545">
        <v>24.22</v>
      </c>
      <c r="AN545">
        <v>0</v>
      </c>
      <c r="AO545">
        <v>1</v>
      </c>
      <c r="AP545">
        <v>1</v>
      </c>
      <c r="AQ545">
        <v>0</v>
      </c>
      <c r="AR545">
        <v>0</v>
      </c>
      <c r="AS545" t="s">
        <v>6</v>
      </c>
      <c r="AT545">
        <v>55.16</v>
      </c>
      <c r="AU545" t="s">
        <v>36</v>
      </c>
      <c r="AV545">
        <v>1</v>
      </c>
      <c r="AW545">
        <v>2</v>
      </c>
      <c r="AX545">
        <v>31029912</v>
      </c>
      <c r="AY545">
        <v>1</v>
      </c>
      <c r="AZ545">
        <v>0</v>
      </c>
      <c r="BA545">
        <v>570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CX545">
        <f>Y545*Source!I242</f>
        <v>57.724939999999997</v>
      </c>
      <c r="CY545">
        <f>AD545</f>
        <v>189.16</v>
      </c>
      <c r="CZ545">
        <f>AH545</f>
        <v>7.81</v>
      </c>
      <c r="DA545">
        <f>AL545</f>
        <v>24.22</v>
      </c>
      <c r="DB545">
        <f>ROUND((ROUND(AT545*CZ545,2)*ROUND(1.15,7)),6)</f>
        <v>495.42</v>
      </c>
      <c r="DC545">
        <f>ROUND((ROUND(AT545*AG545,2)*ROUND(1.15,7)),6)</f>
        <v>0</v>
      </c>
    </row>
    <row r="546" spans="1:107">
      <c r="A546">
        <f>ROW(Source!A242)</f>
        <v>242</v>
      </c>
      <c r="B546">
        <v>31028412</v>
      </c>
      <c r="C546">
        <v>31029901</v>
      </c>
      <c r="D546">
        <v>29147697</v>
      </c>
      <c r="E546">
        <v>1</v>
      </c>
      <c r="F546">
        <v>1</v>
      </c>
      <c r="G546">
        <v>1</v>
      </c>
      <c r="H546">
        <v>2</v>
      </c>
      <c r="I546" t="s">
        <v>822</v>
      </c>
      <c r="J546" t="s">
        <v>823</v>
      </c>
      <c r="K546" t="s">
        <v>824</v>
      </c>
      <c r="L546">
        <v>1368</v>
      </c>
      <c r="N546">
        <v>1011</v>
      </c>
      <c r="O546" t="s">
        <v>780</v>
      </c>
      <c r="P546" t="s">
        <v>780</v>
      </c>
      <c r="Q546">
        <v>1</v>
      </c>
      <c r="W546">
        <v>0</v>
      </c>
      <c r="X546">
        <v>-1933197009</v>
      </c>
      <c r="Y546">
        <v>0.50600000000000001</v>
      </c>
      <c r="AA546">
        <v>0</v>
      </c>
      <c r="AB546">
        <v>12.99</v>
      </c>
      <c r="AC546">
        <v>0</v>
      </c>
      <c r="AD546">
        <v>0</v>
      </c>
      <c r="AE546">
        <v>0</v>
      </c>
      <c r="AF546">
        <v>1.7</v>
      </c>
      <c r="AG546">
        <v>0</v>
      </c>
      <c r="AH546">
        <v>0</v>
      </c>
      <c r="AI546">
        <v>1</v>
      </c>
      <c r="AJ546">
        <v>7.64</v>
      </c>
      <c r="AK546">
        <v>24.22</v>
      </c>
      <c r="AL546">
        <v>1</v>
      </c>
      <c r="AN546">
        <v>0</v>
      </c>
      <c r="AO546">
        <v>1</v>
      </c>
      <c r="AP546">
        <v>1</v>
      </c>
      <c r="AQ546">
        <v>0</v>
      </c>
      <c r="AR546">
        <v>0</v>
      </c>
      <c r="AS546" t="s">
        <v>6</v>
      </c>
      <c r="AT546">
        <v>0.44</v>
      </c>
      <c r="AU546" t="s">
        <v>36</v>
      </c>
      <c r="AV546">
        <v>0</v>
      </c>
      <c r="AW546">
        <v>2</v>
      </c>
      <c r="AX546">
        <v>31029913</v>
      </c>
      <c r="AY546">
        <v>1</v>
      </c>
      <c r="AZ546">
        <v>0</v>
      </c>
      <c r="BA546">
        <v>571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  <c r="CX546">
        <f>Y546*Source!I242</f>
        <v>0.46046000000000004</v>
      </c>
      <c r="CY546">
        <f>AB546</f>
        <v>12.99</v>
      </c>
      <c r="CZ546">
        <f>AF546</f>
        <v>1.7</v>
      </c>
      <c r="DA546">
        <f>AJ546</f>
        <v>7.64</v>
      </c>
      <c r="DB546">
        <f>ROUND((ROUND(AT546*CZ546,2)*ROUND(1.15,7)),6)</f>
        <v>0.86250000000000004</v>
      </c>
      <c r="DC546">
        <f>ROUND((ROUND(AT546*AG546,2)*ROUND(1.15,7)),6)</f>
        <v>0</v>
      </c>
    </row>
    <row r="547" spans="1:107">
      <c r="A547">
        <f>ROW(Source!A242)</f>
        <v>242</v>
      </c>
      <c r="B547">
        <v>31028412</v>
      </c>
      <c r="C547">
        <v>31029901</v>
      </c>
      <c r="D547">
        <v>29149520</v>
      </c>
      <c r="E547">
        <v>1</v>
      </c>
      <c r="F547">
        <v>1</v>
      </c>
      <c r="G547">
        <v>1</v>
      </c>
      <c r="H547">
        <v>2</v>
      </c>
      <c r="I547" t="s">
        <v>790</v>
      </c>
      <c r="J547" t="s">
        <v>791</v>
      </c>
      <c r="K547" t="s">
        <v>792</v>
      </c>
      <c r="L547">
        <v>1368</v>
      </c>
      <c r="N547">
        <v>1011</v>
      </c>
      <c r="O547" t="s">
        <v>780</v>
      </c>
      <c r="P547" t="s">
        <v>780</v>
      </c>
      <c r="Q547">
        <v>1</v>
      </c>
      <c r="W547">
        <v>0</v>
      </c>
      <c r="X547">
        <v>-1931461795</v>
      </c>
      <c r="Y547">
        <v>0.27599999999999997</v>
      </c>
      <c r="AA547">
        <v>0</v>
      </c>
      <c r="AB547">
        <v>699.98</v>
      </c>
      <c r="AC547">
        <v>0</v>
      </c>
      <c r="AD547">
        <v>0</v>
      </c>
      <c r="AE547">
        <v>0</v>
      </c>
      <c r="AF547">
        <v>91.62</v>
      </c>
      <c r="AG547">
        <v>0</v>
      </c>
      <c r="AH547">
        <v>0</v>
      </c>
      <c r="AI547">
        <v>1</v>
      </c>
      <c r="AJ547">
        <v>7.64</v>
      </c>
      <c r="AK547">
        <v>24.22</v>
      </c>
      <c r="AL547">
        <v>1</v>
      </c>
      <c r="AN547">
        <v>0</v>
      </c>
      <c r="AO547">
        <v>1</v>
      </c>
      <c r="AP547">
        <v>1</v>
      </c>
      <c r="AQ547">
        <v>0</v>
      </c>
      <c r="AR547">
        <v>0</v>
      </c>
      <c r="AS547" t="s">
        <v>6</v>
      </c>
      <c r="AT547">
        <v>0.24</v>
      </c>
      <c r="AU547" t="s">
        <v>36</v>
      </c>
      <c r="AV547">
        <v>0</v>
      </c>
      <c r="AW547">
        <v>2</v>
      </c>
      <c r="AX547">
        <v>31029914</v>
      </c>
      <c r="AY547">
        <v>1</v>
      </c>
      <c r="AZ547">
        <v>0</v>
      </c>
      <c r="BA547">
        <v>572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0</v>
      </c>
      <c r="CX547">
        <f>Y547*Source!I242</f>
        <v>0.25115999999999999</v>
      </c>
      <c r="CY547">
        <f>AB547</f>
        <v>699.98</v>
      </c>
      <c r="CZ547">
        <f>AF547</f>
        <v>91.62</v>
      </c>
      <c r="DA547">
        <f>AJ547</f>
        <v>7.64</v>
      </c>
      <c r="DB547">
        <f>ROUND((ROUND(AT547*CZ547,2)*ROUND(1.15,7)),6)</f>
        <v>25.288499999999999</v>
      </c>
      <c r="DC547">
        <f>ROUND((ROUND(AT547*AG547,2)*ROUND(1.15,7)),6)</f>
        <v>0</v>
      </c>
    </row>
    <row r="548" spans="1:107">
      <c r="A548">
        <f>ROW(Source!A242)</f>
        <v>242</v>
      </c>
      <c r="B548">
        <v>31028412</v>
      </c>
      <c r="C548">
        <v>31029901</v>
      </c>
      <c r="D548">
        <v>29151143</v>
      </c>
      <c r="E548">
        <v>1</v>
      </c>
      <c r="F548">
        <v>1</v>
      </c>
      <c r="G548">
        <v>1</v>
      </c>
      <c r="H548">
        <v>3</v>
      </c>
      <c r="I548" t="s">
        <v>1062</v>
      </c>
      <c r="J548" t="s">
        <v>1063</v>
      </c>
      <c r="K548" t="s">
        <v>1064</v>
      </c>
      <c r="L548">
        <v>1348</v>
      </c>
      <c r="N548">
        <v>1009</v>
      </c>
      <c r="O548" t="s">
        <v>137</v>
      </c>
      <c r="P548" t="s">
        <v>137</v>
      </c>
      <c r="Q548">
        <v>1000</v>
      </c>
      <c r="W548">
        <v>0</v>
      </c>
      <c r="X548">
        <v>2114804490</v>
      </c>
      <c r="Y548">
        <v>9.4999999999999998E-3</v>
      </c>
      <c r="AA548">
        <v>29898.03</v>
      </c>
      <c r="AB548">
        <v>0</v>
      </c>
      <c r="AC548">
        <v>0</v>
      </c>
      <c r="AD548">
        <v>0</v>
      </c>
      <c r="AE548">
        <v>4845.71</v>
      </c>
      <c r="AF548">
        <v>0</v>
      </c>
      <c r="AG548">
        <v>0</v>
      </c>
      <c r="AH548">
        <v>0</v>
      </c>
      <c r="AI548">
        <v>6.17</v>
      </c>
      <c r="AJ548">
        <v>1</v>
      </c>
      <c r="AK548">
        <v>1</v>
      </c>
      <c r="AL548">
        <v>1</v>
      </c>
      <c r="AN548">
        <v>0</v>
      </c>
      <c r="AO548">
        <v>1</v>
      </c>
      <c r="AP548">
        <v>0</v>
      </c>
      <c r="AQ548">
        <v>0</v>
      </c>
      <c r="AR548">
        <v>0</v>
      </c>
      <c r="AS548" t="s">
        <v>6</v>
      </c>
      <c r="AT548">
        <v>9.4999999999999998E-3</v>
      </c>
      <c r="AU548" t="s">
        <v>6</v>
      </c>
      <c r="AV548">
        <v>0</v>
      </c>
      <c r="AW548">
        <v>2</v>
      </c>
      <c r="AX548">
        <v>31029915</v>
      </c>
      <c r="AY548">
        <v>1</v>
      </c>
      <c r="AZ548">
        <v>0</v>
      </c>
      <c r="BA548">
        <v>573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  <c r="CX548">
        <f>Y548*Source!I242</f>
        <v>8.6449999999999999E-3</v>
      </c>
      <c r="CY548">
        <f t="shared" ref="CY548:CY554" si="112">AA548</f>
        <v>29898.03</v>
      </c>
      <c r="CZ548">
        <f t="shared" ref="CZ548:CZ554" si="113">AE548</f>
        <v>4845.71</v>
      </c>
      <c r="DA548">
        <f t="shared" ref="DA548:DA554" si="114">AI548</f>
        <v>6.17</v>
      </c>
      <c r="DB548">
        <f t="shared" ref="DB548:DB554" si="115">ROUND(ROUND(AT548*CZ548,2),6)</f>
        <v>46.03</v>
      </c>
      <c r="DC548">
        <f t="shared" ref="DC548:DC554" si="116">ROUND(ROUND(AT548*AG548,2),6)</f>
        <v>0</v>
      </c>
    </row>
    <row r="549" spans="1:107">
      <c r="A549">
        <f>ROW(Source!A242)</f>
        <v>242</v>
      </c>
      <c r="B549">
        <v>31028412</v>
      </c>
      <c r="C549">
        <v>31029901</v>
      </c>
      <c r="D549">
        <v>29151159</v>
      </c>
      <c r="E549">
        <v>1</v>
      </c>
      <c r="F549">
        <v>1</v>
      </c>
      <c r="G549">
        <v>1</v>
      </c>
      <c r="H549">
        <v>3</v>
      </c>
      <c r="I549" t="s">
        <v>1164</v>
      </c>
      <c r="J549" t="s">
        <v>1165</v>
      </c>
      <c r="K549" t="s">
        <v>1166</v>
      </c>
      <c r="L549">
        <v>1348</v>
      </c>
      <c r="N549">
        <v>1009</v>
      </c>
      <c r="O549" t="s">
        <v>137</v>
      </c>
      <c r="P549" t="s">
        <v>137</v>
      </c>
      <c r="Q549">
        <v>1000</v>
      </c>
      <c r="W549">
        <v>0</v>
      </c>
      <c r="X549">
        <v>762002392</v>
      </c>
      <c r="Y549">
        <v>5.0000000000000001E-4</v>
      </c>
      <c r="AA549">
        <v>44155.61</v>
      </c>
      <c r="AB549">
        <v>0</v>
      </c>
      <c r="AC549">
        <v>0</v>
      </c>
      <c r="AD549">
        <v>0</v>
      </c>
      <c r="AE549">
        <v>7156.5</v>
      </c>
      <c r="AF549">
        <v>0</v>
      </c>
      <c r="AG549">
        <v>0</v>
      </c>
      <c r="AH549">
        <v>0</v>
      </c>
      <c r="AI549">
        <v>6.17</v>
      </c>
      <c r="AJ549">
        <v>1</v>
      </c>
      <c r="AK549">
        <v>1</v>
      </c>
      <c r="AL549">
        <v>1</v>
      </c>
      <c r="AN549">
        <v>0</v>
      </c>
      <c r="AO549">
        <v>1</v>
      </c>
      <c r="AP549">
        <v>0</v>
      </c>
      <c r="AQ549">
        <v>0</v>
      </c>
      <c r="AR549">
        <v>0</v>
      </c>
      <c r="AS549" t="s">
        <v>6</v>
      </c>
      <c r="AT549">
        <v>5.0000000000000001E-4</v>
      </c>
      <c r="AU549" t="s">
        <v>6</v>
      </c>
      <c r="AV549">
        <v>0</v>
      </c>
      <c r="AW549">
        <v>2</v>
      </c>
      <c r="AX549">
        <v>31029916</v>
      </c>
      <c r="AY549">
        <v>1</v>
      </c>
      <c r="AZ549">
        <v>0</v>
      </c>
      <c r="BA549">
        <v>574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CX549">
        <f>Y549*Source!I242</f>
        <v>4.55E-4</v>
      </c>
      <c r="CY549">
        <f t="shared" si="112"/>
        <v>44155.61</v>
      </c>
      <c r="CZ549">
        <f t="shared" si="113"/>
        <v>7156.5</v>
      </c>
      <c r="DA549">
        <f t="shared" si="114"/>
        <v>6.17</v>
      </c>
      <c r="DB549">
        <f t="shared" si="115"/>
        <v>3.58</v>
      </c>
      <c r="DC549">
        <f t="shared" si="116"/>
        <v>0</v>
      </c>
    </row>
    <row r="550" spans="1:107">
      <c r="A550">
        <f>ROW(Source!A242)</f>
        <v>242</v>
      </c>
      <c r="B550">
        <v>31028412</v>
      </c>
      <c r="C550">
        <v>31029901</v>
      </c>
      <c r="D550">
        <v>29152054</v>
      </c>
      <c r="E550">
        <v>1</v>
      </c>
      <c r="F550">
        <v>1</v>
      </c>
      <c r="G550">
        <v>1</v>
      </c>
      <c r="H550">
        <v>3</v>
      </c>
      <c r="I550" t="s">
        <v>805</v>
      </c>
      <c r="J550" t="s">
        <v>806</v>
      </c>
      <c r="K550" t="s">
        <v>807</v>
      </c>
      <c r="L550">
        <v>1348</v>
      </c>
      <c r="N550">
        <v>1009</v>
      </c>
      <c r="O550" t="s">
        <v>137</v>
      </c>
      <c r="P550" t="s">
        <v>137</v>
      </c>
      <c r="Q550">
        <v>1000</v>
      </c>
      <c r="W550">
        <v>0</v>
      </c>
      <c r="X550">
        <v>-444487765</v>
      </c>
      <c r="Y550">
        <v>3.0000000000000001E-3</v>
      </c>
      <c r="AA550">
        <v>62829.11</v>
      </c>
      <c r="AB550">
        <v>0</v>
      </c>
      <c r="AC550">
        <v>0</v>
      </c>
      <c r="AD550">
        <v>0</v>
      </c>
      <c r="AE550">
        <v>10183</v>
      </c>
      <c r="AF550">
        <v>0</v>
      </c>
      <c r="AG550">
        <v>0</v>
      </c>
      <c r="AH550">
        <v>0</v>
      </c>
      <c r="AI550">
        <v>6.17</v>
      </c>
      <c r="AJ550">
        <v>1</v>
      </c>
      <c r="AK550">
        <v>1</v>
      </c>
      <c r="AL550">
        <v>1</v>
      </c>
      <c r="AN550">
        <v>0</v>
      </c>
      <c r="AO550">
        <v>1</v>
      </c>
      <c r="AP550">
        <v>0</v>
      </c>
      <c r="AQ550">
        <v>0</v>
      </c>
      <c r="AR550">
        <v>0</v>
      </c>
      <c r="AS550" t="s">
        <v>6</v>
      </c>
      <c r="AT550">
        <v>3.0000000000000001E-3</v>
      </c>
      <c r="AU550" t="s">
        <v>6</v>
      </c>
      <c r="AV550">
        <v>0</v>
      </c>
      <c r="AW550">
        <v>2</v>
      </c>
      <c r="AX550">
        <v>31029917</v>
      </c>
      <c r="AY550">
        <v>1</v>
      </c>
      <c r="AZ550">
        <v>0</v>
      </c>
      <c r="BA550">
        <v>575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  <c r="CX550">
        <f>Y550*Source!I242</f>
        <v>2.7300000000000002E-3</v>
      </c>
      <c r="CY550">
        <f t="shared" si="112"/>
        <v>62829.11</v>
      </c>
      <c r="CZ550">
        <f t="shared" si="113"/>
        <v>10183</v>
      </c>
      <c r="DA550">
        <f t="shared" si="114"/>
        <v>6.17</v>
      </c>
      <c r="DB550">
        <f t="shared" si="115"/>
        <v>30.55</v>
      </c>
      <c r="DC550">
        <f t="shared" si="116"/>
        <v>0</v>
      </c>
    </row>
    <row r="551" spans="1:107">
      <c r="A551">
        <f>ROW(Source!A242)</f>
        <v>242</v>
      </c>
      <c r="B551">
        <v>31028412</v>
      </c>
      <c r="C551">
        <v>31029901</v>
      </c>
      <c r="D551">
        <v>29158169</v>
      </c>
      <c r="E551">
        <v>1</v>
      </c>
      <c r="F551">
        <v>1</v>
      </c>
      <c r="G551">
        <v>1</v>
      </c>
      <c r="H551">
        <v>3</v>
      </c>
      <c r="I551" t="s">
        <v>1167</v>
      </c>
      <c r="J551" t="s">
        <v>1168</v>
      </c>
      <c r="K551" t="s">
        <v>1169</v>
      </c>
      <c r="L551">
        <v>1339</v>
      </c>
      <c r="N551">
        <v>1007</v>
      </c>
      <c r="O551" t="s">
        <v>109</v>
      </c>
      <c r="P551" t="s">
        <v>109</v>
      </c>
      <c r="Q551">
        <v>1</v>
      </c>
      <c r="W551">
        <v>0</v>
      </c>
      <c r="X551">
        <v>-1515509762</v>
      </c>
      <c r="Y551">
        <v>0.09</v>
      </c>
      <c r="AA551">
        <v>5423.12</v>
      </c>
      <c r="AB551">
        <v>0</v>
      </c>
      <c r="AC551">
        <v>0</v>
      </c>
      <c r="AD551">
        <v>0</v>
      </c>
      <c r="AE551">
        <v>878.95</v>
      </c>
      <c r="AF551">
        <v>0</v>
      </c>
      <c r="AG551">
        <v>0</v>
      </c>
      <c r="AH551">
        <v>0</v>
      </c>
      <c r="AI551">
        <v>6.17</v>
      </c>
      <c r="AJ551">
        <v>1</v>
      </c>
      <c r="AK551">
        <v>1</v>
      </c>
      <c r="AL551">
        <v>1</v>
      </c>
      <c r="AN551">
        <v>0</v>
      </c>
      <c r="AO551">
        <v>1</v>
      </c>
      <c r="AP551">
        <v>0</v>
      </c>
      <c r="AQ551">
        <v>0</v>
      </c>
      <c r="AR551">
        <v>0</v>
      </c>
      <c r="AS551" t="s">
        <v>6</v>
      </c>
      <c r="AT551">
        <v>0.09</v>
      </c>
      <c r="AU551" t="s">
        <v>6</v>
      </c>
      <c r="AV551">
        <v>0</v>
      </c>
      <c r="AW551">
        <v>2</v>
      </c>
      <c r="AX551">
        <v>31029918</v>
      </c>
      <c r="AY551">
        <v>1</v>
      </c>
      <c r="AZ551">
        <v>0</v>
      </c>
      <c r="BA551">
        <v>576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CX551">
        <f>Y551*Source!I242</f>
        <v>8.1900000000000001E-2</v>
      </c>
      <c r="CY551">
        <f t="shared" si="112"/>
        <v>5423.12</v>
      </c>
      <c r="CZ551">
        <f t="shared" si="113"/>
        <v>878.95</v>
      </c>
      <c r="DA551">
        <f t="shared" si="114"/>
        <v>6.17</v>
      </c>
      <c r="DB551">
        <f t="shared" si="115"/>
        <v>79.11</v>
      </c>
      <c r="DC551">
        <f t="shared" si="116"/>
        <v>0</v>
      </c>
    </row>
    <row r="552" spans="1:107">
      <c r="A552">
        <f>ROW(Source!A242)</f>
        <v>242</v>
      </c>
      <c r="B552">
        <v>31028412</v>
      </c>
      <c r="C552">
        <v>31029901</v>
      </c>
      <c r="D552">
        <v>29173233</v>
      </c>
      <c r="E552">
        <v>1</v>
      </c>
      <c r="F552">
        <v>1</v>
      </c>
      <c r="G552">
        <v>1</v>
      </c>
      <c r="H552">
        <v>3</v>
      </c>
      <c r="I552" t="s">
        <v>1170</v>
      </c>
      <c r="J552" t="s">
        <v>1171</v>
      </c>
      <c r="K552" t="s">
        <v>1172</v>
      </c>
      <c r="L552">
        <v>1348</v>
      </c>
      <c r="N552">
        <v>1009</v>
      </c>
      <c r="O552" t="s">
        <v>137</v>
      </c>
      <c r="P552" t="s">
        <v>137</v>
      </c>
      <c r="Q552">
        <v>1000</v>
      </c>
      <c r="W552">
        <v>0</v>
      </c>
      <c r="X552">
        <v>180357279</v>
      </c>
      <c r="Y552">
        <v>7.0000000000000007E-2</v>
      </c>
      <c r="AA552">
        <v>30252.13</v>
      </c>
      <c r="AB552">
        <v>0</v>
      </c>
      <c r="AC552">
        <v>0</v>
      </c>
      <c r="AD552">
        <v>0</v>
      </c>
      <c r="AE552">
        <v>4903.1000000000004</v>
      </c>
      <c r="AF552">
        <v>0</v>
      </c>
      <c r="AG552">
        <v>0</v>
      </c>
      <c r="AH552">
        <v>0</v>
      </c>
      <c r="AI552">
        <v>6.17</v>
      </c>
      <c r="AJ552">
        <v>1</v>
      </c>
      <c r="AK552">
        <v>1</v>
      </c>
      <c r="AL552">
        <v>1</v>
      </c>
      <c r="AN552">
        <v>0</v>
      </c>
      <c r="AO552">
        <v>1</v>
      </c>
      <c r="AP552">
        <v>0</v>
      </c>
      <c r="AQ552">
        <v>0</v>
      </c>
      <c r="AR552">
        <v>0</v>
      </c>
      <c r="AS552" t="s">
        <v>6</v>
      </c>
      <c r="AT552">
        <v>7.0000000000000007E-2</v>
      </c>
      <c r="AU552" t="s">
        <v>6</v>
      </c>
      <c r="AV552">
        <v>0</v>
      </c>
      <c r="AW552">
        <v>2</v>
      </c>
      <c r="AX552">
        <v>31029919</v>
      </c>
      <c r="AY552">
        <v>1</v>
      </c>
      <c r="AZ552">
        <v>0</v>
      </c>
      <c r="BA552">
        <v>577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CX552">
        <f>Y552*Source!I242</f>
        <v>6.3700000000000007E-2</v>
      </c>
      <c r="CY552">
        <f t="shared" si="112"/>
        <v>30252.13</v>
      </c>
      <c r="CZ552">
        <f t="shared" si="113"/>
        <v>4903.1000000000004</v>
      </c>
      <c r="DA552">
        <f t="shared" si="114"/>
        <v>6.17</v>
      </c>
      <c r="DB552">
        <f t="shared" si="115"/>
        <v>343.22</v>
      </c>
      <c r="DC552">
        <f t="shared" si="116"/>
        <v>0</v>
      </c>
    </row>
    <row r="553" spans="1:107">
      <c r="A553">
        <f>ROW(Source!A242)</f>
        <v>242</v>
      </c>
      <c r="B553">
        <v>31028412</v>
      </c>
      <c r="C553">
        <v>31029901</v>
      </c>
      <c r="D553">
        <v>29194451</v>
      </c>
      <c r="E553">
        <v>1</v>
      </c>
      <c r="F553">
        <v>1</v>
      </c>
      <c r="G553">
        <v>1</v>
      </c>
      <c r="H553">
        <v>3</v>
      </c>
      <c r="I553" t="s">
        <v>1173</v>
      </c>
      <c r="J553" t="s">
        <v>1174</v>
      </c>
      <c r="K553" t="s">
        <v>1175</v>
      </c>
      <c r="L553">
        <v>1348</v>
      </c>
      <c r="N553">
        <v>1009</v>
      </c>
      <c r="O553" t="s">
        <v>137</v>
      </c>
      <c r="P553" t="s">
        <v>137</v>
      </c>
      <c r="Q553">
        <v>1000</v>
      </c>
      <c r="W553">
        <v>0</v>
      </c>
      <c r="X553">
        <v>-646997739</v>
      </c>
      <c r="Y553">
        <v>1.1000000000000001E-3</v>
      </c>
      <c r="AA553">
        <v>4531.87</v>
      </c>
      <c r="AB553">
        <v>0</v>
      </c>
      <c r="AC553">
        <v>0</v>
      </c>
      <c r="AD553">
        <v>0</v>
      </c>
      <c r="AE553">
        <v>734.5</v>
      </c>
      <c r="AF553">
        <v>0</v>
      </c>
      <c r="AG553">
        <v>0</v>
      </c>
      <c r="AH553">
        <v>0</v>
      </c>
      <c r="AI553">
        <v>6.17</v>
      </c>
      <c r="AJ553">
        <v>1</v>
      </c>
      <c r="AK553">
        <v>1</v>
      </c>
      <c r="AL553">
        <v>1</v>
      </c>
      <c r="AN553">
        <v>0</v>
      </c>
      <c r="AO553">
        <v>1</v>
      </c>
      <c r="AP553">
        <v>0</v>
      </c>
      <c r="AQ553">
        <v>0</v>
      </c>
      <c r="AR553">
        <v>0</v>
      </c>
      <c r="AS553" t="s">
        <v>6</v>
      </c>
      <c r="AT553">
        <v>1.1000000000000001E-3</v>
      </c>
      <c r="AU553" t="s">
        <v>6</v>
      </c>
      <c r="AV553">
        <v>0</v>
      </c>
      <c r="AW553">
        <v>2</v>
      </c>
      <c r="AX553">
        <v>31029921</v>
      </c>
      <c r="AY553">
        <v>1</v>
      </c>
      <c r="AZ553">
        <v>0</v>
      </c>
      <c r="BA553">
        <v>579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CX553">
        <f>Y553*Source!I242</f>
        <v>1.0010000000000002E-3</v>
      </c>
      <c r="CY553">
        <f t="shared" si="112"/>
        <v>4531.87</v>
      </c>
      <c r="CZ553">
        <f t="shared" si="113"/>
        <v>734.5</v>
      </c>
      <c r="DA553">
        <f t="shared" si="114"/>
        <v>6.17</v>
      </c>
      <c r="DB553">
        <f t="shared" si="115"/>
        <v>0.81</v>
      </c>
      <c r="DC553">
        <f t="shared" si="116"/>
        <v>0</v>
      </c>
    </row>
    <row r="554" spans="1:107">
      <c r="A554">
        <f>ROW(Source!A242)</f>
        <v>242</v>
      </c>
      <c r="B554">
        <v>31028412</v>
      </c>
      <c r="C554">
        <v>31029901</v>
      </c>
      <c r="D554">
        <v>29195171</v>
      </c>
      <c r="E554">
        <v>1</v>
      </c>
      <c r="F554">
        <v>1</v>
      </c>
      <c r="G554">
        <v>1</v>
      </c>
      <c r="H554">
        <v>3</v>
      </c>
      <c r="I554" t="s">
        <v>830</v>
      </c>
      <c r="J554" t="s">
        <v>831</v>
      </c>
      <c r="K554" t="s">
        <v>832</v>
      </c>
      <c r="L554">
        <v>1339</v>
      </c>
      <c r="N554">
        <v>1007</v>
      </c>
      <c r="O554" t="s">
        <v>109</v>
      </c>
      <c r="P554" t="s">
        <v>109</v>
      </c>
      <c r="Q554">
        <v>1</v>
      </c>
      <c r="W554">
        <v>0</v>
      </c>
      <c r="X554">
        <v>2050165204</v>
      </c>
      <c r="Y554">
        <v>3.2000000000000002E-3</v>
      </c>
      <c r="AA554">
        <v>15.12</v>
      </c>
      <c r="AB554">
        <v>0</v>
      </c>
      <c r="AC554">
        <v>0</v>
      </c>
      <c r="AD554">
        <v>0</v>
      </c>
      <c r="AE554">
        <v>2.4500000000000002</v>
      </c>
      <c r="AF554">
        <v>0</v>
      </c>
      <c r="AG554">
        <v>0</v>
      </c>
      <c r="AH554">
        <v>0</v>
      </c>
      <c r="AI554">
        <v>6.17</v>
      </c>
      <c r="AJ554">
        <v>1</v>
      </c>
      <c r="AK554">
        <v>1</v>
      </c>
      <c r="AL554">
        <v>1</v>
      </c>
      <c r="AN554">
        <v>0</v>
      </c>
      <c r="AO554">
        <v>1</v>
      </c>
      <c r="AP554">
        <v>0</v>
      </c>
      <c r="AQ554">
        <v>0</v>
      </c>
      <c r="AR554">
        <v>0</v>
      </c>
      <c r="AS554" t="s">
        <v>6</v>
      </c>
      <c r="AT554">
        <v>3.2000000000000002E-3</v>
      </c>
      <c r="AU554" t="s">
        <v>6</v>
      </c>
      <c r="AV554">
        <v>0</v>
      </c>
      <c r="AW554">
        <v>2</v>
      </c>
      <c r="AX554">
        <v>31029922</v>
      </c>
      <c r="AY554">
        <v>1</v>
      </c>
      <c r="AZ554">
        <v>0</v>
      </c>
      <c r="BA554">
        <v>580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CX554">
        <f>Y554*Source!I242</f>
        <v>2.9120000000000001E-3</v>
      </c>
      <c r="CY554">
        <f t="shared" si="112"/>
        <v>15.12</v>
      </c>
      <c r="CZ554">
        <f t="shared" si="113"/>
        <v>2.4500000000000002</v>
      </c>
      <c r="DA554">
        <f t="shared" si="114"/>
        <v>6.17</v>
      </c>
      <c r="DB554">
        <f t="shared" si="115"/>
        <v>0.01</v>
      </c>
      <c r="DC554">
        <f t="shared" si="116"/>
        <v>0</v>
      </c>
    </row>
    <row r="555" spans="1:107">
      <c r="A555">
        <f>ROW(Source!A245)</f>
        <v>245</v>
      </c>
      <c r="B555">
        <v>31028412</v>
      </c>
      <c r="C555">
        <v>31029925</v>
      </c>
      <c r="D555">
        <v>29084583</v>
      </c>
      <c r="E555">
        <v>1</v>
      </c>
      <c r="F555">
        <v>1</v>
      </c>
      <c r="G555">
        <v>1</v>
      </c>
      <c r="H555">
        <v>1</v>
      </c>
      <c r="I555" t="s">
        <v>857</v>
      </c>
      <c r="J555" t="s">
        <v>6</v>
      </c>
      <c r="K555" t="s">
        <v>858</v>
      </c>
      <c r="L555">
        <v>1369</v>
      </c>
      <c r="N555">
        <v>1013</v>
      </c>
      <c r="O555" t="s">
        <v>773</v>
      </c>
      <c r="P555" t="s">
        <v>773</v>
      </c>
      <c r="Q555">
        <v>1</v>
      </c>
      <c r="W555">
        <v>0</v>
      </c>
      <c r="X555">
        <v>1784516707</v>
      </c>
      <c r="Y555">
        <v>6.3134999999999994</v>
      </c>
      <c r="AA555">
        <v>0</v>
      </c>
      <c r="AB555">
        <v>0</v>
      </c>
      <c r="AC555">
        <v>0</v>
      </c>
      <c r="AD555">
        <v>199.33</v>
      </c>
      <c r="AE555">
        <v>0</v>
      </c>
      <c r="AF555">
        <v>0</v>
      </c>
      <c r="AG555">
        <v>0</v>
      </c>
      <c r="AH555">
        <v>8.23</v>
      </c>
      <c r="AI555">
        <v>1</v>
      </c>
      <c r="AJ555">
        <v>1</v>
      </c>
      <c r="AK555">
        <v>1</v>
      </c>
      <c r="AL555">
        <v>24.22</v>
      </c>
      <c r="AN555">
        <v>0</v>
      </c>
      <c r="AO555">
        <v>1</v>
      </c>
      <c r="AP555">
        <v>1</v>
      </c>
      <c r="AQ555">
        <v>0</v>
      </c>
      <c r="AR555">
        <v>0</v>
      </c>
      <c r="AS555" t="s">
        <v>6</v>
      </c>
      <c r="AT555">
        <v>5.49</v>
      </c>
      <c r="AU555" t="s">
        <v>36</v>
      </c>
      <c r="AV555">
        <v>1</v>
      </c>
      <c r="AW555">
        <v>2</v>
      </c>
      <c r="AX555">
        <v>31029929</v>
      </c>
      <c r="AY555">
        <v>1</v>
      </c>
      <c r="AZ555">
        <v>0</v>
      </c>
      <c r="BA555">
        <v>581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CX555">
        <f>Y555*Source!I245</f>
        <v>25.253999999999998</v>
      </c>
      <c r="CY555">
        <f>AD555</f>
        <v>199.33</v>
      </c>
      <c r="CZ555">
        <f>AH555</f>
        <v>8.23</v>
      </c>
      <c r="DA555">
        <f>AL555</f>
        <v>24.22</v>
      </c>
      <c r="DB555">
        <f>ROUND((ROUND(AT555*CZ555,2)*ROUND(1.15,7)),6)</f>
        <v>51.957000000000001</v>
      </c>
      <c r="DC555">
        <f>ROUND((ROUND(AT555*AG555,2)*ROUND(1.15,7)),6)</f>
        <v>0</v>
      </c>
    </row>
    <row r="556" spans="1:107">
      <c r="A556">
        <f>ROW(Source!A245)</f>
        <v>245</v>
      </c>
      <c r="B556">
        <v>31028412</v>
      </c>
      <c r="C556">
        <v>31029925</v>
      </c>
      <c r="D556">
        <v>29149247</v>
      </c>
      <c r="E556">
        <v>1</v>
      </c>
      <c r="F556">
        <v>1</v>
      </c>
      <c r="G556">
        <v>1</v>
      </c>
      <c r="H556">
        <v>2</v>
      </c>
      <c r="I556" t="s">
        <v>1176</v>
      </c>
      <c r="J556" t="s">
        <v>1177</v>
      </c>
      <c r="K556" t="s">
        <v>1178</v>
      </c>
      <c r="L556">
        <v>1368</v>
      </c>
      <c r="N556">
        <v>1011</v>
      </c>
      <c r="O556" t="s">
        <v>780</v>
      </c>
      <c r="P556" t="s">
        <v>780</v>
      </c>
      <c r="Q556">
        <v>1</v>
      </c>
      <c r="W556">
        <v>0</v>
      </c>
      <c r="X556">
        <v>1464343275</v>
      </c>
      <c r="Y556">
        <v>5.681</v>
      </c>
      <c r="AA556">
        <v>0</v>
      </c>
      <c r="AB556">
        <v>15.89</v>
      </c>
      <c r="AC556">
        <v>0</v>
      </c>
      <c r="AD556">
        <v>0</v>
      </c>
      <c r="AE556">
        <v>0</v>
      </c>
      <c r="AF556">
        <v>2.08</v>
      </c>
      <c r="AG556">
        <v>0</v>
      </c>
      <c r="AH556">
        <v>0</v>
      </c>
      <c r="AI556">
        <v>1</v>
      </c>
      <c r="AJ556">
        <v>7.64</v>
      </c>
      <c r="AK556">
        <v>24.22</v>
      </c>
      <c r="AL556">
        <v>1</v>
      </c>
      <c r="AN556">
        <v>0</v>
      </c>
      <c r="AO556">
        <v>1</v>
      </c>
      <c r="AP556">
        <v>1</v>
      </c>
      <c r="AQ556">
        <v>0</v>
      </c>
      <c r="AR556">
        <v>0</v>
      </c>
      <c r="AS556" t="s">
        <v>6</v>
      </c>
      <c r="AT556">
        <v>4.9400000000000004</v>
      </c>
      <c r="AU556" t="s">
        <v>36</v>
      </c>
      <c r="AV556">
        <v>0</v>
      </c>
      <c r="AW556">
        <v>2</v>
      </c>
      <c r="AX556">
        <v>31029930</v>
      </c>
      <c r="AY556">
        <v>1</v>
      </c>
      <c r="AZ556">
        <v>0</v>
      </c>
      <c r="BA556">
        <v>582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CX556">
        <f>Y556*Source!I245</f>
        <v>22.724</v>
      </c>
      <c r="CY556">
        <f>AB556</f>
        <v>15.89</v>
      </c>
      <c r="CZ556">
        <f>AF556</f>
        <v>2.08</v>
      </c>
      <c r="DA556">
        <f>AJ556</f>
        <v>7.64</v>
      </c>
      <c r="DB556">
        <f>ROUND((ROUND(AT556*CZ556,2)*ROUND(1.15,7)),6)</f>
        <v>11.821999999999999</v>
      </c>
      <c r="DC556">
        <f>ROUND((ROUND(AT556*AG556,2)*ROUND(1.15,7)),6)</f>
        <v>0</v>
      </c>
    </row>
    <row r="557" spans="1:107">
      <c r="A557">
        <f>ROW(Source!A245)</f>
        <v>245</v>
      </c>
      <c r="B557">
        <v>31028412</v>
      </c>
      <c r="C557">
        <v>31029925</v>
      </c>
      <c r="D557">
        <v>29215982</v>
      </c>
      <c r="E557">
        <v>1</v>
      </c>
      <c r="F557">
        <v>1</v>
      </c>
      <c r="G557">
        <v>1</v>
      </c>
      <c r="H557">
        <v>3</v>
      </c>
      <c r="I557" t="s">
        <v>825</v>
      </c>
      <c r="J557" t="s">
        <v>826</v>
      </c>
      <c r="K557" t="s">
        <v>827</v>
      </c>
      <c r="L557">
        <v>1348</v>
      </c>
      <c r="N557">
        <v>1009</v>
      </c>
      <c r="O557" t="s">
        <v>137</v>
      </c>
      <c r="P557" t="s">
        <v>137</v>
      </c>
      <c r="Q557">
        <v>1000</v>
      </c>
      <c r="W557">
        <v>0</v>
      </c>
      <c r="X557">
        <v>367953619</v>
      </c>
      <c r="Y557">
        <v>6.0000000000000001E-3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6.17</v>
      </c>
      <c r="AJ557">
        <v>1</v>
      </c>
      <c r="AK557">
        <v>1</v>
      </c>
      <c r="AL557">
        <v>1</v>
      </c>
      <c r="AN557">
        <v>0</v>
      </c>
      <c r="AO557">
        <v>0</v>
      </c>
      <c r="AP557">
        <v>0</v>
      </c>
      <c r="AQ557">
        <v>0</v>
      </c>
      <c r="AR557">
        <v>0</v>
      </c>
      <c r="AS557" t="s">
        <v>6</v>
      </c>
      <c r="AT557">
        <v>6.0000000000000001E-3</v>
      </c>
      <c r="AU557" t="s">
        <v>6</v>
      </c>
      <c r="AV557">
        <v>0</v>
      </c>
      <c r="AW557">
        <v>2</v>
      </c>
      <c r="AX557">
        <v>31029931</v>
      </c>
      <c r="AY557">
        <v>1</v>
      </c>
      <c r="AZ557">
        <v>0</v>
      </c>
      <c r="BA557">
        <v>583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CX557">
        <f>Y557*Source!I245</f>
        <v>2.4E-2</v>
      </c>
      <c r="CY557">
        <f>AA557</f>
        <v>0</v>
      </c>
      <c r="CZ557">
        <f>AE557</f>
        <v>0</v>
      </c>
      <c r="DA557">
        <f>AI557</f>
        <v>6.17</v>
      </c>
      <c r="DB557">
        <f>ROUND(ROUND(AT557*CZ557,2),6)</f>
        <v>0</v>
      </c>
      <c r="DC557">
        <f>ROUND(ROUND(AT557*AG557,2),6)</f>
        <v>0</v>
      </c>
    </row>
    <row r="558" spans="1:107">
      <c r="A558">
        <f>ROW(Source!A246)</f>
        <v>246</v>
      </c>
      <c r="B558">
        <v>31028412</v>
      </c>
      <c r="C558">
        <v>31029932</v>
      </c>
      <c r="D558">
        <v>29084583</v>
      </c>
      <c r="E558">
        <v>1</v>
      </c>
      <c r="F558">
        <v>1</v>
      </c>
      <c r="G558">
        <v>1</v>
      </c>
      <c r="H558">
        <v>1</v>
      </c>
      <c r="I558" t="s">
        <v>857</v>
      </c>
      <c r="J558" t="s">
        <v>6</v>
      </c>
      <c r="K558" t="s">
        <v>858</v>
      </c>
      <c r="L558">
        <v>1369</v>
      </c>
      <c r="N558">
        <v>1013</v>
      </c>
      <c r="O558" t="s">
        <v>773</v>
      </c>
      <c r="P558" t="s">
        <v>773</v>
      </c>
      <c r="Q558">
        <v>1</v>
      </c>
      <c r="W558">
        <v>0</v>
      </c>
      <c r="X558">
        <v>1784516707</v>
      </c>
      <c r="Y558">
        <v>6.0720000000000001</v>
      </c>
      <c r="AA558">
        <v>0</v>
      </c>
      <c r="AB558">
        <v>0</v>
      </c>
      <c r="AC558">
        <v>0</v>
      </c>
      <c r="AD558">
        <v>199.33</v>
      </c>
      <c r="AE558">
        <v>0</v>
      </c>
      <c r="AF558">
        <v>0</v>
      </c>
      <c r="AG558">
        <v>0</v>
      </c>
      <c r="AH558">
        <v>8.23</v>
      </c>
      <c r="AI558">
        <v>1</v>
      </c>
      <c r="AJ558">
        <v>1</v>
      </c>
      <c r="AK558">
        <v>1</v>
      </c>
      <c r="AL558">
        <v>24.22</v>
      </c>
      <c r="AN558">
        <v>0</v>
      </c>
      <c r="AO558">
        <v>1</v>
      </c>
      <c r="AP558">
        <v>1</v>
      </c>
      <c r="AQ558">
        <v>0</v>
      </c>
      <c r="AR558">
        <v>0</v>
      </c>
      <c r="AS558" t="s">
        <v>6</v>
      </c>
      <c r="AT558">
        <v>5.28</v>
      </c>
      <c r="AU558" t="s">
        <v>36</v>
      </c>
      <c r="AV558">
        <v>1</v>
      </c>
      <c r="AW558">
        <v>2</v>
      </c>
      <c r="AX558">
        <v>31029936</v>
      </c>
      <c r="AY558">
        <v>1</v>
      </c>
      <c r="AZ558">
        <v>0</v>
      </c>
      <c r="BA558">
        <v>584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CX558">
        <f>Y558*Source!I246</f>
        <v>24.288</v>
      </c>
      <c r="CY558">
        <f>AD558</f>
        <v>199.33</v>
      </c>
      <c r="CZ558">
        <f>AH558</f>
        <v>8.23</v>
      </c>
      <c r="DA558">
        <f>AL558</f>
        <v>24.22</v>
      </c>
      <c r="DB558">
        <f>ROUND((ROUND(AT558*CZ558,2)*ROUND(1.15,7)),6)</f>
        <v>49.967500000000001</v>
      </c>
      <c r="DC558">
        <f>ROUND((ROUND(AT558*AG558,2)*ROUND(1.15,7)),6)</f>
        <v>0</v>
      </c>
    </row>
    <row r="559" spans="1:107">
      <c r="A559">
        <f>ROW(Source!A246)</f>
        <v>246</v>
      </c>
      <c r="B559">
        <v>31028412</v>
      </c>
      <c r="C559">
        <v>31029932</v>
      </c>
      <c r="D559">
        <v>29149247</v>
      </c>
      <c r="E559">
        <v>1</v>
      </c>
      <c r="F559">
        <v>1</v>
      </c>
      <c r="G559">
        <v>1</v>
      </c>
      <c r="H559">
        <v>2</v>
      </c>
      <c r="I559" t="s">
        <v>1176</v>
      </c>
      <c r="J559" t="s">
        <v>1177</v>
      </c>
      <c r="K559" t="s">
        <v>1178</v>
      </c>
      <c r="L559">
        <v>1368</v>
      </c>
      <c r="N559">
        <v>1011</v>
      </c>
      <c r="O559" t="s">
        <v>780</v>
      </c>
      <c r="P559" t="s">
        <v>780</v>
      </c>
      <c r="Q559">
        <v>1</v>
      </c>
      <c r="W559">
        <v>0</v>
      </c>
      <c r="X559">
        <v>1464343275</v>
      </c>
      <c r="Y559">
        <v>5.4624999999999995</v>
      </c>
      <c r="AA559">
        <v>0</v>
      </c>
      <c r="AB559">
        <v>15.89</v>
      </c>
      <c r="AC559">
        <v>0</v>
      </c>
      <c r="AD559">
        <v>0</v>
      </c>
      <c r="AE559">
        <v>0</v>
      </c>
      <c r="AF559">
        <v>2.08</v>
      </c>
      <c r="AG559">
        <v>0</v>
      </c>
      <c r="AH559">
        <v>0</v>
      </c>
      <c r="AI559">
        <v>1</v>
      </c>
      <c r="AJ559">
        <v>7.64</v>
      </c>
      <c r="AK559">
        <v>24.22</v>
      </c>
      <c r="AL559">
        <v>1</v>
      </c>
      <c r="AN559">
        <v>0</v>
      </c>
      <c r="AO559">
        <v>1</v>
      </c>
      <c r="AP559">
        <v>1</v>
      </c>
      <c r="AQ559">
        <v>0</v>
      </c>
      <c r="AR559">
        <v>0</v>
      </c>
      <c r="AS559" t="s">
        <v>6</v>
      </c>
      <c r="AT559">
        <v>4.75</v>
      </c>
      <c r="AU559" t="s">
        <v>36</v>
      </c>
      <c r="AV559">
        <v>0</v>
      </c>
      <c r="AW559">
        <v>2</v>
      </c>
      <c r="AX559">
        <v>31029937</v>
      </c>
      <c r="AY559">
        <v>1</v>
      </c>
      <c r="AZ559">
        <v>0</v>
      </c>
      <c r="BA559">
        <v>585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  <c r="CX559">
        <f>Y559*Source!I246</f>
        <v>21.849999999999998</v>
      </c>
      <c r="CY559">
        <f>AB559</f>
        <v>15.89</v>
      </c>
      <c r="CZ559">
        <f>AF559</f>
        <v>2.08</v>
      </c>
      <c r="DA559">
        <f>AJ559</f>
        <v>7.64</v>
      </c>
      <c r="DB559">
        <f>ROUND((ROUND(AT559*CZ559,2)*ROUND(1.15,7)),6)</f>
        <v>11.362</v>
      </c>
      <c r="DC559">
        <f>ROUND((ROUND(AT559*AG559,2)*ROUND(1.15,7)),6)</f>
        <v>0</v>
      </c>
    </row>
    <row r="560" spans="1:107">
      <c r="A560">
        <f>ROW(Source!A246)</f>
        <v>246</v>
      </c>
      <c r="B560">
        <v>31028412</v>
      </c>
      <c r="C560">
        <v>31029932</v>
      </c>
      <c r="D560">
        <v>29215982</v>
      </c>
      <c r="E560">
        <v>1</v>
      </c>
      <c r="F560">
        <v>1</v>
      </c>
      <c r="G560">
        <v>1</v>
      </c>
      <c r="H560">
        <v>3</v>
      </c>
      <c r="I560" t="s">
        <v>825</v>
      </c>
      <c r="J560" t="s">
        <v>826</v>
      </c>
      <c r="K560" t="s">
        <v>827</v>
      </c>
      <c r="L560">
        <v>1348</v>
      </c>
      <c r="N560">
        <v>1009</v>
      </c>
      <c r="O560" t="s">
        <v>137</v>
      </c>
      <c r="P560" t="s">
        <v>137</v>
      </c>
      <c r="Q560">
        <v>1000</v>
      </c>
      <c r="W560">
        <v>0</v>
      </c>
      <c r="X560">
        <v>367953619</v>
      </c>
      <c r="Y560">
        <v>6.0000000000000001E-3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6.17</v>
      </c>
      <c r="AJ560">
        <v>1</v>
      </c>
      <c r="AK560">
        <v>1</v>
      </c>
      <c r="AL560">
        <v>1</v>
      </c>
      <c r="AN560">
        <v>0</v>
      </c>
      <c r="AO560">
        <v>0</v>
      </c>
      <c r="AP560">
        <v>0</v>
      </c>
      <c r="AQ560">
        <v>0</v>
      </c>
      <c r="AR560">
        <v>0</v>
      </c>
      <c r="AS560" t="s">
        <v>6</v>
      </c>
      <c r="AT560">
        <v>6.0000000000000001E-3</v>
      </c>
      <c r="AU560" t="s">
        <v>6</v>
      </c>
      <c r="AV560">
        <v>0</v>
      </c>
      <c r="AW560">
        <v>2</v>
      </c>
      <c r="AX560">
        <v>31029938</v>
      </c>
      <c r="AY560">
        <v>1</v>
      </c>
      <c r="AZ560">
        <v>0</v>
      </c>
      <c r="BA560">
        <v>586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CX560">
        <f>Y560*Source!I246</f>
        <v>2.4E-2</v>
      </c>
      <c r="CY560">
        <f>AA560</f>
        <v>0</v>
      </c>
      <c r="CZ560">
        <f>AE560</f>
        <v>0</v>
      </c>
      <c r="DA560">
        <f>AI560</f>
        <v>6.17</v>
      </c>
      <c r="DB560">
        <f>ROUND(ROUND(AT560*CZ560,2),6)</f>
        <v>0</v>
      </c>
      <c r="DC560">
        <f>ROUND(ROUND(AT560*AG560,2),6)</f>
        <v>0</v>
      </c>
    </row>
    <row r="561" spans="1:107">
      <c r="A561">
        <f>ROW(Source!A247)</f>
        <v>247</v>
      </c>
      <c r="B561">
        <v>31028412</v>
      </c>
      <c r="C561">
        <v>31029939</v>
      </c>
      <c r="D561">
        <v>29084588</v>
      </c>
      <c r="E561">
        <v>1</v>
      </c>
      <c r="F561">
        <v>1</v>
      </c>
      <c r="G561">
        <v>1</v>
      </c>
      <c r="H561">
        <v>1</v>
      </c>
      <c r="I561" t="s">
        <v>909</v>
      </c>
      <c r="J561" t="s">
        <v>6</v>
      </c>
      <c r="K561" t="s">
        <v>910</v>
      </c>
      <c r="L561">
        <v>1369</v>
      </c>
      <c r="N561">
        <v>1013</v>
      </c>
      <c r="O561" t="s">
        <v>773</v>
      </c>
      <c r="P561" t="s">
        <v>773</v>
      </c>
      <c r="Q561">
        <v>1</v>
      </c>
      <c r="W561">
        <v>0</v>
      </c>
      <c r="X561">
        <v>-1990058995</v>
      </c>
      <c r="Y561">
        <v>47.715799999999994</v>
      </c>
      <c r="AA561">
        <v>0</v>
      </c>
      <c r="AB561">
        <v>0</v>
      </c>
      <c r="AC561">
        <v>0</v>
      </c>
      <c r="AD561">
        <v>212.17</v>
      </c>
      <c r="AE561">
        <v>0</v>
      </c>
      <c r="AF561">
        <v>0</v>
      </c>
      <c r="AG561">
        <v>0</v>
      </c>
      <c r="AH561">
        <v>8.76</v>
      </c>
      <c r="AI561">
        <v>1</v>
      </c>
      <c r="AJ561">
        <v>1</v>
      </c>
      <c r="AK561">
        <v>1</v>
      </c>
      <c r="AL561">
        <v>24.22</v>
      </c>
      <c r="AN561">
        <v>0</v>
      </c>
      <c r="AO561">
        <v>1</v>
      </c>
      <c r="AP561">
        <v>1</v>
      </c>
      <c r="AQ561">
        <v>0</v>
      </c>
      <c r="AR561">
        <v>0</v>
      </c>
      <c r="AS561" t="s">
        <v>6</v>
      </c>
      <c r="AT561">
        <v>36.08</v>
      </c>
      <c r="AU561" t="s">
        <v>127</v>
      </c>
      <c r="AV561">
        <v>1</v>
      </c>
      <c r="AW561">
        <v>2</v>
      </c>
      <c r="AX561">
        <v>31029948</v>
      </c>
      <c r="AY561">
        <v>1</v>
      </c>
      <c r="AZ561">
        <v>0</v>
      </c>
      <c r="BA561">
        <v>587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0</v>
      </c>
      <c r="BR561">
        <v>0</v>
      </c>
      <c r="BS561">
        <v>0</v>
      </c>
      <c r="BT561">
        <v>0</v>
      </c>
      <c r="BU561">
        <v>0</v>
      </c>
      <c r="BV561">
        <v>0</v>
      </c>
      <c r="BW561">
        <v>0</v>
      </c>
      <c r="CX561">
        <f>Y561*Source!I247</f>
        <v>202.87803843999998</v>
      </c>
      <c r="CY561">
        <f>AD561</f>
        <v>212.17</v>
      </c>
      <c r="CZ561">
        <f>AH561</f>
        <v>8.76</v>
      </c>
      <c r="DA561">
        <f>AL561</f>
        <v>24.22</v>
      </c>
      <c r="DB561">
        <f>ROUND((ROUND(AT561*CZ561,2)*ROUND((1.15*1.15),7)),6)</f>
        <v>417.98935</v>
      </c>
      <c r="DC561">
        <f>ROUND((ROUND(AT561*AG561,2)*ROUND((1.15*1.15),7)),6)</f>
        <v>0</v>
      </c>
    </row>
    <row r="562" spans="1:107">
      <c r="A562">
        <f>ROW(Source!A247)</f>
        <v>247</v>
      </c>
      <c r="B562">
        <v>31028412</v>
      </c>
      <c r="C562">
        <v>31029939</v>
      </c>
      <c r="D562">
        <v>29084573</v>
      </c>
      <c r="E562">
        <v>1</v>
      </c>
      <c r="F562">
        <v>1</v>
      </c>
      <c r="G562">
        <v>1</v>
      </c>
      <c r="H562">
        <v>1</v>
      </c>
      <c r="I562" t="s">
        <v>774</v>
      </c>
      <c r="J562" t="s">
        <v>6</v>
      </c>
      <c r="K562" t="s">
        <v>775</v>
      </c>
      <c r="L562">
        <v>608254</v>
      </c>
      <c r="N562">
        <v>1013</v>
      </c>
      <c r="O562" t="s">
        <v>776</v>
      </c>
      <c r="P562" t="s">
        <v>776</v>
      </c>
      <c r="Q562">
        <v>1</v>
      </c>
      <c r="W562">
        <v>0</v>
      </c>
      <c r="X562">
        <v>95408949</v>
      </c>
      <c r="Y562">
        <v>0.53187499999999999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1</v>
      </c>
      <c r="AJ562">
        <v>1</v>
      </c>
      <c r="AK562">
        <v>24.22</v>
      </c>
      <c r="AL562">
        <v>1</v>
      </c>
      <c r="AN562">
        <v>0</v>
      </c>
      <c r="AO562">
        <v>1</v>
      </c>
      <c r="AP562">
        <v>1</v>
      </c>
      <c r="AQ562">
        <v>0</v>
      </c>
      <c r="AR562">
        <v>0</v>
      </c>
      <c r="AS562" t="s">
        <v>6</v>
      </c>
      <c r="AT562">
        <v>0.37</v>
      </c>
      <c r="AU562" t="s">
        <v>126</v>
      </c>
      <c r="AV562">
        <v>2</v>
      </c>
      <c r="AW562">
        <v>2</v>
      </c>
      <c r="AX562">
        <v>31029949</v>
      </c>
      <c r="AY562">
        <v>1</v>
      </c>
      <c r="AZ562">
        <v>0</v>
      </c>
      <c r="BA562">
        <v>588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CX562">
        <f>Y562*Source!I247</f>
        <v>2.2614261250000003</v>
      </c>
      <c r="CY562">
        <f>AD562</f>
        <v>0</v>
      </c>
      <c r="CZ562">
        <f>AH562</f>
        <v>0</v>
      </c>
      <c r="DA562">
        <f>AL562</f>
        <v>1</v>
      </c>
      <c r="DB562">
        <f>ROUND((ROUND(AT562*CZ562,2)*ROUND((1.25*1.15),7)),6)</f>
        <v>0</v>
      </c>
      <c r="DC562">
        <f>ROUND((ROUND(AT562*AG562,2)*ROUND((1.25*1.15),7)),6)</f>
        <v>0</v>
      </c>
    </row>
    <row r="563" spans="1:107">
      <c r="A563">
        <f>ROW(Source!A247)</f>
        <v>247</v>
      </c>
      <c r="B563">
        <v>31028412</v>
      </c>
      <c r="C563">
        <v>31029939</v>
      </c>
      <c r="D563">
        <v>29147601</v>
      </c>
      <c r="E563">
        <v>1</v>
      </c>
      <c r="F563">
        <v>1</v>
      </c>
      <c r="G563">
        <v>1</v>
      </c>
      <c r="H563">
        <v>2</v>
      </c>
      <c r="I563" t="s">
        <v>781</v>
      </c>
      <c r="J563" t="s">
        <v>782</v>
      </c>
      <c r="K563" t="s">
        <v>783</v>
      </c>
      <c r="L563">
        <v>1368</v>
      </c>
      <c r="N563">
        <v>1011</v>
      </c>
      <c r="O563" t="s">
        <v>780</v>
      </c>
      <c r="P563" t="s">
        <v>780</v>
      </c>
      <c r="Q563">
        <v>1</v>
      </c>
      <c r="W563">
        <v>0</v>
      </c>
      <c r="X563">
        <v>1170567961</v>
      </c>
      <c r="Y563">
        <v>0.53187499999999999</v>
      </c>
      <c r="AA563">
        <v>0</v>
      </c>
      <c r="AB563">
        <v>828.56</v>
      </c>
      <c r="AC563">
        <v>315.58999999999997</v>
      </c>
      <c r="AD563">
        <v>0</v>
      </c>
      <c r="AE563">
        <v>0</v>
      </c>
      <c r="AF563">
        <v>108.45</v>
      </c>
      <c r="AG563">
        <v>13.03</v>
      </c>
      <c r="AH563">
        <v>0</v>
      </c>
      <c r="AI563">
        <v>1</v>
      </c>
      <c r="AJ563">
        <v>7.64</v>
      </c>
      <c r="AK563">
        <v>24.22</v>
      </c>
      <c r="AL563">
        <v>1</v>
      </c>
      <c r="AN563">
        <v>0</v>
      </c>
      <c r="AO563">
        <v>1</v>
      </c>
      <c r="AP563">
        <v>1</v>
      </c>
      <c r="AQ563">
        <v>0</v>
      </c>
      <c r="AR563">
        <v>0</v>
      </c>
      <c r="AS563" t="s">
        <v>6</v>
      </c>
      <c r="AT563">
        <v>0.37</v>
      </c>
      <c r="AU563" t="s">
        <v>126</v>
      </c>
      <c r="AV563">
        <v>0</v>
      </c>
      <c r="AW563">
        <v>2</v>
      </c>
      <c r="AX563">
        <v>31029950</v>
      </c>
      <c r="AY563">
        <v>1</v>
      </c>
      <c r="AZ563">
        <v>0</v>
      </c>
      <c r="BA563">
        <v>589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CX563">
        <f>Y563*Source!I247</f>
        <v>2.2614261250000003</v>
      </c>
      <c r="CY563">
        <f>AB563</f>
        <v>828.56</v>
      </c>
      <c r="CZ563">
        <f>AF563</f>
        <v>108.45</v>
      </c>
      <c r="DA563">
        <f>AJ563</f>
        <v>7.64</v>
      </c>
      <c r="DB563">
        <f>ROUND((ROUND(AT563*CZ563,2)*ROUND((1.25*1.15),7)),6)</f>
        <v>57.686875000000001</v>
      </c>
      <c r="DC563">
        <f>ROUND((ROUND(AT563*AG563,2)*ROUND((1.25*1.15),7)),6)</f>
        <v>6.92875</v>
      </c>
    </row>
    <row r="564" spans="1:107">
      <c r="A564">
        <f>ROW(Source!A247)</f>
        <v>247</v>
      </c>
      <c r="B564">
        <v>31028412</v>
      </c>
      <c r="C564">
        <v>31029939</v>
      </c>
      <c r="D564">
        <v>29147805</v>
      </c>
      <c r="E564">
        <v>1</v>
      </c>
      <c r="F564">
        <v>1</v>
      </c>
      <c r="G564">
        <v>1</v>
      </c>
      <c r="H564">
        <v>2</v>
      </c>
      <c r="I564" t="s">
        <v>1179</v>
      </c>
      <c r="J564" t="s">
        <v>1180</v>
      </c>
      <c r="K564" t="s">
        <v>1181</v>
      </c>
      <c r="L564">
        <v>1368</v>
      </c>
      <c r="N564">
        <v>1011</v>
      </c>
      <c r="O564" t="s">
        <v>780</v>
      </c>
      <c r="P564" t="s">
        <v>780</v>
      </c>
      <c r="Q564">
        <v>1</v>
      </c>
      <c r="W564">
        <v>0</v>
      </c>
      <c r="X564">
        <v>574955774</v>
      </c>
      <c r="Y564">
        <v>2.3287500000000003</v>
      </c>
      <c r="AA564">
        <v>0</v>
      </c>
      <c r="AB564">
        <v>61.88</v>
      </c>
      <c r="AC564">
        <v>0</v>
      </c>
      <c r="AD564">
        <v>0</v>
      </c>
      <c r="AE564">
        <v>0</v>
      </c>
      <c r="AF564">
        <v>8.1</v>
      </c>
      <c r="AG564">
        <v>0</v>
      </c>
      <c r="AH564">
        <v>0</v>
      </c>
      <c r="AI564">
        <v>1</v>
      </c>
      <c r="AJ564">
        <v>7.64</v>
      </c>
      <c r="AK564">
        <v>24.22</v>
      </c>
      <c r="AL564">
        <v>1</v>
      </c>
      <c r="AN564">
        <v>0</v>
      </c>
      <c r="AO564">
        <v>1</v>
      </c>
      <c r="AP564">
        <v>1</v>
      </c>
      <c r="AQ564">
        <v>0</v>
      </c>
      <c r="AR564">
        <v>0</v>
      </c>
      <c r="AS564" t="s">
        <v>6</v>
      </c>
      <c r="AT564">
        <v>1.62</v>
      </c>
      <c r="AU564" t="s">
        <v>126</v>
      </c>
      <c r="AV564">
        <v>0</v>
      </c>
      <c r="AW564">
        <v>2</v>
      </c>
      <c r="AX564">
        <v>31029951</v>
      </c>
      <c r="AY564">
        <v>1</v>
      </c>
      <c r="AZ564">
        <v>0</v>
      </c>
      <c r="BA564">
        <v>590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CX564">
        <f>Y564*Source!I247</f>
        <v>9.9013792500000015</v>
      </c>
      <c r="CY564">
        <f>AB564</f>
        <v>61.88</v>
      </c>
      <c r="CZ564">
        <f>AF564</f>
        <v>8.1</v>
      </c>
      <c r="DA564">
        <f>AJ564</f>
        <v>7.64</v>
      </c>
      <c r="DB564">
        <f>ROUND((ROUND(AT564*CZ564,2)*ROUND((1.25*1.15),7)),6)</f>
        <v>18.86</v>
      </c>
      <c r="DC564">
        <f>ROUND((ROUND(AT564*AG564,2)*ROUND((1.25*1.15),7)),6)</f>
        <v>0</v>
      </c>
    </row>
    <row r="565" spans="1:107">
      <c r="A565">
        <f>ROW(Source!A247)</f>
        <v>247</v>
      </c>
      <c r="B565">
        <v>31028412</v>
      </c>
      <c r="C565">
        <v>31029939</v>
      </c>
      <c r="D565">
        <v>29149520</v>
      </c>
      <c r="E565">
        <v>1</v>
      </c>
      <c r="F565">
        <v>1</v>
      </c>
      <c r="G565">
        <v>1</v>
      </c>
      <c r="H565">
        <v>2</v>
      </c>
      <c r="I565" t="s">
        <v>790</v>
      </c>
      <c r="J565" t="s">
        <v>791</v>
      </c>
      <c r="K565" t="s">
        <v>792</v>
      </c>
      <c r="L565">
        <v>1368</v>
      </c>
      <c r="N565">
        <v>1011</v>
      </c>
      <c r="O565" t="s">
        <v>780</v>
      </c>
      <c r="P565" t="s">
        <v>780</v>
      </c>
      <c r="Q565">
        <v>1</v>
      </c>
      <c r="W565">
        <v>0</v>
      </c>
      <c r="X565">
        <v>-1931461795</v>
      </c>
      <c r="Y565">
        <v>0.37374999999999997</v>
      </c>
      <c r="AA565">
        <v>0</v>
      </c>
      <c r="AB565">
        <v>699.98</v>
      </c>
      <c r="AC565">
        <v>0</v>
      </c>
      <c r="AD565">
        <v>0</v>
      </c>
      <c r="AE565">
        <v>0</v>
      </c>
      <c r="AF565">
        <v>91.62</v>
      </c>
      <c r="AG565">
        <v>0</v>
      </c>
      <c r="AH565">
        <v>0</v>
      </c>
      <c r="AI565">
        <v>1</v>
      </c>
      <c r="AJ565">
        <v>7.64</v>
      </c>
      <c r="AK565">
        <v>24.22</v>
      </c>
      <c r="AL565">
        <v>1</v>
      </c>
      <c r="AN565">
        <v>0</v>
      </c>
      <c r="AO565">
        <v>1</v>
      </c>
      <c r="AP565">
        <v>1</v>
      </c>
      <c r="AQ565">
        <v>0</v>
      </c>
      <c r="AR565">
        <v>0</v>
      </c>
      <c r="AS565" t="s">
        <v>6</v>
      </c>
      <c r="AT565">
        <v>0.26</v>
      </c>
      <c r="AU565" t="s">
        <v>126</v>
      </c>
      <c r="AV565">
        <v>0</v>
      </c>
      <c r="AW565">
        <v>2</v>
      </c>
      <c r="AX565">
        <v>31029952</v>
      </c>
      <c r="AY565">
        <v>1</v>
      </c>
      <c r="AZ565">
        <v>0</v>
      </c>
      <c r="BA565">
        <v>591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CX565">
        <f>Y565*Source!I247</f>
        <v>1.5891102500000001</v>
      </c>
      <c r="CY565">
        <f>AB565</f>
        <v>699.98</v>
      </c>
      <c r="CZ565">
        <f>AF565</f>
        <v>91.62</v>
      </c>
      <c r="DA565">
        <f>AJ565</f>
        <v>7.64</v>
      </c>
      <c r="DB565">
        <f>ROUND((ROUND(AT565*CZ565,2)*ROUND((1.25*1.15),7)),6)</f>
        <v>34.241250000000001</v>
      </c>
      <c r="DC565">
        <f>ROUND((ROUND(AT565*AG565,2)*ROUND((1.25*1.15),7)),6)</f>
        <v>0</v>
      </c>
    </row>
    <row r="566" spans="1:107">
      <c r="A566">
        <f>ROW(Source!A247)</f>
        <v>247</v>
      </c>
      <c r="B566">
        <v>31028412</v>
      </c>
      <c r="C566">
        <v>31029939</v>
      </c>
      <c r="D566">
        <v>29151790</v>
      </c>
      <c r="E566">
        <v>1</v>
      </c>
      <c r="F566">
        <v>1</v>
      </c>
      <c r="G566">
        <v>1</v>
      </c>
      <c r="H566">
        <v>3</v>
      </c>
      <c r="I566" t="s">
        <v>1068</v>
      </c>
      <c r="J566" t="s">
        <v>1069</v>
      </c>
      <c r="K566" t="s">
        <v>1070</v>
      </c>
      <c r="L566">
        <v>1348</v>
      </c>
      <c r="N566">
        <v>1009</v>
      </c>
      <c r="O566" t="s">
        <v>137</v>
      </c>
      <c r="P566" t="s">
        <v>137</v>
      </c>
      <c r="Q566">
        <v>1000</v>
      </c>
      <c r="W566">
        <v>0</v>
      </c>
      <c r="X566">
        <v>460461585</v>
      </c>
      <c r="Y566">
        <v>2E-3</v>
      </c>
      <c r="AA566">
        <v>69053.279999999999</v>
      </c>
      <c r="AB566">
        <v>0</v>
      </c>
      <c r="AC566">
        <v>0</v>
      </c>
      <c r="AD566">
        <v>0</v>
      </c>
      <c r="AE566">
        <v>11191.78</v>
      </c>
      <c r="AF566">
        <v>0</v>
      </c>
      <c r="AG566">
        <v>0</v>
      </c>
      <c r="AH566">
        <v>0</v>
      </c>
      <c r="AI566">
        <v>6.17</v>
      </c>
      <c r="AJ566">
        <v>1</v>
      </c>
      <c r="AK566">
        <v>1</v>
      </c>
      <c r="AL566">
        <v>1</v>
      </c>
      <c r="AN566">
        <v>0</v>
      </c>
      <c r="AO566">
        <v>1</v>
      </c>
      <c r="AP566">
        <v>0</v>
      </c>
      <c r="AQ566">
        <v>0</v>
      </c>
      <c r="AR566">
        <v>0</v>
      </c>
      <c r="AS566" t="s">
        <v>6</v>
      </c>
      <c r="AT566">
        <v>2E-3</v>
      </c>
      <c r="AU566" t="s">
        <v>6</v>
      </c>
      <c r="AV566">
        <v>0</v>
      </c>
      <c r="AW566">
        <v>2</v>
      </c>
      <c r="AX566">
        <v>31029953</v>
      </c>
      <c r="AY566">
        <v>1</v>
      </c>
      <c r="AZ566">
        <v>0</v>
      </c>
      <c r="BA566">
        <v>592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CX566">
        <f>Y566*Source!I247</f>
        <v>8.5036E-3</v>
      </c>
      <c r="CY566">
        <f>AA566</f>
        <v>69053.279999999999</v>
      </c>
      <c r="CZ566">
        <f>AE566</f>
        <v>11191.78</v>
      </c>
      <c r="DA566">
        <f>AI566</f>
        <v>6.17</v>
      </c>
      <c r="DB566">
        <f>ROUND(ROUND(AT566*CZ566,2),6)</f>
        <v>22.38</v>
      </c>
      <c r="DC566">
        <f>ROUND(ROUND(AT566*AG566,2),6)</f>
        <v>0</v>
      </c>
    </row>
    <row r="567" spans="1:107">
      <c r="A567">
        <f>ROW(Source!A247)</f>
        <v>247</v>
      </c>
      <c r="B567">
        <v>31028412</v>
      </c>
      <c r="C567">
        <v>31029939</v>
      </c>
      <c r="D567">
        <v>29170404</v>
      </c>
      <c r="E567">
        <v>1</v>
      </c>
      <c r="F567">
        <v>1</v>
      </c>
      <c r="G567">
        <v>1</v>
      </c>
      <c r="H567">
        <v>3</v>
      </c>
      <c r="I567" t="s">
        <v>1182</v>
      </c>
      <c r="J567" t="s">
        <v>1183</v>
      </c>
      <c r="K567" t="s">
        <v>1184</v>
      </c>
      <c r="L567">
        <v>1354</v>
      </c>
      <c r="N567">
        <v>1010</v>
      </c>
      <c r="O567" t="s">
        <v>704</v>
      </c>
      <c r="P567" t="s">
        <v>704</v>
      </c>
      <c r="Q567">
        <v>1</v>
      </c>
      <c r="W567">
        <v>0</v>
      </c>
      <c r="X567">
        <v>1082771524</v>
      </c>
      <c r="Y567">
        <v>0.01</v>
      </c>
      <c r="AA567">
        <v>2134.8200000000002</v>
      </c>
      <c r="AB567">
        <v>0</v>
      </c>
      <c r="AC567">
        <v>0</v>
      </c>
      <c r="AD567">
        <v>0</v>
      </c>
      <c r="AE567">
        <v>346</v>
      </c>
      <c r="AF567">
        <v>0</v>
      </c>
      <c r="AG567">
        <v>0</v>
      </c>
      <c r="AH567">
        <v>0</v>
      </c>
      <c r="AI567">
        <v>6.17</v>
      </c>
      <c r="AJ567">
        <v>1</v>
      </c>
      <c r="AK567">
        <v>1</v>
      </c>
      <c r="AL567">
        <v>1</v>
      </c>
      <c r="AN567">
        <v>0</v>
      </c>
      <c r="AO567">
        <v>1</v>
      </c>
      <c r="AP567">
        <v>0</v>
      </c>
      <c r="AQ567">
        <v>0</v>
      </c>
      <c r="AR567">
        <v>0</v>
      </c>
      <c r="AS567" t="s">
        <v>6</v>
      </c>
      <c r="AT567">
        <v>0.01</v>
      </c>
      <c r="AU567" t="s">
        <v>6</v>
      </c>
      <c r="AV567">
        <v>0</v>
      </c>
      <c r="AW567">
        <v>2</v>
      </c>
      <c r="AX567">
        <v>31029954</v>
      </c>
      <c r="AY567">
        <v>1</v>
      </c>
      <c r="AZ567">
        <v>0</v>
      </c>
      <c r="BA567">
        <v>593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CX567">
        <f>Y567*Source!I247</f>
        <v>4.2518E-2</v>
      </c>
      <c r="CY567">
        <f>AA567</f>
        <v>2134.8200000000002</v>
      </c>
      <c r="CZ567">
        <f>AE567</f>
        <v>346</v>
      </c>
      <c r="DA567">
        <f>AI567</f>
        <v>6.17</v>
      </c>
      <c r="DB567">
        <f>ROUND(ROUND(AT567*CZ567,2),6)</f>
        <v>3.46</v>
      </c>
      <c r="DC567">
        <f>ROUND(ROUND(AT567*AG567,2),6)</f>
        <v>0</v>
      </c>
    </row>
    <row r="568" spans="1:107">
      <c r="A568">
        <f>ROW(Source!A247)</f>
        <v>247</v>
      </c>
      <c r="B568">
        <v>31028412</v>
      </c>
      <c r="C568">
        <v>31029939</v>
      </c>
      <c r="D568">
        <v>29173213</v>
      </c>
      <c r="E568">
        <v>1</v>
      </c>
      <c r="F568">
        <v>1</v>
      </c>
      <c r="G568">
        <v>1</v>
      </c>
      <c r="H568">
        <v>3</v>
      </c>
      <c r="I568" t="s">
        <v>1185</v>
      </c>
      <c r="J568" t="s">
        <v>1186</v>
      </c>
      <c r="K568" t="s">
        <v>1187</v>
      </c>
      <c r="L568">
        <v>1348</v>
      </c>
      <c r="N568">
        <v>1009</v>
      </c>
      <c r="O568" t="s">
        <v>137</v>
      </c>
      <c r="P568" t="s">
        <v>137</v>
      </c>
      <c r="Q568">
        <v>1000</v>
      </c>
      <c r="W568">
        <v>0</v>
      </c>
      <c r="X568">
        <v>1987526549</v>
      </c>
      <c r="Y568">
        <v>1</v>
      </c>
      <c r="AA568">
        <v>47298.6</v>
      </c>
      <c r="AB568">
        <v>0</v>
      </c>
      <c r="AC568">
        <v>0</v>
      </c>
      <c r="AD568">
        <v>0</v>
      </c>
      <c r="AE568">
        <v>7665.9</v>
      </c>
      <c r="AF568">
        <v>0</v>
      </c>
      <c r="AG568">
        <v>0</v>
      </c>
      <c r="AH568">
        <v>0</v>
      </c>
      <c r="AI568">
        <v>6.17</v>
      </c>
      <c r="AJ568">
        <v>1</v>
      </c>
      <c r="AK568">
        <v>1</v>
      </c>
      <c r="AL568">
        <v>1</v>
      </c>
      <c r="AN568">
        <v>0</v>
      </c>
      <c r="AO568">
        <v>1</v>
      </c>
      <c r="AP568">
        <v>0</v>
      </c>
      <c r="AQ568">
        <v>0</v>
      </c>
      <c r="AR568">
        <v>0</v>
      </c>
      <c r="AS568" t="s">
        <v>6</v>
      </c>
      <c r="AT568">
        <v>1</v>
      </c>
      <c r="AU568" t="s">
        <v>6</v>
      </c>
      <c r="AV568">
        <v>0</v>
      </c>
      <c r="AW568">
        <v>2</v>
      </c>
      <c r="AX568">
        <v>31029955</v>
      </c>
      <c r="AY568">
        <v>1</v>
      </c>
      <c r="AZ568">
        <v>0</v>
      </c>
      <c r="BA568">
        <v>594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CX568">
        <f>Y568*Source!I247</f>
        <v>4.2518000000000002</v>
      </c>
      <c r="CY568">
        <f>AA568</f>
        <v>47298.6</v>
      </c>
      <c r="CZ568">
        <f>AE568</f>
        <v>7665.9</v>
      </c>
      <c r="DA568">
        <f>AI568</f>
        <v>6.17</v>
      </c>
      <c r="DB568">
        <f>ROUND(ROUND(AT568*CZ568,2),6)</f>
        <v>7665.9</v>
      </c>
      <c r="DC568">
        <f>ROUND(ROUND(AT568*AG568,2),6)</f>
        <v>0</v>
      </c>
    </row>
    <row r="569" spans="1:107">
      <c r="A569">
        <f>ROW(Source!A249)</f>
        <v>249</v>
      </c>
      <c r="B569">
        <v>31028412</v>
      </c>
      <c r="C569">
        <v>31029957</v>
      </c>
      <c r="D569">
        <v>29084581</v>
      </c>
      <c r="E569">
        <v>1</v>
      </c>
      <c r="F569">
        <v>1</v>
      </c>
      <c r="G569">
        <v>1</v>
      </c>
      <c r="H569">
        <v>1</v>
      </c>
      <c r="I569" t="s">
        <v>880</v>
      </c>
      <c r="J569" t="s">
        <v>6</v>
      </c>
      <c r="K569" t="s">
        <v>881</v>
      </c>
      <c r="L569">
        <v>1369</v>
      </c>
      <c r="N569">
        <v>1013</v>
      </c>
      <c r="O569" t="s">
        <v>773</v>
      </c>
      <c r="P569" t="s">
        <v>773</v>
      </c>
      <c r="Q569">
        <v>1</v>
      </c>
      <c r="W569">
        <v>0</v>
      </c>
      <c r="X569">
        <v>-1013777572</v>
      </c>
      <c r="Y569">
        <v>6.8902249999999992</v>
      </c>
      <c r="AA569">
        <v>0</v>
      </c>
      <c r="AB569">
        <v>0</v>
      </c>
      <c r="AC569">
        <v>0</v>
      </c>
      <c r="AD569">
        <v>194.24</v>
      </c>
      <c r="AE569">
        <v>0</v>
      </c>
      <c r="AF569">
        <v>0</v>
      </c>
      <c r="AG569">
        <v>0</v>
      </c>
      <c r="AH569">
        <v>8.02</v>
      </c>
      <c r="AI569">
        <v>1</v>
      </c>
      <c r="AJ569">
        <v>1</v>
      </c>
      <c r="AK569">
        <v>1</v>
      </c>
      <c r="AL569">
        <v>24.22</v>
      </c>
      <c r="AN569">
        <v>0</v>
      </c>
      <c r="AO569">
        <v>1</v>
      </c>
      <c r="AP569">
        <v>1</v>
      </c>
      <c r="AQ569">
        <v>0</v>
      </c>
      <c r="AR569">
        <v>0</v>
      </c>
      <c r="AS569" t="s">
        <v>6</v>
      </c>
      <c r="AT569">
        <v>5.21</v>
      </c>
      <c r="AU569" t="s">
        <v>127</v>
      </c>
      <c r="AV569">
        <v>1</v>
      </c>
      <c r="AW569">
        <v>2</v>
      </c>
      <c r="AX569">
        <v>31029963</v>
      </c>
      <c r="AY569">
        <v>1</v>
      </c>
      <c r="AZ569">
        <v>0</v>
      </c>
      <c r="BA569">
        <v>595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CX569">
        <f>Y569*Source!I249</f>
        <v>320.39546249999995</v>
      </c>
      <c r="CY569">
        <f>AD569</f>
        <v>194.24</v>
      </c>
      <c r="CZ569">
        <f>AH569</f>
        <v>8.02</v>
      </c>
      <c r="DA569">
        <f>AL569</f>
        <v>24.22</v>
      </c>
      <c r="DB569">
        <f>ROUND((ROUND(AT569*CZ569,2)*ROUND((1.15*1.15),7)),6)</f>
        <v>55.254049999999999</v>
      </c>
      <c r="DC569">
        <f>ROUND((ROUND(AT569*AG569,2)*ROUND((1.15*1.15),7)),6)</f>
        <v>0</v>
      </c>
    </row>
    <row r="570" spans="1:107">
      <c r="A570">
        <f>ROW(Source!A249)</f>
        <v>249</v>
      </c>
      <c r="B570">
        <v>31028412</v>
      </c>
      <c r="C570">
        <v>31029957</v>
      </c>
      <c r="D570">
        <v>29084573</v>
      </c>
      <c r="E570">
        <v>1</v>
      </c>
      <c r="F570">
        <v>1</v>
      </c>
      <c r="G570">
        <v>1</v>
      </c>
      <c r="H570">
        <v>1</v>
      </c>
      <c r="I570" t="s">
        <v>774</v>
      </c>
      <c r="J570" t="s">
        <v>6</v>
      </c>
      <c r="K570" t="s">
        <v>775</v>
      </c>
      <c r="L570">
        <v>608254</v>
      </c>
      <c r="N570">
        <v>1013</v>
      </c>
      <c r="O570" t="s">
        <v>776</v>
      </c>
      <c r="P570" t="s">
        <v>776</v>
      </c>
      <c r="Q570">
        <v>1</v>
      </c>
      <c r="W570">
        <v>0</v>
      </c>
      <c r="X570">
        <v>95408949</v>
      </c>
      <c r="Y570">
        <v>0.57499999999999996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1</v>
      </c>
      <c r="AJ570">
        <v>1</v>
      </c>
      <c r="AK570">
        <v>24.22</v>
      </c>
      <c r="AL570">
        <v>1</v>
      </c>
      <c r="AN570">
        <v>0</v>
      </c>
      <c r="AO570">
        <v>1</v>
      </c>
      <c r="AP570">
        <v>1</v>
      </c>
      <c r="AQ570">
        <v>0</v>
      </c>
      <c r="AR570">
        <v>0</v>
      </c>
      <c r="AS570" t="s">
        <v>6</v>
      </c>
      <c r="AT570">
        <v>0.4</v>
      </c>
      <c r="AU570" t="s">
        <v>126</v>
      </c>
      <c r="AV570">
        <v>2</v>
      </c>
      <c r="AW570">
        <v>2</v>
      </c>
      <c r="AX570">
        <v>31029964</v>
      </c>
      <c r="AY570">
        <v>1</v>
      </c>
      <c r="AZ570">
        <v>0</v>
      </c>
      <c r="BA570">
        <v>596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CX570">
        <f>Y570*Source!I249</f>
        <v>26.737499999999997</v>
      </c>
      <c r="CY570">
        <f>AD570</f>
        <v>0</v>
      </c>
      <c r="CZ570">
        <f>AH570</f>
        <v>0</v>
      </c>
      <c r="DA570">
        <f>AL570</f>
        <v>1</v>
      </c>
      <c r="DB570">
        <f>ROUND((ROUND(AT570*CZ570,2)*ROUND((1.25*1.15),7)),6)</f>
        <v>0</v>
      </c>
      <c r="DC570">
        <f>ROUND((ROUND(AT570*AG570,2)*ROUND((1.25*1.15),7)),6)</f>
        <v>0</v>
      </c>
    </row>
    <row r="571" spans="1:107">
      <c r="A571">
        <f>ROW(Source!A249)</f>
        <v>249</v>
      </c>
      <c r="B571">
        <v>31028412</v>
      </c>
      <c r="C571">
        <v>31029957</v>
      </c>
      <c r="D571">
        <v>29147520</v>
      </c>
      <c r="E571">
        <v>1</v>
      </c>
      <c r="F571">
        <v>1</v>
      </c>
      <c r="G571">
        <v>1</v>
      </c>
      <c r="H571">
        <v>2</v>
      </c>
      <c r="I571" t="s">
        <v>777</v>
      </c>
      <c r="J571" t="s">
        <v>778</v>
      </c>
      <c r="K571" t="s">
        <v>779</v>
      </c>
      <c r="L571">
        <v>1368</v>
      </c>
      <c r="N571">
        <v>1011</v>
      </c>
      <c r="O571" t="s">
        <v>780</v>
      </c>
      <c r="P571" t="s">
        <v>780</v>
      </c>
      <c r="Q571">
        <v>1</v>
      </c>
      <c r="W571">
        <v>0</v>
      </c>
      <c r="X571">
        <v>-2048414082</v>
      </c>
      <c r="Y571">
        <v>0.57499999999999996</v>
      </c>
      <c r="AA571">
        <v>0</v>
      </c>
      <c r="AB571">
        <v>656.51</v>
      </c>
      <c r="AC571">
        <v>315.58999999999997</v>
      </c>
      <c r="AD571">
        <v>0</v>
      </c>
      <c r="AE571">
        <v>0</v>
      </c>
      <c r="AF571">
        <v>85.93</v>
      </c>
      <c r="AG571">
        <v>13.03</v>
      </c>
      <c r="AH571">
        <v>0</v>
      </c>
      <c r="AI571">
        <v>1</v>
      </c>
      <c r="AJ571">
        <v>7.64</v>
      </c>
      <c r="AK571">
        <v>24.22</v>
      </c>
      <c r="AL571">
        <v>1</v>
      </c>
      <c r="AN571">
        <v>0</v>
      </c>
      <c r="AO571">
        <v>1</v>
      </c>
      <c r="AP571">
        <v>1</v>
      </c>
      <c r="AQ571">
        <v>0</v>
      </c>
      <c r="AR571">
        <v>0</v>
      </c>
      <c r="AS571" t="s">
        <v>6</v>
      </c>
      <c r="AT571">
        <v>0.4</v>
      </c>
      <c r="AU571" t="s">
        <v>126</v>
      </c>
      <c r="AV571">
        <v>0</v>
      </c>
      <c r="AW571">
        <v>2</v>
      </c>
      <c r="AX571">
        <v>31029965</v>
      </c>
      <c r="AY571">
        <v>1</v>
      </c>
      <c r="AZ571">
        <v>0</v>
      </c>
      <c r="BA571">
        <v>597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CX571">
        <f>Y571*Source!I249</f>
        <v>26.737499999999997</v>
      </c>
      <c r="CY571">
        <f>AB571</f>
        <v>656.51</v>
      </c>
      <c r="CZ571">
        <f>AF571</f>
        <v>85.93</v>
      </c>
      <c r="DA571">
        <f>AJ571</f>
        <v>7.64</v>
      </c>
      <c r="DB571">
        <f>ROUND((ROUND(AT571*CZ571,2)*ROUND((1.25*1.15),7)),6)</f>
        <v>49.406874999999999</v>
      </c>
      <c r="DC571">
        <f>ROUND((ROUND(AT571*AG571,2)*ROUND((1.25*1.15),7)),6)</f>
        <v>7.4893749999999999</v>
      </c>
    </row>
    <row r="572" spans="1:107">
      <c r="A572">
        <f>ROW(Source!A249)</f>
        <v>249</v>
      </c>
      <c r="B572">
        <v>31028412</v>
      </c>
      <c r="C572">
        <v>31029957</v>
      </c>
      <c r="D572">
        <v>29158138</v>
      </c>
      <c r="E572">
        <v>1</v>
      </c>
      <c r="F572">
        <v>1</v>
      </c>
      <c r="G572">
        <v>1</v>
      </c>
      <c r="H572">
        <v>3</v>
      </c>
      <c r="I572" t="s">
        <v>882</v>
      </c>
      <c r="J572" t="s">
        <v>883</v>
      </c>
      <c r="K572" t="s">
        <v>884</v>
      </c>
      <c r="L572">
        <v>1339</v>
      </c>
      <c r="N572">
        <v>1007</v>
      </c>
      <c r="O572" t="s">
        <v>109</v>
      </c>
      <c r="P572" t="s">
        <v>109</v>
      </c>
      <c r="Q572">
        <v>1</v>
      </c>
      <c r="W572">
        <v>0</v>
      </c>
      <c r="X572">
        <v>2054754152</v>
      </c>
      <c r="Y572">
        <v>5.0000000000000001E-4</v>
      </c>
      <c r="AA572">
        <v>4960.5600000000004</v>
      </c>
      <c r="AB572">
        <v>0</v>
      </c>
      <c r="AC572">
        <v>0</v>
      </c>
      <c r="AD572">
        <v>0</v>
      </c>
      <c r="AE572">
        <v>803.98</v>
      </c>
      <c r="AF572">
        <v>0</v>
      </c>
      <c r="AG572">
        <v>0</v>
      </c>
      <c r="AH572">
        <v>0</v>
      </c>
      <c r="AI572">
        <v>6.17</v>
      </c>
      <c r="AJ572">
        <v>1</v>
      </c>
      <c r="AK572">
        <v>1</v>
      </c>
      <c r="AL572">
        <v>1</v>
      </c>
      <c r="AN572">
        <v>0</v>
      </c>
      <c r="AO572">
        <v>1</v>
      </c>
      <c r="AP572">
        <v>0</v>
      </c>
      <c r="AQ572">
        <v>0</v>
      </c>
      <c r="AR572">
        <v>0</v>
      </c>
      <c r="AS572" t="s">
        <v>6</v>
      </c>
      <c r="AT572">
        <v>5.0000000000000001E-4</v>
      </c>
      <c r="AU572" t="s">
        <v>6</v>
      </c>
      <c r="AV572">
        <v>0</v>
      </c>
      <c r="AW572">
        <v>2</v>
      </c>
      <c r="AX572">
        <v>31029966</v>
      </c>
      <c r="AY572">
        <v>1</v>
      </c>
      <c r="AZ572">
        <v>0</v>
      </c>
      <c r="BA572">
        <v>598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CX572">
        <f>Y572*Source!I249</f>
        <v>2.325E-2</v>
      </c>
      <c r="CY572">
        <f>AA572</f>
        <v>4960.5600000000004</v>
      </c>
      <c r="CZ572">
        <f>AE572</f>
        <v>803.98</v>
      </c>
      <c r="DA572">
        <f>AI572</f>
        <v>6.17</v>
      </c>
      <c r="DB572">
        <f>ROUND(ROUND(AT572*CZ572,2),6)</f>
        <v>0.4</v>
      </c>
      <c r="DC572">
        <f>ROUND(ROUND(AT572*AG572,2),6)</f>
        <v>0</v>
      </c>
    </row>
    <row r="573" spans="1:107">
      <c r="A573">
        <f>ROW(Source!A249)</f>
        <v>249</v>
      </c>
      <c r="B573">
        <v>31028412</v>
      </c>
      <c r="C573">
        <v>31029957</v>
      </c>
      <c r="D573">
        <v>29195171</v>
      </c>
      <c r="E573">
        <v>1</v>
      </c>
      <c r="F573">
        <v>1</v>
      </c>
      <c r="G573">
        <v>1</v>
      </c>
      <c r="H573">
        <v>3</v>
      </c>
      <c r="I573" t="s">
        <v>830</v>
      </c>
      <c r="J573" t="s">
        <v>831</v>
      </c>
      <c r="K573" t="s">
        <v>832</v>
      </c>
      <c r="L573">
        <v>1339</v>
      </c>
      <c r="N573">
        <v>1007</v>
      </c>
      <c r="O573" t="s">
        <v>109</v>
      </c>
      <c r="P573" t="s">
        <v>109</v>
      </c>
      <c r="Q573">
        <v>1</v>
      </c>
      <c r="W573">
        <v>0</v>
      </c>
      <c r="X573">
        <v>2050165204</v>
      </c>
      <c r="Y573">
        <v>0.44</v>
      </c>
      <c r="AA573">
        <v>15.12</v>
      </c>
      <c r="AB573">
        <v>0</v>
      </c>
      <c r="AC573">
        <v>0</v>
      </c>
      <c r="AD573">
        <v>0</v>
      </c>
      <c r="AE573">
        <v>2.4500000000000002</v>
      </c>
      <c r="AF573">
        <v>0</v>
      </c>
      <c r="AG573">
        <v>0</v>
      </c>
      <c r="AH573">
        <v>0</v>
      </c>
      <c r="AI573">
        <v>6.17</v>
      </c>
      <c r="AJ573">
        <v>1</v>
      </c>
      <c r="AK573">
        <v>1</v>
      </c>
      <c r="AL573">
        <v>1</v>
      </c>
      <c r="AN573">
        <v>0</v>
      </c>
      <c r="AO573">
        <v>1</v>
      </c>
      <c r="AP573">
        <v>0</v>
      </c>
      <c r="AQ573">
        <v>0</v>
      </c>
      <c r="AR573">
        <v>0</v>
      </c>
      <c r="AS573" t="s">
        <v>6</v>
      </c>
      <c r="AT573">
        <v>0.44</v>
      </c>
      <c r="AU573" t="s">
        <v>6</v>
      </c>
      <c r="AV573">
        <v>0</v>
      </c>
      <c r="AW573">
        <v>2</v>
      </c>
      <c r="AX573">
        <v>31029969</v>
      </c>
      <c r="AY573">
        <v>1</v>
      </c>
      <c r="AZ573">
        <v>0</v>
      </c>
      <c r="BA573">
        <v>601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CX573">
        <f>Y573*Source!I249</f>
        <v>20.46</v>
      </c>
      <c r="CY573">
        <f>AA573</f>
        <v>15.12</v>
      </c>
      <c r="CZ573">
        <f>AE573</f>
        <v>2.4500000000000002</v>
      </c>
      <c r="DA573">
        <f>AI573</f>
        <v>6.17</v>
      </c>
      <c r="DB573">
        <f>ROUND(ROUND(AT573*CZ573,2),6)</f>
        <v>1.08</v>
      </c>
      <c r="DC573">
        <f>ROUND(ROUND(AT573*AG573,2),6)</f>
        <v>0</v>
      </c>
    </row>
    <row r="574" spans="1:107">
      <c r="A574">
        <f>ROW(Source!A254)</f>
        <v>254</v>
      </c>
      <c r="B574">
        <v>31028412</v>
      </c>
      <c r="C574">
        <v>31029974</v>
      </c>
      <c r="D574">
        <v>30853534</v>
      </c>
      <c r="E574">
        <v>1</v>
      </c>
      <c r="F574">
        <v>1</v>
      </c>
      <c r="G574">
        <v>1</v>
      </c>
      <c r="H574">
        <v>1</v>
      </c>
      <c r="I574" t="s">
        <v>1188</v>
      </c>
      <c r="J574" t="s">
        <v>6</v>
      </c>
      <c r="K574" t="s">
        <v>1189</v>
      </c>
      <c r="L574">
        <v>1369</v>
      </c>
      <c r="N574">
        <v>1013</v>
      </c>
      <c r="O574" t="s">
        <v>773</v>
      </c>
      <c r="P574" t="s">
        <v>773</v>
      </c>
      <c r="Q574">
        <v>1</v>
      </c>
      <c r="W574">
        <v>0</v>
      </c>
      <c r="X574">
        <v>-1923068736</v>
      </c>
      <c r="Y574">
        <v>84.282924999999977</v>
      </c>
      <c r="AA574">
        <v>0</v>
      </c>
      <c r="AB574">
        <v>0</v>
      </c>
      <c r="AC574">
        <v>0</v>
      </c>
      <c r="AD574">
        <v>185.77</v>
      </c>
      <c r="AE574">
        <v>0</v>
      </c>
      <c r="AF574">
        <v>0</v>
      </c>
      <c r="AG574">
        <v>0</v>
      </c>
      <c r="AH574">
        <v>7.67</v>
      </c>
      <c r="AI574">
        <v>1</v>
      </c>
      <c r="AJ574">
        <v>1</v>
      </c>
      <c r="AK574">
        <v>1</v>
      </c>
      <c r="AL574">
        <v>24.22</v>
      </c>
      <c r="AN574">
        <v>0</v>
      </c>
      <c r="AO574">
        <v>1</v>
      </c>
      <c r="AP574">
        <v>1</v>
      </c>
      <c r="AQ574">
        <v>0</v>
      </c>
      <c r="AR574">
        <v>0</v>
      </c>
      <c r="AS574" t="s">
        <v>6</v>
      </c>
      <c r="AT574">
        <v>63.73</v>
      </c>
      <c r="AU574" t="s">
        <v>127</v>
      </c>
      <c r="AV574">
        <v>1</v>
      </c>
      <c r="AW574">
        <v>2</v>
      </c>
      <c r="AX574">
        <v>31029980</v>
      </c>
      <c r="AY574">
        <v>1</v>
      </c>
      <c r="AZ574">
        <v>0</v>
      </c>
      <c r="BA574">
        <v>602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CX574">
        <f>Y574*Source!I254</f>
        <v>48.884096499999984</v>
      </c>
      <c r="CY574">
        <f>AD574</f>
        <v>185.77</v>
      </c>
      <c r="CZ574">
        <f>AH574</f>
        <v>7.67</v>
      </c>
      <c r="DA574">
        <f>AL574</f>
        <v>24.22</v>
      </c>
      <c r="DB574">
        <f>ROUND((ROUND(AT574*CZ574,2)*ROUND((1.15*1.15),7)),6)</f>
        <v>646.45122500000002</v>
      </c>
      <c r="DC574">
        <f>ROUND((ROUND(AT574*AG574,2)*ROUND((1.15*1.15),7)),6)</f>
        <v>0</v>
      </c>
    </row>
    <row r="575" spans="1:107">
      <c r="A575">
        <f>ROW(Source!A254)</f>
        <v>254</v>
      </c>
      <c r="B575">
        <v>31028412</v>
      </c>
      <c r="C575">
        <v>31029974</v>
      </c>
      <c r="D575">
        <v>29084573</v>
      </c>
      <c r="E575">
        <v>1</v>
      </c>
      <c r="F575">
        <v>1</v>
      </c>
      <c r="G575">
        <v>1</v>
      </c>
      <c r="H575">
        <v>1</v>
      </c>
      <c r="I575" t="s">
        <v>774</v>
      </c>
      <c r="J575" t="s">
        <v>6</v>
      </c>
      <c r="K575" t="s">
        <v>775</v>
      </c>
      <c r="L575">
        <v>608254</v>
      </c>
      <c r="N575">
        <v>1013</v>
      </c>
      <c r="O575" t="s">
        <v>776</v>
      </c>
      <c r="P575" t="s">
        <v>776</v>
      </c>
      <c r="Q575">
        <v>1</v>
      </c>
      <c r="W575">
        <v>0</v>
      </c>
      <c r="X575">
        <v>95408949</v>
      </c>
      <c r="Y575">
        <v>0.330625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1</v>
      </c>
      <c r="AJ575">
        <v>1</v>
      </c>
      <c r="AK575">
        <v>24.22</v>
      </c>
      <c r="AL575">
        <v>1</v>
      </c>
      <c r="AN575">
        <v>0</v>
      </c>
      <c r="AO575">
        <v>1</v>
      </c>
      <c r="AP575">
        <v>1</v>
      </c>
      <c r="AQ575">
        <v>0</v>
      </c>
      <c r="AR575">
        <v>0</v>
      </c>
      <c r="AS575" t="s">
        <v>6</v>
      </c>
      <c r="AT575">
        <v>0.23</v>
      </c>
      <c r="AU575" t="s">
        <v>126</v>
      </c>
      <c r="AV575">
        <v>2</v>
      </c>
      <c r="AW575">
        <v>2</v>
      </c>
      <c r="AX575">
        <v>31029981</v>
      </c>
      <c r="AY575">
        <v>1</v>
      </c>
      <c r="AZ575">
        <v>0</v>
      </c>
      <c r="BA575">
        <v>603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CX575">
        <f>Y575*Source!I254</f>
        <v>0.19176249999999997</v>
      </c>
      <c r="CY575">
        <f>AD575</f>
        <v>0</v>
      </c>
      <c r="CZ575">
        <f>AH575</f>
        <v>0</v>
      </c>
      <c r="DA575">
        <f>AL575</f>
        <v>1</v>
      </c>
      <c r="DB575">
        <f>ROUND((ROUND(AT575*CZ575,2)*ROUND((1.25*1.15),7)),6)</f>
        <v>0</v>
      </c>
      <c r="DC575">
        <f>ROUND((ROUND(AT575*AG575,2)*ROUND((1.25*1.15),7)),6)</f>
        <v>0</v>
      </c>
    </row>
    <row r="576" spans="1:107">
      <c r="A576">
        <f>ROW(Source!A254)</f>
        <v>254</v>
      </c>
      <c r="B576">
        <v>31028412</v>
      </c>
      <c r="C576">
        <v>31029974</v>
      </c>
      <c r="D576">
        <v>29147520</v>
      </c>
      <c r="E576">
        <v>1</v>
      </c>
      <c r="F576">
        <v>1</v>
      </c>
      <c r="G576">
        <v>1</v>
      </c>
      <c r="H576">
        <v>2</v>
      </c>
      <c r="I576" t="s">
        <v>777</v>
      </c>
      <c r="J576" t="s">
        <v>778</v>
      </c>
      <c r="K576" t="s">
        <v>779</v>
      </c>
      <c r="L576">
        <v>1368</v>
      </c>
      <c r="N576">
        <v>1011</v>
      </c>
      <c r="O576" t="s">
        <v>780</v>
      </c>
      <c r="P576" t="s">
        <v>780</v>
      </c>
      <c r="Q576">
        <v>1</v>
      </c>
      <c r="W576">
        <v>0</v>
      </c>
      <c r="X576">
        <v>-2048414082</v>
      </c>
      <c r="Y576">
        <v>0.330625</v>
      </c>
      <c r="AA576">
        <v>0</v>
      </c>
      <c r="AB576">
        <v>656.51</v>
      </c>
      <c r="AC576">
        <v>315.58999999999997</v>
      </c>
      <c r="AD576">
        <v>0</v>
      </c>
      <c r="AE576">
        <v>0</v>
      </c>
      <c r="AF576">
        <v>85.93</v>
      </c>
      <c r="AG576">
        <v>13.03</v>
      </c>
      <c r="AH576">
        <v>0</v>
      </c>
      <c r="AI576">
        <v>1</v>
      </c>
      <c r="AJ576">
        <v>7.64</v>
      </c>
      <c r="AK576">
        <v>24.22</v>
      </c>
      <c r="AL576">
        <v>1</v>
      </c>
      <c r="AN576">
        <v>0</v>
      </c>
      <c r="AO576">
        <v>1</v>
      </c>
      <c r="AP576">
        <v>1</v>
      </c>
      <c r="AQ576">
        <v>0</v>
      </c>
      <c r="AR576">
        <v>0</v>
      </c>
      <c r="AS576" t="s">
        <v>6</v>
      </c>
      <c r="AT576">
        <v>0.23</v>
      </c>
      <c r="AU576" t="s">
        <v>126</v>
      </c>
      <c r="AV576">
        <v>0</v>
      </c>
      <c r="AW576">
        <v>2</v>
      </c>
      <c r="AX576">
        <v>31029982</v>
      </c>
      <c r="AY576">
        <v>1</v>
      </c>
      <c r="AZ576">
        <v>0</v>
      </c>
      <c r="BA576">
        <v>604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CX576">
        <f>Y576*Source!I254</f>
        <v>0.19176249999999997</v>
      </c>
      <c r="CY576">
        <f>AB576</f>
        <v>656.51</v>
      </c>
      <c r="CZ576">
        <f>AF576</f>
        <v>85.93</v>
      </c>
      <c r="DA576">
        <f>AJ576</f>
        <v>7.64</v>
      </c>
      <c r="DB576">
        <f>ROUND((ROUND(AT576*CZ576,2)*ROUND((1.25*1.15),7)),6)</f>
        <v>28.405000000000001</v>
      </c>
      <c r="DC576">
        <f>ROUND((ROUND(AT576*AG576,2)*ROUND((1.25*1.15),7)),6)</f>
        <v>4.3125</v>
      </c>
    </row>
    <row r="577" spans="1:107">
      <c r="A577">
        <f>ROW(Source!A254)</f>
        <v>254</v>
      </c>
      <c r="B577">
        <v>31028412</v>
      </c>
      <c r="C577">
        <v>31029974</v>
      </c>
      <c r="D577">
        <v>29149520</v>
      </c>
      <c r="E577">
        <v>1</v>
      </c>
      <c r="F577">
        <v>1</v>
      </c>
      <c r="G577">
        <v>1</v>
      </c>
      <c r="H577">
        <v>2</v>
      </c>
      <c r="I577" t="s">
        <v>790</v>
      </c>
      <c r="J577" t="s">
        <v>791</v>
      </c>
      <c r="K577" t="s">
        <v>792</v>
      </c>
      <c r="L577">
        <v>1368</v>
      </c>
      <c r="N577">
        <v>1011</v>
      </c>
      <c r="O577" t="s">
        <v>780</v>
      </c>
      <c r="P577" t="s">
        <v>780</v>
      </c>
      <c r="Q577">
        <v>1</v>
      </c>
      <c r="W577">
        <v>0</v>
      </c>
      <c r="X577">
        <v>-1931461795</v>
      </c>
      <c r="Y577">
        <v>0.44562499999999999</v>
      </c>
      <c r="AA577">
        <v>0</v>
      </c>
      <c r="AB577">
        <v>699.98</v>
      </c>
      <c r="AC577">
        <v>0</v>
      </c>
      <c r="AD577">
        <v>0</v>
      </c>
      <c r="AE577">
        <v>0</v>
      </c>
      <c r="AF577">
        <v>91.62</v>
      </c>
      <c r="AG577">
        <v>0</v>
      </c>
      <c r="AH577">
        <v>0</v>
      </c>
      <c r="AI577">
        <v>1</v>
      </c>
      <c r="AJ577">
        <v>7.64</v>
      </c>
      <c r="AK577">
        <v>24.22</v>
      </c>
      <c r="AL577">
        <v>1</v>
      </c>
      <c r="AN577">
        <v>0</v>
      </c>
      <c r="AO577">
        <v>1</v>
      </c>
      <c r="AP577">
        <v>1</v>
      </c>
      <c r="AQ577">
        <v>0</v>
      </c>
      <c r="AR577">
        <v>0</v>
      </c>
      <c r="AS577" t="s">
        <v>6</v>
      </c>
      <c r="AT577">
        <v>0.31</v>
      </c>
      <c r="AU577" t="s">
        <v>126</v>
      </c>
      <c r="AV577">
        <v>0</v>
      </c>
      <c r="AW577">
        <v>2</v>
      </c>
      <c r="AX577">
        <v>31029983</v>
      </c>
      <c r="AY577">
        <v>1</v>
      </c>
      <c r="AZ577">
        <v>0</v>
      </c>
      <c r="BA577">
        <v>605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CX577">
        <f>Y577*Source!I254</f>
        <v>0.25846249999999998</v>
      </c>
      <c r="CY577">
        <f>AB577</f>
        <v>699.98</v>
      </c>
      <c r="CZ577">
        <f>AF577</f>
        <v>91.62</v>
      </c>
      <c r="DA577">
        <f>AJ577</f>
        <v>7.64</v>
      </c>
      <c r="DB577">
        <f>ROUND((ROUND(AT577*CZ577,2)*ROUND((1.25*1.15),7)),6)</f>
        <v>40.825000000000003</v>
      </c>
      <c r="DC577">
        <f>ROUND((ROUND(AT577*AG577,2)*ROUND((1.25*1.15),7)),6)</f>
        <v>0</v>
      </c>
    </row>
    <row r="578" spans="1:107">
      <c r="A578">
        <f>ROW(Source!A254)</f>
        <v>254</v>
      </c>
      <c r="B578">
        <v>31028412</v>
      </c>
      <c r="C578">
        <v>31029974</v>
      </c>
      <c r="D578">
        <v>29173222</v>
      </c>
      <c r="E578">
        <v>1</v>
      </c>
      <c r="F578">
        <v>1</v>
      </c>
      <c r="G578">
        <v>1</v>
      </c>
      <c r="H578">
        <v>3</v>
      </c>
      <c r="I578" t="s">
        <v>1190</v>
      </c>
      <c r="J578" t="s">
        <v>1191</v>
      </c>
      <c r="K578" t="s">
        <v>1192</v>
      </c>
      <c r="L578">
        <v>1348</v>
      </c>
      <c r="N578">
        <v>1009</v>
      </c>
      <c r="O578" t="s">
        <v>137</v>
      </c>
      <c r="P578" t="s">
        <v>137</v>
      </c>
      <c r="Q578">
        <v>1000</v>
      </c>
      <c r="W578">
        <v>0</v>
      </c>
      <c r="X578">
        <v>-1456185455</v>
      </c>
      <c r="Y578">
        <v>1</v>
      </c>
      <c r="AA578">
        <v>48902.8</v>
      </c>
      <c r="AB578">
        <v>0</v>
      </c>
      <c r="AC578">
        <v>0</v>
      </c>
      <c r="AD578">
        <v>0</v>
      </c>
      <c r="AE578">
        <v>7925.9</v>
      </c>
      <c r="AF578">
        <v>0</v>
      </c>
      <c r="AG578">
        <v>0</v>
      </c>
      <c r="AH578">
        <v>0</v>
      </c>
      <c r="AI578">
        <v>6.17</v>
      </c>
      <c r="AJ578">
        <v>1</v>
      </c>
      <c r="AK578">
        <v>1</v>
      </c>
      <c r="AL578">
        <v>1</v>
      </c>
      <c r="AN578">
        <v>0</v>
      </c>
      <c r="AO578">
        <v>1</v>
      </c>
      <c r="AP578">
        <v>0</v>
      </c>
      <c r="AQ578">
        <v>0</v>
      </c>
      <c r="AR578">
        <v>0</v>
      </c>
      <c r="AS578" t="s">
        <v>6</v>
      </c>
      <c r="AT578">
        <v>1</v>
      </c>
      <c r="AU578" t="s">
        <v>6</v>
      </c>
      <c r="AV578">
        <v>0</v>
      </c>
      <c r="AW578">
        <v>2</v>
      </c>
      <c r="AX578">
        <v>31029984</v>
      </c>
      <c r="AY578">
        <v>1</v>
      </c>
      <c r="AZ578">
        <v>0</v>
      </c>
      <c r="BA578">
        <v>606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CX578">
        <f>Y578*Source!I254</f>
        <v>0.57999999999999996</v>
      </c>
      <c r="CY578">
        <f>AA578</f>
        <v>48902.8</v>
      </c>
      <c r="CZ578">
        <f>AE578</f>
        <v>7925.9</v>
      </c>
      <c r="DA578">
        <f>AI578</f>
        <v>6.17</v>
      </c>
      <c r="DB578">
        <f>ROUND(ROUND(AT578*CZ578,2),6)</f>
        <v>7925.9</v>
      </c>
      <c r="DC578">
        <f>ROUND(ROUND(AT578*AG578,2),6)</f>
        <v>0</v>
      </c>
    </row>
    <row r="579" spans="1:107">
      <c r="A579">
        <f>ROW(Source!A255)</f>
        <v>255</v>
      </c>
      <c r="B579">
        <v>31028412</v>
      </c>
      <c r="C579">
        <v>31029985</v>
      </c>
      <c r="D579">
        <v>29084583</v>
      </c>
      <c r="E579">
        <v>1</v>
      </c>
      <c r="F579">
        <v>1</v>
      </c>
      <c r="G579">
        <v>1</v>
      </c>
      <c r="H579">
        <v>1</v>
      </c>
      <c r="I579" t="s">
        <v>857</v>
      </c>
      <c r="J579" t="s">
        <v>6</v>
      </c>
      <c r="K579" t="s">
        <v>858</v>
      </c>
      <c r="L579">
        <v>1369</v>
      </c>
      <c r="N579">
        <v>1013</v>
      </c>
      <c r="O579" t="s">
        <v>773</v>
      </c>
      <c r="P579" t="s">
        <v>773</v>
      </c>
      <c r="Q579">
        <v>1</v>
      </c>
      <c r="W579">
        <v>0</v>
      </c>
      <c r="X579">
        <v>1784516707</v>
      </c>
      <c r="Y579">
        <v>1.1902499999999998</v>
      </c>
      <c r="AA579">
        <v>0</v>
      </c>
      <c r="AB579">
        <v>0</v>
      </c>
      <c r="AC579">
        <v>0</v>
      </c>
      <c r="AD579">
        <v>199.33</v>
      </c>
      <c r="AE579">
        <v>0</v>
      </c>
      <c r="AF579">
        <v>0</v>
      </c>
      <c r="AG579">
        <v>0</v>
      </c>
      <c r="AH579">
        <v>8.23</v>
      </c>
      <c r="AI579">
        <v>1</v>
      </c>
      <c r="AJ579">
        <v>1</v>
      </c>
      <c r="AK579">
        <v>1</v>
      </c>
      <c r="AL579">
        <v>24.22</v>
      </c>
      <c r="AN579">
        <v>0</v>
      </c>
      <c r="AO579">
        <v>1</v>
      </c>
      <c r="AP579">
        <v>1</v>
      </c>
      <c r="AQ579">
        <v>0</v>
      </c>
      <c r="AR579">
        <v>0</v>
      </c>
      <c r="AS579" t="s">
        <v>6</v>
      </c>
      <c r="AT579">
        <v>0.9</v>
      </c>
      <c r="AU579" t="s">
        <v>127</v>
      </c>
      <c r="AV579">
        <v>1</v>
      </c>
      <c r="AW579">
        <v>2</v>
      </c>
      <c r="AX579">
        <v>31029987</v>
      </c>
      <c r="AY579">
        <v>1</v>
      </c>
      <c r="AZ579">
        <v>0</v>
      </c>
      <c r="BA579">
        <v>607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CX579">
        <f>Y579*Source!I255</f>
        <v>15.235199999999999</v>
      </c>
      <c r="CY579">
        <f>AD579</f>
        <v>199.33</v>
      </c>
      <c r="CZ579">
        <f>AH579</f>
        <v>8.23</v>
      </c>
      <c r="DA579">
        <f>AL579</f>
        <v>24.22</v>
      </c>
      <c r="DB579">
        <f>ROUND((ROUND(AT579*CZ579,2)*ROUND((1.15*1.15),7)),6)</f>
        <v>9.7997250000000005</v>
      </c>
      <c r="DC579">
        <f>ROUND((ROUND(AT579*AG579,2)*ROUND((1.15*1.15),7)),6)</f>
        <v>0</v>
      </c>
    </row>
    <row r="580" spans="1:107">
      <c r="A580">
        <f>ROW(Source!A256)</f>
        <v>256</v>
      </c>
      <c r="B580">
        <v>31028412</v>
      </c>
      <c r="C580">
        <v>31029988</v>
      </c>
      <c r="D580">
        <v>29084583</v>
      </c>
      <c r="E580">
        <v>1</v>
      </c>
      <c r="F580">
        <v>1</v>
      </c>
      <c r="G580">
        <v>1</v>
      </c>
      <c r="H580">
        <v>1</v>
      </c>
      <c r="I580" t="s">
        <v>857</v>
      </c>
      <c r="J580" t="s">
        <v>6</v>
      </c>
      <c r="K580" t="s">
        <v>858</v>
      </c>
      <c r="L580">
        <v>1369</v>
      </c>
      <c r="N580">
        <v>1013</v>
      </c>
      <c r="O580" t="s">
        <v>773</v>
      </c>
      <c r="P580" t="s">
        <v>773</v>
      </c>
      <c r="Q580">
        <v>1</v>
      </c>
      <c r="W580">
        <v>0</v>
      </c>
      <c r="X580">
        <v>1784516707</v>
      </c>
      <c r="Y580">
        <v>46.839499999999994</v>
      </c>
      <c r="AA580">
        <v>0</v>
      </c>
      <c r="AB580">
        <v>0</v>
      </c>
      <c r="AC580">
        <v>0</v>
      </c>
      <c r="AD580">
        <v>199.33</v>
      </c>
      <c r="AE580">
        <v>0</v>
      </c>
      <c r="AF580">
        <v>0</v>
      </c>
      <c r="AG580">
        <v>0</v>
      </c>
      <c r="AH580">
        <v>8.23</v>
      </c>
      <c r="AI580">
        <v>1</v>
      </c>
      <c r="AJ580">
        <v>1</v>
      </c>
      <c r="AK580">
        <v>1</v>
      </c>
      <c r="AL580">
        <v>24.22</v>
      </c>
      <c r="AN580">
        <v>0</v>
      </c>
      <c r="AO580">
        <v>1</v>
      </c>
      <c r="AP580">
        <v>1</v>
      </c>
      <c r="AQ580">
        <v>0</v>
      </c>
      <c r="AR580">
        <v>0</v>
      </c>
      <c r="AS580" t="s">
        <v>6</v>
      </c>
      <c r="AT580">
        <v>40.729999999999997</v>
      </c>
      <c r="AU580" t="s">
        <v>36</v>
      </c>
      <c r="AV580">
        <v>1</v>
      </c>
      <c r="AW580">
        <v>2</v>
      </c>
      <c r="AX580">
        <v>31029996</v>
      </c>
      <c r="AY580">
        <v>1</v>
      </c>
      <c r="AZ580">
        <v>0</v>
      </c>
      <c r="BA580">
        <v>608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CX580">
        <f>Y580*Source!I256</f>
        <v>46.839499999999994</v>
      </c>
      <c r="CY580">
        <f>AD580</f>
        <v>199.33</v>
      </c>
      <c r="CZ580">
        <f>AH580</f>
        <v>8.23</v>
      </c>
      <c r="DA580">
        <f>AL580</f>
        <v>24.22</v>
      </c>
      <c r="DB580">
        <f>ROUND((ROUND(AT580*CZ580,2)*ROUND(1.15,7)),6)</f>
        <v>385.49149999999997</v>
      </c>
      <c r="DC580">
        <f>ROUND((ROUND(AT580*AG580,2)*ROUND(1.15,7)),6)</f>
        <v>0</v>
      </c>
    </row>
    <row r="581" spans="1:107">
      <c r="A581">
        <f>ROW(Source!A256)</f>
        <v>256</v>
      </c>
      <c r="B581">
        <v>31028412</v>
      </c>
      <c r="C581">
        <v>31029988</v>
      </c>
      <c r="D581">
        <v>29084573</v>
      </c>
      <c r="E581">
        <v>1</v>
      </c>
      <c r="F581">
        <v>1</v>
      </c>
      <c r="G581">
        <v>1</v>
      </c>
      <c r="H581">
        <v>1</v>
      </c>
      <c r="I581" t="s">
        <v>774</v>
      </c>
      <c r="J581" t="s">
        <v>6</v>
      </c>
      <c r="K581" t="s">
        <v>775</v>
      </c>
      <c r="L581">
        <v>608254</v>
      </c>
      <c r="N581">
        <v>1013</v>
      </c>
      <c r="O581" t="s">
        <v>776</v>
      </c>
      <c r="P581" t="s">
        <v>776</v>
      </c>
      <c r="Q581">
        <v>1</v>
      </c>
      <c r="W581">
        <v>0</v>
      </c>
      <c r="X581">
        <v>95408949</v>
      </c>
      <c r="Y581">
        <v>0.36799999999999999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1</v>
      </c>
      <c r="AJ581">
        <v>1</v>
      </c>
      <c r="AK581">
        <v>24.22</v>
      </c>
      <c r="AL581">
        <v>1</v>
      </c>
      <c r="AN581">
        <v>0</v>
      </c>
      <c r="AO581">
        <v>1</v>
      </c>
      <c r="AP581">
        <v>1</v>
      </c>
      <c r="AQ581">
        <v>0</v>
      </c>
      <c r="AR581">
        <v>0</v>
      </c>
      <c r="AS581" t="s">
        <v>6</v>
      </c>
      <c r="AT581">
        <v>0.32</v>
      </c>
      <c r="AU581" t="s">
        <v>36</v>
      </c>
      <c r="AV581">
        <v>2</v>
      </c>
      <c r="AW581">
        <v>2</v>
      </c>
      <c r="AX581">
        <v>31029997</v>
      </c>
      <c r="AY581">
        <v>1</v>
      </c>
      <c r="AZ581">
        <v>0</v>
      </c>
      <c r="BA581">
        <v>609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  <c r="CX581">
        <f>Y581*Source!I256</f>
        <v>0.36799999999999999</v>
      </c>
      <c r="CY581">
        <f>AD581</f>
        <v>0</v>
      </c>
      <c r="CZ581">
        <f>AH581</f>
        <v>0</v>
      </c>
      <c r="DA581">
        <f>AL581</f>
        <v>1</v>
      </c>
      <c r="DB581">
        <f>ROUND((ROUND(AT581*CZ581,2)*ROUND(1.15,7)),6)</f>
        <v>0</v>
      </c>
      <c r="DC581">
        <f>ROUND((ROUND(AT581*AG581,2)*ROUND(1.15,7)),6)</f>
        <v>0</v>
      </c>
    </row>
    <row r="582" spans="1:107">
      <c r="A582">
        <f>ROW(Source!A256)</f>
        <v>256</v>
      </c>
      <c r="B582">
        <v>31028412</v>
      </c>
      <c r="C582">
        <v>31029988</v>
      </c>
      <c r="D582">
        <v>29147843</v>
      </c>
      <c r="E582">
        <v>1</v>
      </c>
      <c r="F582">
        <v>1</v>
      </c>
      <c r="G582">
        <v>1</v>
      </c>
      <c r="H582">
        <v>2</v>
      </c>
      <c r="I582" t="s">
        <v>874</v>
      </c>
      <c r="J582" t="s">
        <v>875</v>
      </c>
      <c r="K582" t="s">
        <v>876</v>
      </c>
      <c r="L582">
        <v>1368</v>
      </c>
      <c r="N582">
        <v>1011</v>
      </c>
      <c r="O582" t="s">
        <v>780</v>
      </c>
      <c r="P582" t="s">
        <v>780</v>
      </c>
      <c r="Q582">
        <v>1</v>
      </c>
      <c r="W582">
        <v>0</v>
      </c>
      <c r="X582">
        <v>-488413844</v>
      </c>
      <c r="Y582">
        <v>0.36799999999999999</v>
      </c>
      <c r="AA582">
        <v>0</v>
      </c>
      <c r="AB582">
        <v>665.52</v>
      </c>
      <c r="AC582">
        <v>235.18</v>
      </c>
      <c r="AD582">
        <v>0</v>
      </c>
      <c r="AE582">
        <v>0</v>
      </c>
      <c r="AF582">
        <v>87.11</v>
      </c>
      <c r="AG582">
        <v>9.7100000000000009</v>
      </c>
      <c r="AH582">
        <v>0</v>
      </c>
      <c r="AI582">
        <v>1</v>
      </c>
      <c r="AJ582">
        <v>7.64</v>
      </c>
      <c r="AK582">
        <v>24.22</v>
      </c>
      <c r="AL582">
        <v>1</v>
      </c>
      <c r="AN582">
        <v>0</v>
      </c>
      <c r="AO582">
        <v>1</v>
      </c>
      <c r="AP582">
        <v>1</v>
      </c>
      <c r="AQ582">
        <v>0</v>
      </c>
      <c r="AR582">
        <v>0</v>
      </c>
      <c r="AS582" t="s">
        <v>6</v>
      </c>
      <c r="AT582">
        <v>0.32</v>
      </c>
      <c r="AU582" t="s">
        <v>36</v>
      </c>
      <c r="AV582">
        <v>0</v>
      </c>
      <c r="AW582">
        <v>2</v>
      </c>
      <c r="AX582">
        <v>31029998</v>
      </c>
      <c r="AY582">
        <v>1</v>
      </c>
      <c r="AZ582">
        <v>0</v>
      </c>
      <c r="BA582">
        <v>610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0</v>
      </c>
      <c r="CX582">
        <f>Y582*Source!I256</f>
        <v>0.36799999999999999</v>
      </c>
      <c r="CY582">
        <f>AB582</f>
        <v>665.52</v>
      </c>
      <c r="CZ582">
        <f>AF582</f>
        <v>87.11</v>
      </c>
      <c r="DA582">
        <f>AJ582</f>
        <v>7.64</v>
      </c>
      <c r="DB582">
        <f>ROUND((ROUND(AT582*CZ582,2)*ROUND(1.15,7)),6)</f>
        <v>32.061999999999998</v>
      </c>
      <c r="DC582">
        <f>ROUND((ROUND(AT582*AG582,2)*ROUND(1.15,7)),6)</f>
        <v>3.5764999999999998</v>
      </c>
    </row>
    <row r="583" spans="1:107">
      <c r="A583">
        <f>ROW(Source!A256)</f>
        <v>256</v>
      </c>
      <c r="B583">
        <v>31028412</v>
      </c>
      <c r="C583">
        <v>31029988</v>
      </c>
      <c r="D583">
        <v>29149208</v>
      </c>
      <c r="E583">
        <v>1</v>
      </c>
      <c r="F583">
        <v>1</v>
      </c>
      <c r="G583">
        <v>1</v>
      </c>
      <c r="H583">
        <v>2</v>
      </c>
      <c r="I583" t="s">
        <v>877</v>
      </c>
      <c r="J583" t="s">
        <v>878</v>
      </c>
      <c r="K583" t="s">
        <v>879</v>
      </c>
      <c r="L583">
        <v>1368</v>
      </c>
      <c r="N583">
        <v>1011</v>
      </c>
      <c r="O583" t="s">
        <v>780</v>
      </c>
      <c r="P583" t="s">
        <v>780</v>
      </c>
      <c r="Q583">
        <v>1</v>
      </c>
      <c r="W583">
        <v>0</v>
      </c>
      <c r="X583">
        <v>-554917348</v>
      </c>
      <c r="Y583">
        <v>0.36799999999999999</v>
      </c>
      <c r="AA583">
        <v>0</v>
      </c>
      <c r="AB583">
        <v>11.69</v>
      </c>
      <c r="AC583">
        <v>0</v>
      </c>
      <c r="AD583">
        <v>0</v>
      </c>
      <c r="AE583">
        <v>0</v>
      </c>
      <c r="AF583">
        <v>1.53</v>
      </c>
      <c r="AG583">
        <v>0</v>
      </c>
      <c r="AH583">
        <v>0</v>
      </c>
      <c r="AI583">
        <v>1</v>
      </c>
      <c r="AJ583">
        <v>7.64</v>
      </c>
      <c r="AK583">
        <v>24.22</v>
      </c>
      <c r="AL583">
        <v>1</v>
      </c>
      <c r="AN583">
        <v>0</v>
      </c>
      <c r="AO583">
        <v>1</v>
      </c>
      <c r="AP583">
        <v>1</v>
      </c>
      <c r="AQ583">
        <v>0</v>
      </c>
      <c r="AR583">
        <v>0</v>
      </c>
      <c r="AS583" t="s">
        <v>6</v>
      </c>
      <c r="AT583">
        <v>0.32</v>
      </c>
      <c r="AU583" t="s">
        <v>36</v>
      </c>
      <c r="AV583">
        <v>0</v>
      </c>
      <c r="AW583">
        <v>2</v>
      </c>
      <c r="AX583">
        <v>31029999</v>
      </c>
      <c r="AY583">
        <v>1</v>
      </c>
      <c r="AZ583">
        <v>0</v>
      </c>
      <c r="BA583">
        <v>611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CX583">
        <f>Y583*Source!I256</f>
        <v>0.36799999999999999</v>
      </c>
      <c r="CY583">
        <f>AB583</f>
        <v>11.69</v>
      </c>
      <c r="CZ583">
        <f>AF583</f>
        <v>1.53</v>
      </c>
      <c r="DA583">
        <f>AJ583</f>
        <v>7.64</v>
      </c>
      <c r="DB583">
        <f>ROUND((ROUND(AT583*CZ583,2)*ROUND(1.15,7)),6)</f>
        <v>0.5635</v>
      </c>
      <c r="DC583">
        <f>ROUND((ROUND(AT583*AG583,2)*ROUND(1.15,7)),6)</f>
        <v>0</v>
      </c>
    </row>
    <row r="584" spans="1:107">
      <c r="A584">
        <f>ROW(Source!A256)</f>
        <v>256</v>
      </c>
      <c r="B584">
        <v>31028412</v>
      </c>
      <c r="C584">
        <v>31029988</v>
      </c>
      <c r="D584">
        <v>29151587</v>
      </c>
      <c r="E584">
        <v>1</v>
      </c>
      <c r="F584">
        <v>1</v>
      </c>
      <c r="G584">
        <v>1</v>
      </c>
      <c r="H584">
        <v>3</v>
      </c>
      <c r="I584" t="s">
        <v>933</v>
      </c>
      <c r="J584" t="s">
        <v>934</v>
      </c>
      <c r="K584" t="s">
        <v>935</v>
      </c>
      <c r="L584">
        <v>1348</v>
      </c>
      <c r="N584">
        <v>1009</v>
      </c>
      <c r="O584" t="s">
        <v>137</v>
      </c>
      <c r="P584" t="s">
        <v>137</v>
      </c>
      <c r="Q584">
        <v>1000</v>
      </c>
      <c r="W584">
        <v>0</v>
      </c>
      <c r="X584">
        <v>-157460125</v>
      </c>
      <c r="Y584">
        <v>0.01</v>
      </c>
      <c r="AA584">
        <v>2581.71</v>
      </c>
      <c r="AB584">
        <v>0</v>
      </c>
      <c r="AC584">
        <v>0</v>
      </c>
      <c r="AD584">
        <v>0</v>
      </c>
      <c r="AE584">
        <v>418.43</v>
      </c>
      <c r="AF584">
        <v>0</v>
      </c>
      <c r="AG584">
        <v>0</v>
      </c>
      <c r="AH584">
        <v>0</v>
      </c>
      <c r="AI584">
        <v>6.17</v>
      </c>
      <c r="AJ584">
        <v>1</v>
      </c>
      <c r="AK584">
        <v>1</v>
      </c>
      <c r="AL584">
        <v>1</v>
      </c>
      <c r="AN584">
        <v>0</v>
      </c>
      <c r="AO584">
        <v>1</v>
      </c>
      <c r="AP584">
        <v>0</v>
      </c>
      <c r="AQ584">
        <v>0</v>
      </c>
      <c r="AR584">
        <v>0</v>
      </c>
      <c r="AS584" t="s">
        <v>6</v>
      </c>
      <c r="AT584">
        <v>0.01</v>
      </c>
      <c r="AU584" t="s">
        <v>6</v>
      </c>
      <c r="AV584">
        <v>0</v>
      </c>
      <c r="AW584">
        <v>2</v>
      </c>
      <c r="AX584">
        <v>31030000</v>
      </c>
      <c r="AY584">
        <v>1</v>
      </c>
      <c r="AZ584">
        <v>0</v>
      </c>
      <c r="BA584">
        <v>612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CX584">
        <f>Y584*Source!I256</f>
        <v>0.01</v>
      </c>
      <c r="CY584">
        <f>AA584</f>
        <v>2581.71</v>
      </c>
      <c r="CZ584">
        <f>AE584</f>
        <v>418.43</v>
      </c>
      <c r="DA584">
        <f>AI584</f>
        <v>6.17</v>
      </c>
      <c r="DB584">
        <f>ROUND(ROUND(AT584*CZ584,2),6)</f>
        <v>4.18</v>
      </c>
      <c r="DC584">
        <f>ROUND(ROUND(AT584*AG584,2),6)</f>
        <v>0</v>
      </c>
    </row>
    <row r="585" spans="1:107">
      <c r="A585">
        <f>ROW(Source!A256)</f>
        <v>256</v>
      </c>
      <c r="B585">
        <v>31028412</v>
      </c>
      <c r="C585">
        <v>31029988</v>
      </c>
      <c r="D585">
        <v>29195171</v>
      </c>
      <c r="E585">
        <v>1</v>
      </c>
      <c r="F585">
        <v>1</v>
      </c>
      <c r="G585">
        <v>1</v>
      </c>
      <c r="H585">
        <v>3</v>
      </c>
      <c r="I585" t="s">
        <v>830</v>
      </c>
      <c r="J585" t="s">
        <v>831</v>
      </c>
      <c r="K585" t="s">
        <v>832</v>
      </c>
      <c r="L585">
        <v>1339</v>
      </c>
      <c r="N585">
        <v>1007</v>
      </c>
      <c r="O585" t="s">
        <v>109</v>
      </c>
      <c r="P585" t="s">
        <v>109</v>
      </c>
      <c r="Q585">
        <v>1</v>
      </c>
      <c r="W585">
        <v>0</v>
      </c>
      <c r="X585">
        <v>2050165204</v>
      </c>
      <c r="Y585">
        <v>0.05</v>
      </c>
      <c r="AA585">
        <v>15.12</v>
      </c>
      <c r="AB585">
        <v>0</v>
      </c>
      <c r="AC585">
        <v>0</v>
      </c>
      <c r="AD585">
        <v>0</v>
      </c>
      <c r="AE585">
        <v>2.4500000000000002</v>
      </c>
      <c r="AF585">
        <v>0</v>
      </c>
      <c r="AG585">
        <v>0</v>
      </c>
      <c r="AH585">
        <v>0</v>
      </c>
      <c r="AI585">
        <v>6.17</v>
      </c>
      <c r="AJ585">
        <v>1</v>
      </c>
      <c r="AK585">
        <v>1</v>
      </c>
      <c r="AL585">
        <v>1</v>
      </c>
      <c r="AN585">
        <v>0</v>
      </c>
      <c r="AO585">
        <v>1</v>
      </c>
      <c r="AP585">
        <v>0</v>
      </c>
      <c r="AQ585">
        <v>0</v>
      </c>
      <c r="AR585">
        <v>0</v>
      </c>
      <c r="AS585" t="s">
        <v>6</v>
      </c>
      <c r="AT585">
        <v>0.05</v>
      </c>
      <c r="AU585" t="s">
        <v>6</v>
      </c>
      <c r="AV585">
        <v>0</v>
      </c>
      <c r="AW585">
        <v>2</v>
      </c>
      <c r="AX585">
        <v>31030002</v>
      </c>
      <c r="AY585">
        <v>1</v>
      </c>
      <c r="AZ585">
        <v>0</v>
      </c>
      <c r="BA585">
        <v>614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CX585">
        <f>Y585*Source!I256</f>
        <v>0.05</v>
      </c>
      <c r="CY585">
        <f>AA585</f>
        <v>15.12</v>
      </c>
      <c r="CZ585">
        <f>AE585</f>
        <v>2.4500000000000002</v>
      </c>
      <c r="DA585">
        <f>AI585</f>
        <v>6.17</v>
      </c>
      <c r="DB585">
        <f>ROUND(ROUND(AT585*CZ585,2),6)</f>
        <v>0.12</v>
      </c>
      <c r="DC585">
        <f>ROUND(ROUND(AT585*AG585,2),6)</f>
        <v>0</v>
      </c>
    </row>
    <row r="586" spans="1:107">
      <c r="A586">
        <f>ROW(Source!A256)</f>
        <v>256</v>
      </c>
      <c r="B586">
        <v>31028412</v>
      </c>
      <c r="C586">
        <v>31029988</v>
      </c>
      <c r="D586">
        <v>29215982</v>
      </c>
      <c r="E586">
        <v>1</v>
      </c>
      <c r="F586">
        <v>1</v>
      </c>
      <c r="G586">
        <v>1</v>
      </c>
      <c r="H586">
        <v>3</v>
      </c>
      <c r="I586" t="s">
        <v>825</v>
      </c>
      <c r="J586" t="s">
        <v>826</v>
      </c>
      <c r="K586" t="s">
        <v>827</v>
      </c>
      <c r="L586">
        <v>1348</v>
      </c>
      <c r="N586">
        <v>1009</v>
      </c>
      <c r="O586" t="s">
        <v>137</v>
      </c>
      <c r="P586" t="s">
        <v>137</v>
      </c>
      <c r="Q586">
        <v>1000</v>
      </c>
      <c r="W586">
        <v>0</v>
      </c>
      <c r="X586">
        <v>367953619</v>
      </c>
      <c r="Y586">
        <v>0.3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6.17</v>
      </c>
      <c r="AJ586">
        <v>1</v>
      </c>
      <c r="AK586">
        <v>1</v>
      </c>
      <c r="AL586">
        <v>1</v>
      </c>
      <c r="AN586">
        <v>0</v>
      </c>
      <c r="AO586">
        <v>0</v>
      </c>
      <c r="AP586">
        <v>0</v>
      </c>
      <c r="AQ586">
        <v>0</v>
      </c>
      <c r="AR586">
        <v>0</v>
      </c>
      <c r="AS586" t="s">
        <v>6</v>
      </c>
      <c r="AT586">
        <v>0.3</v>
      </c>
      <c r="AU586" t="s">
        <v>6</v>
      </c>
      <c r="AV586">
        <v>0</v>
      </c>
      <c r="AW586">
        <v>2</v>
      </c>
      <c r="AX586">
        <v>31030003</v>
      </c>
      <c r="AY586">
        <v>1</v>
      </c>
      <c r="AZ586">
        <v>0</v>
      </c>
      <c r="BA586">
        <v>615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0</v>
      </c>
      <c r="CX586">
        <f>Y586*Source!I256</f>
        <v>0.3</v>
      </c>
      <c r="CY586">
        <f>AA586</f>
        <v>0</v>
      </c>
      <c r="CZ586">
        <f>AE586</f>
        <v>0</v>
      </c>
      <c r="DA586">
        <f>AI586</f>
        <v>6.17</v>
      </c>
      <c r="DB586">
        <f>ROUND(ROUND(AT586*CZ586,2),6)</f>
        <v>0</v>
      </c>
      <c r="DC586">
        <f>ROUND(ROUND(AT586*AG586,2),6)</f>
        <v>0</v>
      </c>
    </row>
    <row r="587" spans="1:107">
      <c r="A587">
        <f>ROW(Source!A259)</f>
        <v>259</v>
      </c>
      <c r="B587">
        <v>31028412</v>
      </c>
      <c r="C587">
        <v>31030006</v>
      </c>
      <c r="D587">
        <v>30853534</v>
      </c>
      <c r="E587">
        <v>1</v>
      </c>
      <c r="F587">
        <v>1</v>
      </c>
      <c r="G587">
        <v>1</v>
      </c>
      <c r="H587">
        <v>1</v>
      </c>
      <c r="I587" t="s">
        <v>1188</v>
      </c>
      <c r="J587" t="s">
        <v>6</v>
      </c>
      <c r="K587" t="s">
        <v>1189</v>
      </c>
      <c r="L587">
        <v>1369</v>
      </c>
      <c r="N587">
        <v>1013</v>
      </c>
      <c r="O587" t="s">
        <v>773</v>
      </c>
      <c r="P587" t="s">
        <v>773</v>
      </c>
      <c r="Q587">
        <v>1</v>
      </c>
      <c r="W587">
        <v>0</v>
      </c>
      <c r="X587">
        <v>-1923068736</v>
      </c>
      <c r="Y587">
        <v>52.251974999999987</v>
      </c>
      <c r="AA587">
        <v>0</v>
      </c>
      <c r="AB587">
        <v>0</v>
      </c>
      <c r="AC587">
        <v>0</v>
      </c>
      <c r="AD587">
        <v>185.77</v>
      </c>
      <c r="AE587">
        <v>0</v>
      </c>
      <c r="AF587">
        <v>0</v>
      </c>
      <c r="AG587">
        <v>0</v>
      </c>
      <c r="AH587">
        <v>7.67</v>
      </c>
      <c r="AI587">
        <v>1</v>
      </c>
      <c r="AJ587">
        <v>1</v>
      </c>
      <c r="AK587">
        <v>1</v>
      </c>
      <c r="AL587">
        <v>24.22</v>
      </c>
      <c r="AN587">
        <v>0</v>
      </c>
      <c r="AO587">
        <v>1</v>
      </c>
      <c r="AP587">
        <v>1</v>
      </c>
      <c r="AQ587">
        <v>0</v>
      </c>
      <c r="AR587">
        <v>0</v>
      </c>
      <c r="AS587" t="s">
        <v>6</v>
      </c>
      <c r="AT587">
        <v>39.51</v>
      </c>
      <c r="AU587" t="s">
        <v>127</v>
      </c>
      <c r="AV587">
        <v>1</v>
      </c>
      <c r="AW587">
        <v>2</v>
      </c>
      <c r="AX587">
        <v>31030013</v>
      </c>
      <c r="AY587">
        <v>1</v>
      </c>
      <c r="AZ587">
        <v>0</v>
      </c>
      <c r="BA587">
        <v>616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CX587">
        <f>Y587*Source!I259</f>
        <v>69.808638599999981</v>
      </c>
      <c r="CY587">
        <f>AD587</f>
        <v>185.77</v>
      </c>
      <c r="CZ587">
        <f>AH587</f>
        <v>7.67</v>
      </c>
      <c r="DA587">
        <f>AL587</f>
        <v>24.22</v>
      </c>
      <c r="DB587">
        <f>ROUND((ROUND(AT587*CZ587,2)*ROUND((1.15*1.15),7)),6)</f>
        <v>400.7704</v>
      </c>
      <c r="DC587">
        <f>ROUND((ROUND(AT587*AG587,2)*ROUND((1.15*1.15),7)),6)</f>
        <v>0</v>
      </c>
    </row>
    <row r="588" spans="1:107">
      <c r="A588">
        <f>ROW(Source!A259)</f>
        <v>259</v>
      </c>
      <c r="B588">
        <v>31028412</v>
      </c>
      <c r="C588">
        <v>31030006</v>
      </c>
      <c r="D588">
        <v>29084573</v>
      </c>
      <c r="E588">
        <v>1</v>
      </c>
      <c r="F588">
        <v>1</v>
      </c>
      <c r="G588">
        <v>1</v>
      </c>
      <c r="H588">
        <v>1</v>
      </c>
      <c r="I588" t="s">
        <v>774</v>
      </c>
      <c r="J588" t="s">
        <v>6</v>
      </c>
      <c r="K588" t="s">
        <v>775</v>
      </c>
      <c r="L588">
        <v>608254</v>
      </c>
      <c r="N588">
        <v>1013</v>
      </c>
      <c r="O588" t="s">
        <v>776</v>
      </c>
      <c r="P588" t="s">
        <v>776</v>
      </c>
      <c r="Q588">
        <v>1</v>
      </c>
      <c r="W588">
        <v>0</v>
      </c>
      <c r="X588">
        <v>95408949</v>
      </c>
      <c r="Y588">
        <v>1.8256249999999998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1</v>
      </c>
      <c r="AJ588">
        <v>1</v>
      </c>
      <c r="AK588">
        <v>24.22</v>
      </c>
      <c r="AL588">
        <v>1</v>
      </c>
      <c r="AN588">
        <v>0</v>
      </c>
      <c r="AO588">
        <v>1</v>
      </c>
      <c r="AP588">
        <v>1</v>
      </c>
      <c r="AQ588">
        <v>0</v>
      </c>
      <c r="AR588">
        <v>0</v>
      </c>
      <c r="AS588" t="s">
        <v>6</v>
      </c>
      <c r="AT588">
        <v>1.27</v>
      </c>
      <c r="AU588" t="s">
        <v>126</v>
      </c>
      <c r="AV588">
        <v>2</v>
      </c>
      <c r="AW588">
        <v>2</v>
      </c>
      <c r="AX588">
        <v>31030014</v>
      </c>
      <c r="AY588">
        <v>1</v>
      </c>
      <c r="AZ588">
        <v>0</v>
      </c>
      <c r="BA588">
        <v>617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CX588">
        <f>Y588*Source!I259</f>
        <v>2.4390350000000001</v>
      </c>
      <c r="CY588">
        <f>AD588</f>
        <v>0</v>
      </c>
      <c r="CZ588">
        <f>AH588</f>
        <v>0</v>
      </c>
      <c r="DA588">
        <f>AL588</f>
        <v>1</v>
      </c>
      <c r="DB588">
        <f>ROUND((ROUND(AT588*CZ588,2)*ROUND((1.25*1.15),7)),6)</f>
        <v>0</v>
      </c>
      <c r="DC588">
        <f>ROUND((ROUND(AT588*AG588,2)*ROUND((1.25*1.15),7)),6)</f>
        <v>0</v>
      </c>
    </row>
    <row r="589" spans="1:107">
      <c r="A589">
        <f>ROW(Source!A259)</f>
        <v>259</v>
      </c>
      <c r="B589">
        <v>31028412</v>
      </c>
      <c r="C589">
        <v>31030006</v>
      </c>
      <c r="D589">
        <v>29147732</v>
      </c>
      <c r="E589">
        <v>1</v>
      </c>
      <c r="F589">
        <v>1</v>
      </c>
      <c r="G589">
        <v>1</v>
      </c>
      <c r="H589">
        <v>2</v>
      </c>
      <c r="I589" t="s">
        <v>846</v>
      </c>
      <c r="J589" t="s">
        <v>847</v>
      </c>
      <c r="K589" t="s">
        <v>848</v>
      </c>
      <c r="L589">
        <v>1368</v>
      </c>
      <c r="N589">
        <v>1011</v>
      </c>
      <c r="O589" t="s">
        <v>780</v>
      </c>
      <c r="P589" t="s">
        <v>780</v>
      </c>
      <c r="Q589">
        <v>1</v>
      </c>
      <c r="W589">
        <v>0</v>
      </c>
      <c r="X589">
        <v>-1205898307</v>
      </c>
      <c r="Y589">
        <v>1.8256249999999998</v>
      </c>
      <c r="AA589">
        <v>0</v>
      </c>
      <c r="AB589">
        <v>235.69</v>
      </c>
      <c r="AC589">
        <v>315.58999999999997</v>
      </c>
      <c r="AD589">
        <v>0</v>
      </c>
      <c r="AE589">
        <v>0</v>
      </c>
      <c r="AF589">
        <v>30.85</v>
      </c>
      <c r="AG589">
        <v>13.03</v>
      </c>
      <c r="AH589">
        <v>0</v>
      </c>
      <c r="AI589">
        <v>1</v>
      </c>
      <c r="AJ589">
        <v>7.64</v>
      </c>
      <c r="AK589">
        <v>24.22</v>
      </c>
      <c r="AL589">
        <v>1</v>
      </c>
      <c r="AN589">
        <v>0</v>
      </c>
      <c r="AO589">
        <v>1</v>
      </c>
      <c r="AP589">
        <v>1</v>
      </c>
      <c r="AQ589">
        <v>0</v>
      </c>
      <c r="AR589">
        <v>0</v>
      </c>
      <c r="AS589" t="s">
        <v>6</v>
      </c>
      <c r="AT589">
        <v>1.27</v>
      </c>
      <c r="AU589" t="s">
        <v>126</v>
      </c>
      <c r="AV589">
        <v>0</v>
      </c>
      <c r="AW589">
        <v>2</v>
      </c>
      <c r="AX589">
        <v>31030015</v>
      </c>
      <c r="AY589">
        <v>1</v>
      </c>
      <c r="AZ589">
        <v>0</v>
      </c>
      <c r="BA589">
        <v>618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CX589">
        <f>Y589*Source!I259</f>
        <v>2.4390350000000001</v>
      </c>
      <c r="CY589">
        <f>AB589</f>
        <v>235.69</v>
      </c>
      <c r="CZ589">
        <f>AF589</f>
        <v>30.85</v>
      </c>
      <c r="DA589">
        <f>AJ589</f>
        <v>7.64</v>
      </c>
      <c r="DB589">
        <f>ROUND((ROUND(AT589*CZ589,2)*ROUND((1.25*1.15),7)),6)</f>
        <v>56.321249999999999</v>
      </c>
      <c r="DC589">
        <f>ROUND((ROUND(AT589*AG589,2)*ROUND((1.25*1.15),7)),6)</f>
        <v>23.790624999999999</v>
      </c>
    </row>
    <row r="590" spans="1:107">
      <c r="A590">
        <f>ROW(Source!A259)</f>
        <v>259</v>
      </c>
      <c r="B590">
        <v>31028412</v>
      </c>
      <c r="C590">
        <v>31030006</v>
      </c>
      <c r="D590">
        <v>29148144</v>
      </c>
      <c r="E590">
        <v>1</v>
      </c>
      <c r="F590">
        <v>1</v>
      </c>
      <c r="G590">
        <v>1</v>
      </c>
      <c r="H590">
        <v>2</v>
      </c>
      <c r="I590" t="s">
        <v>1193</v>
      </c>
      <c r="J590" t="s">
        <v>1194</v>
      </c>
      <c r="K590" t="s">
        <v>1195</v>
      </c>
      <c r="L590">
        <v>1368</v>
      </c>
      <c r="N590">
        <v>1011</v>
      </c>
      <c r="O590" t="s">
        <v>780</v>
      </c>
      <c r="P590" t="s">
        <v>780</v>
      </c>
      <c r="Q590">
        <v>1</v>
      </c>
      <c r="W590">
        <v>0</v>
      </c>
      <c r="X590">
        <v>1426655577</v>
      </c>
      <c r="Y590">
        <v>13.038124999999999</v>
      </c>
      <c r="AA590">
        <v>0</v>
      </c>
      <c r="AB590">
        <v>3.82</v>
      </c>
      <c r="AC590">
        <v>0</v>
      </c>
      <c r="AD590">
        <v>0</v>
      </c>
      <c r="AE590">
        <v>0</v>
      </c>
      <c r="AF590">
        <v>0.5</v>
      </c>
      <c r="AG590">
        <v>0</v>
      </c>
      <c r="AH590">
        <v>0</v>
      </c>
      <c r="AI590">
        <v>1</v>
      </c>
      <c r="AJ590">
        <v>7.64</v>
      </c>
      <c r="AK590">
        <v>24.22</v>
      </c>
      <c r="AL590">
        <v>1</v>
      </c>
      <c r="AN590">
        <v>0</v>
      </c>
      <c r="AO590">
        <v>1</v>
      </c>
      <c r="AP590">
        <v>1</v>
      </c>
      <c r="AQ590">
        <v>0</v>
      </c>
      <c r="AR590">
        <v>0</v>
      </c>
      <c r="AS590" t="s">
        <v>6</v>
      </c>
      <c r="AT590">
        <v>9.07</v>
      </c>
      <c r="AU590" t="s">
        <v>126</v>
      </c>
      <c r="AV590">
        <v>0</v>
      </c>
      <c r="AW590">
        <v>2</v>
      </c>
      <c r="AX590">
        <v>31030016</v>
      </c>
      <c r="AY590">
        <v>1</v>
      </c>
      <c r="AZ590">
        <v>0</v>
      </c>
      <c r="BA590">
        <v>619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0</v>
      </c>
      <c r="BW590">
        <v>0</v>
      </c>
      <c r="CX590">
        <f>Y590*Source!I259</f>
        <v>17.418935000000001</v>
      </c>
      <c r="CY590">
        <f>AB590</f>
        <v>3.82</v>
      </c>
      <c r="CZ590">
        <f>AF590</f>
        <v>0.5</v>
      </c>
      <c r="DA590">
        <f>AJ590</f>
        <v>7.64</v>
      </c>
      <c r="DB590">
        <f>ROUND((ROUND(AT590*CZ590,2)*ROUND((1.25*1.15),7)),6)</f>
        <v>6.5262500000000001</v>
      </c>
      <c r="DC590">
        <f>ROUND((ROUND(AT590*AG590,2)*ROUND((1.25*1.15),7)),6)</f>
        <v>0</v>
      </c>
    </row>
    <row r="591" spans="1:107">
      <c r="A591">
        <f>ROW(Source!A259)</f>
        <v>259</v>
      </c>
      <c r="B591">
        <v>31028412</v>
      </c>
      <c r="C591">
        <v>31030006</v>
      </c>
      <c r="D591">
        <v>29186490</v>
      </c>
      <c r="E591">
        <v>1</v>
      </c>
      <c r="F591">
        <v>1</v>
      </c>
      <c r="G591">
        <v>1</v>
      </c>
      <c r="H591">
        <v>3</v>
      </c>
      <c r="I591" t="s">
        <v>1196</v>
      </c>
      <c r="J591" t="s">
        <v>1197</v>
      </c>
      <c r="K591" t="s">
        <v>1198</v>
      </c>
      <c r="L591">
        <v>1339</v>
      </c>
      <c r="N591">
        <v>1007</v>
      </c>
      <c r="O591" t="s">
        <v>109</v>
      </c>
      <c r="P591" t="s">
        <v>109</v>
      </c>
      <c r="Q591">
        <v>1</v>
      </c>
      <c r="W591">
        <v>0</v>
      </c>
      <c r="X591">
        <v>171744258</v>
      </c>
      <c r="Y591">
        <v>2.04</v>
      </c>
      <c r="AA591">
        <v>3994.46</v>
      </c>
      <c r="AB591">
        <v>0</v>
      </c>
      <c r="AC591">
        <v>0</v>
      </c>
      <c r="AD591">
        <v>0</v>
      </c>
      <c r="AE591">
        <v>647.4</v>
      </c>
      <c r="AF591">
        <v>0</v>
      </c>
      <c r="AG591">
        <v>0</v>
      </c>
      <c r="AH591">
        <v>0</v>
      </c>
      <c r="AI591">
        <v>6.17</v>
      </c>
      <c r="AJ591">
        <v>1</v>
      </c>
      <c r="AK591">
        <v>1</v>
      </c>
      <c r="AL591">
        <v>1</v>
      </c>
      <c r="AN591">
        <v>0</v>
      </c>
      <c r="AO591">
        <v>1</v>
      </c>
      <c r="AP591">
        <v>0</v>
      </c>
      <c r="AQ591">
        <v>0</v>
      </c>
      <c r="AR591">
        <v>0</v>
      </c>
      <c r="AS591" t="s">
        <v>6</v>
      </c>
      <c r="AT591">
        <v>2.04</v>
      </c>
      <c r="AU591" t="s">
        <v>6</v>
      </c>
      <c r="AV591">
        <v>0</v>
      </c>
      <c r="AW591">
        <v>2</v>
      </c>
      <c r="AX591">
        <v>31030017</v>
      </c>
      <c r="AY591">
        <v>1</v>
      </c>
      <c r="AZ591">
        <v>0</v>
      </c>
      <c r="BA591">
        <v>620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CX591">
        <f>Y591*Source!I259</f>
        <v>2.7254400000000003</v>
      </c>
      <c r="CY591">
        <f>AA591</f>
        <v>3994.46</v>
      </c>
      <c r="CZ591">
        <f>AE591</f>
        <v>647.4</v>
      </c>
      <c r="DA591">
        <f>AI591</f>
        <v>6.17</v>
      </c>
      <c r="DB591">
        <f>ROUND(ROUND(AT591*CZ591,2),6)</f>
        <v>1320.7</v>
      </c>
      <c r="DC591">
        <f>ROUND(ROUND(AT591*AG591,2),6)</f>
        <v>0</v>
      </c>
    </row>
    <row r="592" spans="1:107">
      <c r="A592">
        <f>ROW(Source!A259)</f>
        <v>259</v>
      </c>
      <c r="B592">
        <v>31028412</v>
      </c>
      <c r="C592">
        <v>31030006</v>
      </c>
      <c r="D592">
        <v>29195171</v>
      </c>
      <c r="E592">
        <v>1</v>
      </c>
      <c r="F592">
        <v>1</v>
      </c>
      <c r="G592">
        <v>1</v>
      </c>
      <c r="H592">
        <v>3</v>
      </c>
      <c r="I592" t="s">
        <v>830</v>
      </c>
      <c r="J592" t="s">
        <v>831</v>
      </c>
      <c r="K592" t="s">
        <v>832</v>
      </c>
      <c r="L592">
        <v>1339</v>
      </c>
      <c r="N592">
        <v>1007</v>
      </c>
      <c r="O592" t="s">
        <v>109</v>
      </c>
      <c r="P592" t="s">
        <v>109</v>
      </c>
      <c r="Q592">
        <v>1</v>
      </c>
      <c r="W592">
        <v>0</v>
      </c>
      <c r="X592">
        <v>2050165204</v>
      </c>
      <c r="Y592">
        <v>3.5</v>
      </c>
      <c r="AA592">
        <v>15.12</v>
      </c>
      <c r="AB592">
        <v>0</v>
      </c>
      <c r="AC592">
        <v>0</v>
      </c>
      <c r="AD592">
        <v>0</v>
      </c>
      <c r="AE592">
        <v>2.4500000000000002</v>
      </c>
      <c r="AF592">
        <v>0</v>
      </c>
      <c r="AG592">
        <v>0</v>
      </c>
      <c r="AH592">
        <v>0</v>
      </c>
      <c r="AI592">
        <v>6.17</v>
      </c>
      <c r="AJ592">
        <v>1</v>
      </c>
      <c r="AK592">
        <v>1</v>
      </c>
      <c r="AL592">
        <v>1</v>
      </c>
      <c r="AN592">
        <v>0</v>
      </c>
      <c r="AO592">
        <v>1</v>
      </c>
      <c r="AP592">
        <v>0</v>
      </c>
      <c r="AQ592">
        <v>0</v>
      </c>
      <c r="AR592">
        <v>0</v>
      </c>
      <c r="AS592" t="s">
        <v>6</v>
      </c>
      <c r="AT592">
        <v>3.5</v>
      </c>
      <c r="AU592" t="s">
        <v>6</v>
      </c>
      <c r="AV592">
        <v>0</v>
      </c>
      <c r="AW592">
        <v>2</v>
      </c>
      <c r="AX592">
        <v>31030018</v>
      </c>
      <c r="AY592">
        <v>1</v>
      </c>
      <c r="AZ592">
        <v>0</v>
      </c>
      <c r="BA592">
        <v>621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CX592">
        <f>Y592*Source!I259</f>
        <v>4.6760000000000002</v>
      </c>
      <c r="CY592">
        <f>AA592</f>
        <v>15.12</v>
      </c>
      <c r="CZ592">
        <f>AE592</f>
        <v>2.4500000000000002</v>
      </c>
      <c r="DA592">
        <f>AI592</f>
        <v>6.17</v>
      </c>
      <c r="DB592">
        <f>ROUND(ROUND(AT592*CZ592,2),6)</f>
        <v>8.58</v>
      </c>
      <c r="DC592">
        <f>ROUND(ROUND(AT592*AG592,2),6)</f>
        <v>0</v>
      </c>
    </row>
    <row r="593" spans="1:107">
      <c r="A593">
        <f>ROW(Source!A260)</f>
        <v>260</v>
      </c>
      <c r="B593">
        <v>31028412</v>
      </c>
      <c r="C593">
        <v>31030019</v>
      </c>
      <c r="D593">
        <v>30853534</v>
      </c>
      <c r="E593">
        <v>1</v>
      </c>
      <c r="F593">
        <v>1</v>
      </c>
      <c r="G593">
        <v>1</v>
      </c>
      <c r="H593">
        <v>1</v>
      </c>
      <c r="I593" t="s">
        <v>1188</v>
      </c>
      <c r="J593" t="s">
        <v>6</v>
      </c>
      <c r="K593" t="s">
        <v>1189</v>
      </c>
      <c r="L593">
        <v>1369</v>
      </c>
      <c r="N593">
        <v>1013</v>
      </c>
      <c r="O593" t="s">
        <v>773</v>
      </c>
      <c r="P593" t="s">
        <v>773</v>
      </c>
      <c r="Q593">
        <v>1</v>
      </c>
      <c r="W593">
        <v>0</v>
      </c>
      <c r="X593">
        <v>-1923068736</v>
      </c>
      <c r="Y593">
        <v>0.66124999999999989</v>
      </c>
      <c r="AA593">
        <v>0</v>
      </c>
      <c r="AB593">
        <v>0</v>
      </c>
      <c r="AC593">
        <v>0</v>
      </c>
      <c r="AD593">
        <v>185.77</v>
      </c>
      <c r="AE593">
        <v>0</v>
      </c>
      <c r="AF593">
        <v>0</v>
      </c>
      <c r="AG593">
        <v>0</v>
      </c>
      <c r="AH593">
        <v>7.67</v>
      </c>
      <c r="AI593">
        <v>1</v>
      </c>
      <c r="AJ593">
        <v>1</v>
      </c>
      <c r="AK593">
        <v>1</v>
      </c>
      <c r="AL593">
        <v>24.22</v>
      </c>
      <c r="AN593">
        <v>0</v>
      </c>
      <c r="AO593">
        <v>1</v>
      </c>
      <c r="AP593">
        <v>1</v>
      </c>
      <c r="AQ593">
        <v>0</v>
      </c>
      <c r="AR593">
        <v>0</v>
      </c>
      <c r="AS593" t="s">
        <v>6</v>
      </c>
      <c r="AT593">
        <v>0.5</v>
      </c>
      <c r="AU593" t="s">
        <v>127</v>
      </c>
      <c r="AV593">
        <v>1</v>
      </c>
      <c r="AW593">
        <v>2</v>
      </c>
      <c r="AX593">
        <v>31030025</v>
      </c>
      <c r="AY593">
        <v>1</v>
      </c>
      <c r="AZ593">
        <v>0</v>
      </c>
      <c r="BA593">
        <v>622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CX593">
        <f>Y593*Source!I260</f>
        <v>0.88342999999999994</v>
      </c>
      <c r="CY593">
        <f>AD593</f>
        <v>185.77</v>
      </c>
      <c r="CZ593">
        <f>AH593</f>
        <v>7.67</v>
      </c>
      <c r="DA593">
        <f>AL593</f>
        <v>24.22</v>
      </c>
      <c r="DB593">
        <f>ROUND((ROUND(AT593*CZ593,2)*ROUND((1.15*1.15),7)),6)</f>
        <v>5.0784000000000002</v>
      </c>
      <c r="DC593">
        <f>ROUND((ROUND(AT593*AG593,2)*ROUND((1.15*1.15),7)),6)</f>
        <v>0</v>
      </c>
    </row>
    <row r="594" spans="1:107">
      <c r="A594">
        <f>ROW(Source!A260)</f>
        <v>260</v>
      </c>
      <c r="B594">
        <v>31028412</v>
      </c>
      <c r="C594">
        <v>31030019</v>
      </c>
      <c r="D594">
        <v>29084573</v>
      </c>
      <c r="E594">
        <v>1</v>
      </c>
      <c r="F594">
        <v>1</v>
      </c>
      <c r="G594">
        <v>1</v>
      </c>
      <c r="H594">
        <v>1</v>
      </c>
      <c r="I594" t="s">
        <v>774</v>
      </c>
      <c r="J594" t="s">
        <v>6</v>
      </c>
      <c r="K594" t="s">
        <v>775</v>
      </c>
      <c r="L594">
        <v>608254</v>
      </c>
      <c r="N594">
        <v>1013</v>
      </c>
      <c r="O594" t="s">
        <v>776</v>
      </c>
      <c r="P594" t="s">
        <v>776</v>
      </c>
      <c r="Q594">
        <v>1</v>
      </c>
      <c r="W594">
        <v>0</v>
      </c>
      <c r="X594">
        <v>95408949</v>
      </c>
      <c r="Y594">
        <v>0.301875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1</v>
      </c>
      <c r="AJ594">
        <v>1</v>
      </c>
      <c r="AK594">
        <v>24.22</v>
      </c>
      <c r="AL594">
        <v>1</v>
      </c>
      <c r="AN594">
        <v>0</v>
      </c>
      <c r="AO594">
        <v>1</v>
      </c>
      <c r="AP594">
        <v>1</v>
      </c>
      <c r="AQ594">
        <v>0</v>
      </c>
      <c r="AR594">
        <v>0</v>
      </c>
      <c r="AS594" t="s">
        <v>6</v>
      </c>
      <c r="AT594">
        <v>0.21</v>
      </c>
      <c r="AU594" t="s">
        <v>126</v>
      </c>
      <c r="AV594">
        <v>2</v>
      </c>
      <c r="AW594">
        <v>2</v>
      </c>
      <c r="AX594">
        <v>31030026</v>
      </c>
      <c r="AY594">
        <v>1</v>
      </c>
      <c r="AZ594">
        <v>0</v>
      </c>
      <c r="BA594">
        <v>623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0</v>
      </c>
      <c r="CX594">
        <f>Y594*Source!I260</f>
        <v>0.40330500000000002</v>
      </c>
      <c r="CY594">
        <f>AD594</f>
        <v>0</v>
      </c>
      <c r="CZ594">
        <f>AH594</f>
        <v>0</v>
      </c>
      <c r="DA594">
        <f>AL594</f>
        <v>1</v>
      </c>
      <c r="DB594">
        <f>ROUND((ROUND(AT594*CZ594,2)*ROUND((1.25*1.15),7)),6)</f>
        <v>0</v>
      </c>
      <c r="DC594">
        <f>ROUND((ROUND(AT594*AG594,2)*ROUND((1.25*1.15),7)),6)</f>
        <v>0</v>
      </c>
    </row>
    <row r="595" spans="1:107">
      <c r="A595">
        <f>ROW(Source!A260)</f>
        <v>260</v>
      </c>
      <c r="B595">
        <v>31028412</v>
      </c>
      <c r="C595">
        <v>31030019</v>
      </c>
      <c r="D595">
        <v>29147732</v>
      </c>
      <c r="E595">
        <v>1</v>
      </c>
      <c r="F595">
        <v>1</v>
      </c>
      <c r="G595">
        <v>1</v>
      </c>
      <c r="H595">
        <v>2</v>
      </c>
      <c r="I595" t="s">
        <v>846</v>
      </c>
      <c r="J595" t="s">
        <v>847</v>
      </c>
      <c r="K595" t="s">
        <v>848</v>
      </c>
      <c r="L595">
        <v>1368</v>
      </c>
      <c r="N595">
        <v>1011</v>
      </c>
      <c r="O595" t="s">
        <v>780</v>
      </c>
      <c r="P595" t="s">
        <v>780</v>
      </c>
      <c r="Q595">
        <v>1</v>
      </c>
      <c r="W595">
        <v>0</v>
      </c>
      <c r="X595">
        <v>-1205898307</v>
      </c>
      <c r="Y595">
        <v>0.301875</v>
      </c>
      <c r="AA595">
        <v>0</v>
      </c>
      <c r="AB595">
        <v>235.69</v>
      </c>
      <c r="AC595">
        <v>315.58999999999997</v>
      </c>
      <c r="AD595">
        <v>0</v>
      </c>
      <c r="AE595">
        <v>0</v>
      </c>
      <c r="AF595">
        <v>30.85</v>
      </c>
      <c r="AG595">
        <v>13.03</v>
      </c>
      <c r="AH595">
        <v>0</v>
      </c>
      <c r="AI595">
        <v>1</v>
      </c>
      <c r="AJ595">
        <v>7.64</v>
      </c>
      <c r="AK595">
        <v>24.22</v>
      </c>
      <c r="AL595">
        <v>1</v>
      </c>
      <c r="AN595">
        <v>0</v>
      </c>
      <c r="AO595">
        <v>1</v>
      </c>
      <c r="AP595">
        <v>1</v>
      </c>
      <c r="AQ595">
        <v>0</v>
      </c>
      <c r="AR595">
        <v>0</v>
      </c>
      <c r="AS595" t="s">
        <v>6</v>
      </c>
      <c r="AT595">
        <v>0.21</v>
      </c>
      <c r="AU595" t="s">
        <v>126</v>
      </c>
      <c r="AV595">
        <v>0</v>
      </c>
      <c r="AW595">
        <v>2</v>
      </c>
      <c r="AX595">
        <v>31030027</v>
      </c>
      <c r="AY595">
        <v>1</v>
      </c>
      <c r="AZ595">
        <v>0</v>
      </c>
      <c r="BA595">
        <v>624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  <c r="CX595">
        <f>Y595*Source!I260</f>
        <v>0.40330500000000002</v>
      </c>
      <c r="CY595">
        <f>AB595</f>
        <v>235.69</v>
      </c>
      <c r="CZ595">
        <f>AF595</f>
        <v>30.85</v>
      </c>
      <c r="DA595">
        <f>AJ595</f>
        <v>7.64</v>
      </c>
      <c r="DB595">
        <f>ROUND((ROUND(AT595*CZ595,2)*ROUND((1.25*1.15),7)),6)</f>
        <v>9.3149999999999995</v>
      </c>
      <c r="DC595">
        <f>ROUND((ROUND(AT595*AG595,2)*ROUND((1.25*1.15),7)),6)</f>
        <v>3.9387500000000002</v>
      </c>
    </row>
    <row r="596" spans="1:107">
      <c r="A596">
        <f>ROW(Source!A260)</f>
        <v>260</v>
      </c>
      <c r="B596">
        <v>31028412</v>
      </c>
      <c r="C596">
        <v>31030019</v>
      </c>
      <c r="D596">
        <v>29148144</v>
      </c>
      <c r="E596">
        <v>1</v>
      </c>
      <c r="F596">
        <v>1</v>
      </c>
      <c r="G596">
        <v>1</v>
      </c>
      <c r="H596">
        <v>2</v>
      </c>
      <c r="I596" t="s">
        <v>1193</v>
      </c>
      <c r="J596" t="s">
        <v>1194</v>
      </c>
      <c r="K596" t="s">
        <v>1195</v>
      </c>
      <c r="L596">
        <v>1368</v>
      </c>
      <c r="N596">
        <v>1011</v>
      </c>
      <c r="O596" t="s">
        <v>780</v>
      </c>
      <c r="P596" t="s">
        <v>780</v>
      </c>
      <c r="Q596">
        <v>1</v>
      </c>
      <c r="W596">
        <v>0</v>
      </c>
      <c r="X596">
        <v>1426655577</v>
      </c>
      <c r="Y596">
        <v>3.3349999999999995</v>
      </c>
      <c r="AA596">
        <v>0</v>
      </c>
      <c r="AB596">
        <v>3.82</v>
      </c>
      <c r="AC596">
        <v>0</v>
      </c>
      <c r="AD596">
        <v>0</v>
      </c>
      <c r="AE596">
        <v>0</v>
      </c>
      <c r="AF596">
        <v>0.5</v>
      </c>
      <c r="AG596">
        <v>0</v>
      </c>
      <c r="AH596">
        <v>0</v>
      </c>
      <c r="AI596">
        <v>1</v>
      </c>
      <c r="AJ596">
        <v>7.64</v>
      </c>
      <c r="AK596">
        <v>24.22</v>
      </c>
      <c r="AL596">
        <v>1</v>
      </c>
      <c r="AN596">
        <v>0</v>
      </c>
      <c r="AO596">
        <v>1</v>
      </c>
      <c r="AP596">
        <v>1</v>
      </c>
      <c r="AQ596">
        <v>0</v>
      </c>
      <c r="AR596">
        <v>0</v>
      </c>
      <c r="AS596" t="s">
        <v>6</v>
      </c>
      <c r="AT596">
        <v>2.3199999999999998</v>
      </c>
      <c r="AU596" t="s">
        <v>126</v>
      </c>
      <c r="AV596">
        <v>0</v>
      </c>
      <c r="AW596">
        <v>2</v>
      </c>
      <c r="AX596">
        <v>31030028</v>
      </c>
      <c r="AY596">
        <v>1</v>
      </c>
      <c r="AZ596">
        <v>0</v>
      </c>
      <c r="BA596">
        <v>625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0</v>
      </c>
      <c r="BW596">
        <v>0</v>
      </c>
      <c r="CX596">
        <f>Y596*Source!I260</f>
        <v>4.4555599999999993</v>
      </c>
      <c r="CY596">
        <f>AB596</f>
        <v>3.82</v>
      </c>
      <c r="CZ596">
        <f>AF596</f>
        <v>0.5</v>
      </c>
      <c r="DA596">
        <f>AJ596</f>
        <v>7.64</v>
      </c>
      <c r="DB596">
        <f>ROUND((ROUND(AT596*CZ596,2)*ROUND((1.25*1.15),7)),6)</f>
        <v>1.6675</v>
      </c>
      <c r="DC596">
        <f>ROUND((ROUND(AT596*AG596,2)*ROUND((1.25*1.15),7)),6)</f>
        <v>0</v>
      </c>
    </row>
    <row r="597" spans="1:107">
      <c r="A597">
        <f>ROW(Source!A260)</f>
        <v>260</v>
      </c>
      <c r="B597">
        <v>31028412</v>
      </c>
      <c r="C597">
        <v>31030019</v>
      </c>
      <c r="D597">
        <v>29186490</v>
      </c>
      <c r="E597">
        <v>1</v>
      </c>
      <c r="F597">
        <v>1</v>
      </c>
      <c r="G597">
        <v>1</v>
      </c>
      <c r="H597">
        <v>3</v>
      </c>
      <c r="I597" t="s">
        <v>1196</v>
      </c>
      <c r="J597" t="s">
        <v>1197</v>
      </c>
      <c r="K597" t="s">
        <v>1198</v>
      </c>
      <c r="L597">
        <v>1339</v>
      </c>
      <c r="N597">
        <v>1007</v>
      </c>
      <c r="O597" t="s">
        <v>109</v>
      </c>
      <c r="P597" t="s">
        <v>109</v>
      </c>
      <c r="Q597">
        <v>1</v>
      </c>
      <c r="W597">
        <v>0</v>
      </c>
      <c r="X597">
        <v>171744258</v>
      </c>
      <c r="Y597">
        <v>0.51</v>
      </c>
      <c r="AA597">
        <v>3994.46</v>
      </c>
      <c r="AB597">
        <v>0</v>
      </c>
      <c r="AC597">
        <v>0</v>
      </c>
      <c r="AD597">
        <v>0</v>
      </c>
      <c r="AE597">
        <v>647.4</v>
      </c>
      <c r="AF597">
        <v>0</v>
      </c>
      <c r="AG597">
        <v>0</v>
      </c>
      <c r="AH597">
        <v>0</v>
      </c>
      <c r="AI597">
        <v>6.17</v>
      </c>
      <c r="AJ597">
        <v>1</v>
      </c>
      <c r="AK597">
        <v>1</v>
      </c>
      <c r="AL597">
        <v>1</v>
      </c>
      <c r="AN597">
        <v>0</v>
      </c>
      <c r="AO597">
        <v>1</v>
      </c>
      <c r="AP597">
        <v>0</v>
      </c>
      <c r="AQ597">
        <v>0</v>
      </c>
      <c r="AR597">
        <v>0</v>
      </c>
      <c r="AS597" t="s">
        <v>6</v>
      </c>
      <c r="AT597">
        <v>0.51</v>
      </c>
      <c r="AU597" t="s">
        <v>6</v>
      </c>
      <c r="AV597">
        <v>0</v>
      </c>
      <c r="AW597">
        <v>2</v>
      </c>
      <c r="AX597">
        <v>31030029</v>
      </c>
      <c r="AY597">
        <v>1</v>
      </c>
      <c r="AZ597">
        <v>0</v>
      </c>
      <c r="BA597">
        <v>626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0</v>
      </c>
      <c r="BW597">
        <v>0</v>
      </c>
      <c r="CX597">
        <f>Y597*Source!I260</f>
        <v>0.68136000000000008</v>
      </c>
      <c r="CY597">
        <f>AA597</f>
        <v>3994.46</v>
      </c>
      <c r="CZ597">
        <f>AE597</f>
        <v>647.4</v>
      </c>
      <c r="DA597">
        <f>AI597</f>
        <v>6.17</v>
      </c>
      <c r="DB597">
        <f>ROUND(ROUND(AT597*CZ597,2),6)</f>
        <v>330.17</v>
      </c>
      <c r="DC597">
        <f>ROUND(ROUND(AT597*AG597,2),6)</f>
        <v>0</v>
      </c>
    </row>
    <row r="598" spans="1:107">
      <c r="A598">
        <f>ROW(Source!A261)</f>
        <v>261</v>
      </c>
      <c r="B598">
        <v>31028412</v>
      </c>
      <c r="C598">
        <v>31030030</v>
      </c>
      <c r="D598">
        <v>29084600</v>
      </c>
      <c r="E598">
        <v>1</v>
      </c>
      <c r="F598">
        <v>1</v>
      </c>
      <c r="G598">
        <v>1</v>
      </c>
      <c r="H598">
        <v>1</v>
      </c>
      <c r="I598" t="s">
        <v>1199</v>
      </c>
      <c r="J598" t="s">
        <v>6</v>
      </c>
      <c r="K598" t="s">
        <v>1200</v>
      </c>
      <c r="L598">
        <v>1369</v>
      </c>
      <c r="N598">
        <v>1013</v>
      </c>
      <c r="O598" t="s">
        <v>773</v>
      </c>
      <c r="P598" t="s">
        <v>773</v>
      </c>
      <c r="Q598">
        <v>1</v>
      </c>
      <c r="W598">
        <v>0</v>
      </c>
      <c r="X598">
        <v>-1170623382</v>
      </c>
      <c r="Y598">
        <v>43.457349999999991</v>
      </c>
      <c r="AA598">
        <v>0</v>
      </c>
      <c r="AB598">
        <v>0</v>
      </c>
      <c r="AC598">
        <v>0</v>
      </c>
      <c r="AD598">
        <v>235.18</v>
      </c>
      <c r="AE598">
        <v>0</v>
      </c>
      <c r="AF598">
        <v>0</v>
      </c>
      <c r="AG598">
        <v>0</v>
      </c>
      <c r="AH598">
        <v>9.7100000000000009</v>
      </c>
      <c r="AI598">
        <v>1</v>
      </c>
      <c r="AJ598">
        <v>1</v>
      </c>
      <c r="AK598">
        <v>1</v>
      </c>
      <c r="AL598">
        <v>24.22</v>
      </c>
      <c r="AN598">
        <v>0</v>
      </c>
      <c r="AO598">
        <v>1</v>
      </c>
      <c r="AP598">
        <v>1</v>
      </c>
      <c r="AQ598">
        <v>0</v>
      </c>
      <c r="AR598">
        <v>0</v>
      </c>
      <c r="AS598" t="s">
        <v>6</v>
      </c>
      <c r="AT598">
        <v>32.86</v>
      </c>
      <c r="AU598" t="s">
        <v>127</v>
      </c>
      <c r="AV598">
        <v>1</v>
      </c>
      <c r="AW598">
        <v>2</v>
      </c>
      <c r="AX598">
        <v>31030042</v>
      </c>
      <c r="AY598">
        <v>1</v>
      </c>
      <c r="AZ598">
        <v>0</v>
      </c>
      <c r="BA598">
        <v>627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0</v>
      </c>
      <c r="CX598">
        <f>Y598*Source!I261</f>
        <v>63.969219199999984</v>
      </c>
      <c r="CY598">
        <f>AD598</f>
        <v>235.18</v>
      </c>
      <c r="CZ598">
        <f>AH598</f>
        <v>9.7100000000000009</v>
      </c>
      <c r="DA598">
        <f>AL598</f>
        <v>24.22</v>
      </c>
      <c r="DB598">
        <f>ROUND((ROUND(AT598*CZ598,2)*ROUND((1.15*1.15),7)),6)</f>
        <v>421.97007500000001</v>
      </c>
      <c r="DC598">
        <f>ROUND((ROUND(AT598*AG598,2)*ROUND((1.15*1.15),7)),6)</f>
        <v>0</v>
      </c>
    </row>
    <row r="599" spans="1:107">
      <c r="A599">
        <f>ROW(Source!A261)</f>
        <v>261</v>
      </c>
      <c r="B599">
        <v>31028412</v>
      </c>
      <c r="C599">
        <v>31030030</v>
      </c>
      <c r="D599">
        <v>29084573</v>
      </c>
      <c r="E599">
        <v>1</v>
      </c>
      <c r="F599">
        <v>1</v>
      </c>
      <c r="G599">
        <v>1</v>
      </c>
      <c r="H599">
        <v>1</v>
      </c>
      <c r="I599" t="s">
        <v>774</v>
      </c>
      <c r="J599" t="s">
        <v>6</v>
      </c>
      <c r="K599" t="s">
        <v>775</v>
      </c>
      <c r="L599">
        <v>608254</v>
      </c>
      <c r="N599">
        <v>1013</v>
      </c>
      <c r="O599" t="s">
        <v>776</v>
      </c>
      <c r="P599" t="s">
        <v>776</v>
      </c>
      <c r="Q599">
        <v>1</v>
      </c>
      <c r="W599">
        <v>0</v>
      </c>
      <c r="X599">
        <v>95408949</v>
      </c>
      <c r="Y599">
        <v>0.330625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1</v>
      </c>
      <c r="AJ599">
        <v>1</v>
      </c>
      <c r="AK599">
        <v>24.22</v>
      </c>
      <c r="AL599">
        <v>1</v>
      </c>
      <c r="AN599">
        <v>0</v>
      </c>
      <c r="AO599">
        <v>1</v>
      </c>
      <c r="AP599">
        <v>1</v>
      </c>
      <c r="AQ599">
        <v>0</v>
      </c>
      <c r="AR599">
        <v>0</v>
      </c>
      <c r="AS599" t="s">
        <v>6</v>
      </c>
      <c r="AT599">
        <v>0.23</v>
      </c>
      <c r="AU599" t="s">
        <v>126</v>
      </c>
      <c r="AV599">
        <v>2</v>
      </c>
      <c r="AW599">
        <v>2</v>
      </c>
      <c r="AX599">
        <v>31030043</v>
      </c>
      <c r="AY599">
        <v>1</v>
      </c>
      <c r="AZ599">
        <v>0</v>
      </c>
      <c r="BA599">
        <v>628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0</v>
      </c>
      <c r="BU599">
        <v>0</v>
      </c>
      <c r="BV599">
        <v>0</v>
      </c>
      <c r="BW599">
        <v>0</v>
      </c>
      <c r="CX599">
        <f>Y599*Source!I261</f>
        <v>0.48668</v>
      </c>
      <c r="CY599">
        <f>AD599</f>
        <v>0</v>
      </c>
      <c r="CZ599">
        <f>AH599</f>
        <v>0</v>
      </c>
      <c r="DA599">
        <f>AL599</f>
        <v>1</v>
      </c>
      <c r="DB599">
        <f>ROUND((ROUND(AT599*CZ599,2)*ROUND((1.25*1.15),7)),6)</f>
        <v>0</v>
      </c>
      <c r="DC599">
        <f>ROUND((ROUND(AT599*AG599,2)*ROUND((1.25*1.15),7)),6)</f>
        <v>0</v>
      </c>
    </row>
    <row r="600" spans="1:107">
      <c r="A600">
        <f>ROW(Source!A261)</f>
        <v>261</v>
      </c>
      <c r="B600">
        <v>31028412</v>
      </c>
      <c r="C600">
        <v>31030030</v>
      </c>
      <c r="D600">
        <v>29147732</v>
      </c>
      <c r="E600">
        <v>1</v>
      </c>
      <c r="F600">
        <v>1</v>
      </c>
      <c r="G600">
        <v>1</v>
      </c>
      <c r="H600">
        <v>2</v>
      </c>
      <c r="I600" t="s">
        <v>846</v>
      </c>
      <c r="J600" t="s">
        <v>847</v>
      </c>
      <c r="K600" t="s">
        <v>848</v>
      </c>
      <c r="L600">
        <v>1368</v>
      </c>
      <c r="N600">
        <v>1011</v>
      </c>
      <c r="O600" t="s">
        <v>780</v>
      </c>
      <c r="P600" t="s">
        <v>780</v>
      </c>
      <c r="Q600">
        <v>1</v>
      </c>
      <c r="W600">
        <v>0</v>
      </c>
      <c r="X600">
        <v>-1205898307</v>
      </c>
      <c r="Y600">
        <v>0.330625</v>
      </c>
      <c r="AA600">
        <v>0</v>
      </c>
      <c r="AB600">
        <v>235.69</v>
      </c>
      <c r="AC600">
        <v>315.58999999999997</v>
      </c>
      <c r="AD600">
        <v>0</v>
      </c>
      <c r="AE600">
        <v>0</v>
      </c>
      <c r="AF600">
        <v>30.85</v>
      </c>
      <c r="AG600">
        <v>13.03</v>
      </c>
      <c r="AH600">
        <v>0</v>
      </c>
      <c r="AI600">
        <v>1</v>
      </c>
      <c r="AJ600">
        <v>7.64</v>
      </c>
      <c r="AK600">
        <v>24.22</v>
      </c>
      <c r="AL600">
        <v>1</v>
      </c>
      <c r="AN600">
        <v>0</v>
      </c>
      <c r="AO600">
        <v>1</v>
      </c>
      <c r="AP600">
        <v>1</v>
      </c>
      <c r="AQ600">
        <v>0</v>
      </c>
      <c r="AR600">
        <v>0</v>
      </c>
      <c r="AS600" t="s">
        <v>6</v>
      </c>
      <c r="AT600">
        <v>0.23</v>
      </c>
      <c r="AU600" t="s">
        <v>126</v>
      </c>
      <c r="AV600">
        <v>0</v>
      </c>
      <c r="AW600">
        <v>2</v>
      </c>
      <c r="AX600">
        <v>31030044</v>
      </c>
      <c r="AY600">
        <v>1</v>
      </c>
      <c r="AZ600">
        <v>0</v>
      </c>
      <c r="BA600">
        <v>629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0</v>
      </c>
      <c r="BW600">
        <v>0</v>
      </c>
      <c r="CX600">
        <f>Y600*Source!I261</f>
        <v>0.48668</v>
      </c>
      <c r="CY600">
        <f>AB600</f>
        <v>235.69</v>
      </c>
      <c r="CZ600">
        <f>AF600</f>
        <v>30.85</v>
      </c>
      <c r="DA600">
        <f>AJ600</f>
        <v>7.64</v>
      </c>
      <c r="DB600">
        <f>ROUND((ROUND(AT600*CZ600,2)*ROUND((1.25*1.15),7)),6)</f>
        <v>10.206250000000001</v>
      </c>
      <c r="DC600">
        <f>ROUND((ROUND(AT600*AG600,2)*ROUND((1.25*1.15),7)),6)</f>
        <v>4.3125</v>
      </c>
    </row>
    <row r="601" spans="1:107">
      <c r="A601">
        <f>ROW(Source!A261)</f>
        <v>261</v>
      </c>
      <c r="B601">
        <v>31028412</v>
      </c>
      <c r="C601">
        <v>31030030</v>
      </c>
      <c r="D601">
        <v>29149371</v>
      </c>
      <c r="E601">
        <v>1</v>
      </c>
      <c r="F601">
        <v>1</v>
      </c>
      <c r="G601">
        <v>1</v>
      </c>
      <c r="H601">
        <v>2</v>
      </c>
      <c r="I601" t="s">
        <v>1201</v>
      </c>
      <c r="J601" t="s">
        <v>1202</v>
      </c>
      <c r="K601" t="s">
        <v>1203</v>
      </c>
      <c r="L601">
        <v>1368</v>
      </c>
      <c r="N601">
        <v>1011</v>
      </c>
      <c r="O601" t="s">
        <v>780</v>
      </c>
      <c r="P601" t="s">
        <v>780</v>
      </c>
      <c r="Q601">
        <v>1</v>
      </c>
      <c r="W601">
        <v>0</v>
      </c>
      <c r="X601">
        <v>2087722046</v>
      </c>
      <c r="Y601">
        <v>10.0625</v>
      </c>
      <c r="AA601">
        <v>0</v>
      </c>
      <c r="AB601">
        <v>20.63</v>
      </c>
      <c r="AC601">
        <v>0</v>
      </c>
      <c r="AD601">
        <v>0</v>
      </c>
      <c r="AE601">
        <v>0</v>
      </c>
      <c r="AF601">
        <v>2.7</v>
      </c>
      <c r="AG601">
        <v>0</v>
      </c>
      <c r="AH601">
        <v>0</v>
      </c>
      <c r="AI601">
        <v>1</v>
      </c>
      <c r="AJ601">
        <v>7.64</v>
      </c>
      <c r="AK601">
        <v>24.22</v>
      </c>
      <c r="AL601">
        <v>1</v>
      </c>
      <c r="AN601">
        <v>0</v>
      </c>
      <c r="AO601">
        <v>1</v>
      </c>
      <c r="AP601">
        <v>1</v>
      </c>
      <c r="AQ601">
        <v>0</v>
      </c>
      <c r="AR601">
        <v>0</v>
      </c>
      <c r="AS601" t="s">
        <v>6</v>
      </c>
      <c r="AT601">
        <v>7</v>
      </c>
      <c r="AU601" t="s">
        <v>126</v>
      </c>
      <c r="AV601">
        <v>0</v>
      </c>
      <c r="AW601">
        <v>2</v>
      </c>
      <c r="AX601">
        <v>31030045</v>
      </c>
      <c r="AY601">
        <v>1</v>
      </c>
      <c r="AZ601">
        <v>0</v>
      </c>
      <c r="BA601">
        <v>630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0</v>
      </c>
      <c r="BW601">
        <v>0</v>
      </c>
      <c r="CX601">
        <f>Y601*Source!I261</f>
        <v>14.811999999999999</v>
      </c>
      <c r="CY601">
        <f>AB601</f>
        <v>20.63</v>
      </c>
      <c r="CZ601">
        <f>AF601</f>
        <v>2.7</v>
      </c>
      <c r="DA601">
        <f>AJ601</f>
        <v>7.64</v>
      </c>
      <c r="DB601">
        <f>ROUND((ROUND(AT601*CZ601,2)*ROUND((1.25*1.15),7)),6)</f>
        <v>27.168749999999999</v>
      </c>
      <c r="DC601">
        <f>ROUND((ROUND(AT601*AG601,2)*ROUND((1.25*1.15),7)),6)</f>
        <v>0</v>
      </c>
    </row>
    <row r="602" spans="1:107">
      <c r="A602">
        <f>ROW(Source!A261)</f>
        <v>261</v>
      </c>
      <c r="B602">
        <v>31028412</v>
      </c>
      <c r="C602">
        <v>31030030</v>
      </c>
      <c r="D602">
        <v>29149520</v>
      </c>
      <c r="E602">
        <v>1</v>
      </c>
      <c r="F602">
        <v>1</v>
      </c>
      <c r="G602">
        <v>1</v>
      </c>
      <c r="H602">
        <v>2</v>
      </c>
      <c r="I602" t="s">
        <v>790</v>
      </c>
      <c r="J602" t="s">
        <v>791</v>
      </c>
      <c r="K602" t="s">
        <v>792</v>
      </c>
      <c r="L602">
        <v>1368</v>
      </c>
      <c r="N602">
        <v>1011</v>
      </c>
      <c r="O602" t="s">
        <v>780</v>
      </c>
      <c r="P602" t="s">
        <v>780</v>
      </c>
      <c r="Q602">
        <v>1</v>
      </c>
      <c r="W602">
        <v>0</v>
      </c>
      <c r="X602">
        <v>-1931461795</v>
      </c>
      <c r="Y602">
        <v>0.47437499999999999</v>
      </c>
      <c r="AA602">
        <v>0</v>
      </c>
      <c r="AB602">
        <v>699.98</v>
      </c>
      <c r="AC602">
        <v>0</v>
      </c>
      <c r="AD602">
        <v>0</v>
      </c>
      <c r="AE602">
        <v>0</v>
      </c>
      <c r="AF602">
        <v>91.62</v>
      </c>
      <c r="AG602">
        <v>0</v>
      </c>
      <c r="AH602">
        <v>0</v>
      </c>
      <c r="AI602">
        <v>1</v>
      </c>
      <c r="AJ602">
        <v>7.64</v>
      </c>
      <c r="AK602">
        <v>24.22</v>
      </c>
      <c r="AL602">
        <v>1</v>
      </c>
      <c r="AN602">
        <v>0</v>
      </c>
      <c r="AO602">
        <v>1</v>
      </c>
      <c r="AP602">
        <v>1</v>
      </c>
      <c r="AQ602">
        <v>0</v>
      </c>
      <c r="AR602">
        <v>0</v>
      </c>
      <c r="AS602" t="s">
        <v>6</v>
      </c>
      <c r="AT602">
        <v>0.33</v>
      </c>
      <c r="AU602" t="s">
        <v>126</v>
      </c>
      <c r="AV602">
        <v>0</v>
      </c>
      <c r="AW602">
        <v>2</v>
      </c>
      <c r="AX602">
        <v>31030046</v>
      </c>
      <c r="AY602">
        <v>1</v>
      </c>
      <c r="AZ602">
        <v>0</v>
      </c>
      <c r="BA602">
        <v>631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0</v>
      </c>
      <c r="CX602">
        <f>Y602*Source!I261</f>
        <v>0.69828000000000001</v>
      </c>
      <c r="CY602">
        <f>AB602</f>
        <v>699.98</v>
      </c>
      <c r="CZ602">
        <f>AF602</f>
        <v>91.62</v>
      </c>
      <c r="DA602">
        <f>AJ602</f>
        <v>7.64</v>
      </c>
      <c r="DB602">
        <f>ROUND((ROUND(AT602*CZ602,2)*ROUND((1.25*1.15),7)),6)</f>
        <v>43.455624999999998</v>
      </c>
      <c r="DC602">
        <f>ROUND((ROUND(AT602*AG602,2)*ROUND((1.25*1.15),7)),6)</f>
        <v>0</v>
      </c>
    </row>
    <row r="603" spans="1:107">
      <c r="A603">
        <f>ROW(Source!A261)</f>
        <v>261</v>
      </c>
      <c r="B603">
        <v>31028412</v>
      </c>
      <c r="C603">
        <v>31030030</v>
      </c>
      <c r="D603">
        <v>29150440</v>
      </c>
      <c r="E603">
        <v>1</v>
      </c>
      <c r="F603">
        <v>1</v>
      </c>
      <c r="G603">
        <v>1</v>
      </c>
      <c r="H603">
        <v>3</v>
      </c>
      <c r="I603" t="s">
        <v>1010</v>
      </c>
      <c r="J603" t="s">
        <v>1011</v>
      </c>
      <c r="K603" t="s">
        <v>1012</v>
      </c>
      <c r="L603">
        <v>1348</v>
      </c>
      <c r="N603">
        <v>1009</v>
      </c>
      <c r="O603" t="s">
        <v>137</v>
      </c>
      <c r="P603" t="s">
        <v>137</v>
      </c>
      <c r="Q603">
        <v>1000</v>
      </c>
      <c r="W603">
        <v>0</v>
      </c>
      <c r="X603">
        <v>396826143</v>
      </c>
      <c r="Y603">
        <v>2.3E-2</v>
      </c>
      <c r="AA603">
        <v>9328.48</v>
      </c>
      <c r="AB603">
        <v>0</v>
      </c>
      <c r="AC603">
        <v>0</v>
      </c>
      <c r="AD603">
        <v>0</v>
      </c>
      <c r="AE603">
        <v>1511.91</v>
      </c>
      <c r="AF603">
        <v>0</v>
      </c>
      <c r="AG603">
        <v>0</v>
      </c>
      <c r="AH603">
        <v>0</v>
      </c>
      <c r="AI603">
        <v>6.17</v>
      </c>
      <c r="AJ603">
        <v>1</v>
      </c>
      <c r="AK603">
        <v>1</v>
      </c>
      <c r="AL603">
        <v>1</v>
      </c>
      <c r="AN603">
        <v>0</v>
      </c>
      <c r="AO603">
        <v>1</v>
      </c>
      <c r="AP603">
        <v>0</v>
      </c>
      <c r="AQ603">
        <v>0</v>
      </c>
      <c r="AR603">
        <v>0</v>
      </c>
      <c r="AS603" t="s">
        <v>6</v>
      </c>
      <c r="AT603">
        <v>2.3E-2</v>
      </c>
      <c r="AU603" t="s">
        <v>6</v>
      </c>
      <c r="AV603">
        <v>0</v>
      </c>
      <c r="AW603">
        <v>2</v>
      </c>
      <c r="AX603">
        <v>31030047</v>
      </c>
      <c r="AY603">
        <v>1</v>
      </c>
      <c r="AZ603">
        <v>0</v>
      </c>
      <c r="BA603">
        <v>632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0</v>
      </c>
      <c r="CX603">
        <f>Y603*Source!I261</f>
        <v>3.3855999999999997E-2</v>
      </c>
      <c r="CY603">
        <f t="shared" ref="CY603:CY608" si="117">AA603</f>
        <v>9328.48</v>
      </c>
      <c r="CZ603">
        <f t="shared" ref="CZ603:CZ608" si="118">AE603</f>
        <v>1511.91</v>
      </c>
      <c r="DA603">
        <f t="shared" ref="DA603:DA608" si="119">AI603</f>
        <v>6.17</v>
      </c>
      <c r="DB603">
        <f t="shared" ref="DB603:DB608" si="120">ROUND(ROUND(AT603*CZ603,2),6)</f>
        <v>34.770000000000003</v>
      </c>
      <c r="DC603">
        <f t="shared" ref="DC603:DC608" si="121">ROUND(ROUND(AT603*AG603,2),6)</f>
        <v>0</v>
      </c>
    </row>
    <row r="604" spans="1:107">
      <c r="A604">
        <f>ROW(Source!A261)</f>
        <v>261</v>
      </c>
      <c r="B604">
        <v>31028412</v>
      </c>
      <c r="C604">
        <v>31030030</v>
      </c>
      <c r="D604">
        <v>29150584</v>
      </c>
      <c r="E604">
        <v>1</v>
      </c>
      <c r="F604">
        <v>1</v>
      </c>
      <c r="G604">
        <v>1</v>
      </c>
      <c r="H604">
        <v>3</v>
      </c>
      <c r="I604" t="s">
        <v>1204</v>
      </c>
      <c r="J604" t="s">
        <v>1205</v>
      </c>
      <c r="K604" t="s">
        <v>1206</v>
      </c>
      <c r="L604">
        <v>1327</v>
      </c>
      <c r="N604">
        <v>1005</v>
      </c>
      <c r="O604" t="s">
        <v>284</v>
      </c>
      <c r="P604" t="s">
        <v>284</v>
      </c>
      <c r="Q604">
        <v>1</v>
      </c>
      <c r="W604">
        <v>0</v>
      </c>
      <c r="X604">
        <v>-1024839944</v>
      </c>
      <c r="Y604">
        <v>116</v>
      </c>
      <c r="AA604">
        <v>109.21</v>
      </c>
      <c r="AB604">
        <v>0</v>
      </c>
      <c r="AC604">
        <v>0</v>
      </c>
      <c r="AD604">
        <v>0</v>
      </c>
      <c r="AE604">
        <v>17.7</v>
      </c>
      <c r="AF604">
        <v>0</v>
      </c>
      <c r="AG604">
        <v>0</v>
      </c>
      <c r="AH604">
        <v>0</v>
      </c>
      <c r="AI604">
        <v>6.17</v>
      </c>
      <c r="AJ604">
        <v>1</v>
      </c>
      <c r="AK604">
        <v>1</v>
      </c>
      <c r="AL604">
        <v>1</v>
      </c>
      <c r="AN604">
        <v>0</v>
      </c>
      <c r="AO604">
        <v>1</v>
      </c>
      <c r="AP604">
        <v>0</v>
      </c>
      <c r="AQ604">
        <v>0</v>
      </c>
      <c r="AR604">
        <v>0</v>
      </c>
      <c r="AS604" t="s">
        <v>6</v>
      </c>
      <c r="AT604">
        <v>116</v>
      </c>
      <c r="AU604" t="s">
        <v>6</v>
      </c>
      <c r="AV604">
        <v>0</v>
      </c>
      <c r="AW604">
        <v>2</v>
      </c>
      <c r="AX604">
        <v>31030048</v>
      </c>
      <c r="AY604">
        <v>1</v>
      </c>
      <c r="AZ604">
        <v>0</v>
      </c>
      <c r="BA604">
        <v>633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0</v>
      </c>
      <c r="BS604">
        <v>0</v>
      </c>
      <c r="BT604">
        <v>0</v>
      </c>
      <c r="BU604">
        <v>0</v>
      </c>
      <c r="BV604">
        <v>0</v>
      </c>
      <c r="BW604">
        <v>0</v>
      </c>
      <c r="CX604">
        <f>Y604*Source!I261</f>
        <v>170.75200000000001</v>
      </c>
      <c r="CY604">
        <f t="shared" si="117"/>
        <v>109.21</v>
      </c>
      <c r="CZ604">
        <f t="shared" si="118"/>
        <v>17.7</v>
      </c>
      <c r="DA604">
        <f t="shared" si="119"/>
        <v>6.17</v>
      </c>
      <c r="DB604">
        <f t="shared" si="120"/>
        <v>2053.1999999999998</v>
      </c>
      <c r="DC604">
        <f t="shared" si="121"/>
        <v>0</v>
      </c>
    </row>
    <row r="605" spans="1:107">
      <c r="A605">
        <f>ROW(Source!A261)</f>
        <v>261</v>
      </c>
      <c r="B605">
        <v>31028412</v>
      </c>
      <c r="C605">
        <v>31030030</v>
      </c>
      <c r="D605">
        <v>29152000</v>
      </c>
      <c r="E605">
        <v>1</v>
      </c>
      <c r="F605">
        <v>1</v>
      </c>
      <c r="G605">
        <v>1</v>
      </c>
      <c r="H605">
        <v>3</v>
      </c>
      <c r="I605" t="s">
        <v>1207</v>
      </c>
      <c r="J605" t="s">
        <v>1208</v>
      </c>
      <c r="K605" t="s">
        <v>1209</v>
      </c>
      <c r="L605">
        <v>1348</v>
      </c>
      <c r="N605">
        <v>1009</v>
      </c>
      <c r="O605" t="s">
        <v>137</v>
      </c>
      <c r="P605" t="s">
        <v>137</v>
      </c>
      <c r="Q605">
        <v>1000</v>
      </c>
      <c r="W605">
        <v>0</v>
      </c>
      <c r="X605">
        <v>1710528239</v>
      </c>
      <c r="Y605">
        <v>0.246</v>
      </c>
      <c r="AA605">
        <v>27707</v>
      </c>
      <c r="AB605">
        <v>0</v>
      </c>
      <c r="AC605">
        <v>0</v>
      </c>
      <c r="AD605">
        <v>0</v>
      </c>
      <c r="AE605">
        <v>4490.6000000000004</v>
      </c>
      <c r="AF605">
        <v>0</v>
      </c>
      <c r="AG605">
        <v>0</v>
      </c>
      <c r="AH605">
        <v>0</v>
      </c>
      <c r="AI605">
        <v>6.17</v>
      </c>
      <c r="AJ605">
        <v>1</v>
      </c>
      <c r="AK605">
        <v>1</v>
      </c>
      <c r="AL605">
        <v>1</v>
      </c>
      <c r="AN605">
        <v>0</v>
      </c>
      <c r="AO605">
        <v>1</v>
      </c>
      <c r="AP605">
        <v>0</v>
      </c>
      <c r="AQ605">
        <v>0</v>
      </c>
      <c r="AR605">
        <v>0</v>
      </c>
      <c r="AS605" t="s">
        <v>6</v>
      </c>
      <c r="AT605">
        <v>0.246</v>
      </c>
      <c r="AU605" t="s">
        <v>6</v>
      </c>
      <c r="AV605">
        <v>0</v>
      </c>
      <c r="AW605">
        <v>2</v>
      </c>
      <c r="AX605">
        <v>31030049</v>
      </c>
      <c r="AY605">
        <v>1</v>
      </c>
      <c r="AZ605">
        <v>0</v>
      </c>
      <c r="BA605">
        <v>634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>
        <v>0</v>
      </c>
      <c r="CX605">
        <f>Y605*Source!I261</f>
        <v>0.36211199999999999</v>
      </c>
      <c r="CY605">
        <f t="shared" si="117"/>
        <v>27707</v>
      </c>
      <c r="CZ605">
        <f t="shared" si="118"/>
        <v>4490.6000000000004</v>
      </c>
      <c r="DA605">
        <f t="shared" si="119"/>
        <v>6.17</v>
      </c>
      <c r="DB605">
        <f t="shared" si="120"/>
        <v>1104.69</v>
      </c>
      <c r="DC605">
        <f t="shared" si="121"/>
        <v>0</v>
      </c>
    </row>
    <row r="606" spans="1:107">
      <c r="A606">
        <f>ROW(Source!A261)</f>
        <v>261</v>
      </c>
      <c r="B606">
        <v>31028412</v>
      </c>
      <c r="C606">
        <v>31030030</v>
      </c>
      <c r="D606">
        <v>29152001</v>
      </c>
      <c r="E606">
        <v>1</v>
      </c>
      <c r="F606">
        <v>1</v>
      </c>
      <c r="G606">
        <v>1</v>
      </c>
      <c r="H606">
        <v>3</v>
      </c>
      <c r="I606" t="s">
        <v>1210</v>
      </c>
      <c r="J606" t="s">
        <v>1211</v>
      </c>
      <c r="K606" t="s">
        <v>1212</v>
      </c>
      <c r="L606">
        <v>1348</v>
      </c>
      <c r="N606">
        <v>1009</v>
      </c>
      <c r="O606" t="s">
        <v>137</v>
      </c>
      <c r="P606" t="s">
        <v>137</v>
      </c>
      <c r="Q606">
        <v>1000</v>
      </c>
      <c r="W606">
        <v>0</v>
      </c>
      <c r="X606">
        <v>-932915085</v>
      </c>
      <c r="Y606">
        <v>5.3999999999999999E-2</v>
      </c>
      <c r="AA606">
        <v>37907.25</v>
      </c>
      <c r="AB606">
        <v>0</v>
      </c>
      <c r="AC606">
        <v>0</v>
      </c>
      <c r="AD606">
        <v>0</v>
      </c>
      <c r="AE606">
        <v>6143.8</v>
      </c>
      <c r="AF606">
        <v>0</v>
      </c>
      <c r="AG606">
        <v>0</v>
      </c>
      <c r="AH606">
        <v>0</v>
      </c>
      <c r="AI606">
        <v>6.17</v>
      </c>
      <c r="AJ606">
        <v>1</v>
      </c>
      <c r="AK606">
        <v>1</v>
      </c>
      <c r="AL606">
        <v>1</v>
      </c>
      <c r="AN606">
        <v>0</v>
      </c>
      <c r="AO606">
        <v>1</v>
      </c>
      <c r="AP606">
        <v>0</v>
      </c>
      <c r="AQ606">
        <v>0</v>
      </c>
      <c r="AR606">
        <v>0</v>
      </c>
      <c r="AS606" t="s">
        <v>6</v>
      </c>
      <c r="AT606">
        <v>5.3999999999999999E-2</v>
      </c>
      <c r="AU606" t="s">
        <v>6</v>
      </c>
      <c r="AV606">
        <v>0</v>
      </c>
      <c r="AW606">
        <v>2</v>
      </c>
      <c r="AX606">
        <v>31030050</v>
      </c>
      <c r="AY606">
        <v>1</v>
      </c>
      <c r="AZ606">
        <v>0</v>
      </c>
      <c r="BA606">
        <v>635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0</v>
      </c>
      <c r="BW606">
        <v>0</v>
      </c>
      <c r="CX606">
        <f>Y606*Source!I261</f>
        <v>7.9488000000000003E-2</v>
      </c>
      <c r="CY606">
        <f t="shared" si="117"/>
        <v>37907.25</v>
      </c>
      <c r="CZ606">
        <f t="shared" si="118"/>
        <v>6143.8</v>
      </c>
      <c r="DA606">
        <f t="shared" si="119"/>
        <v>6.17</v>
      </c>
      <c r="DB606">
        <f t="shared" si="120"/>
        <v>331.77</v>
      </c>
      <c r="DC606">
        <f t="shared" si="121"/>
        <v>0</v>
      </c>
    </row>
    <row r="607" spans="1:107">
      <c r="A607">
        <f>ROW(Source!A261)</f>
        <v>261</v>
      </c>
      <c r="B607">
        <v>31028412</v>
      </c>
      <c r="C607">
        <v>31030030</v>
      </c>
      <c r="D607">
        <v>29152014</v>
      </c>
      <c r="E607">
        <v>1</v>
      </c>
      <c r="F607">
        <v>1</v>
      </c>
      <c r="G607">
        <v>1</v>
      </c>
      <c r="H607">
        <v>3</v>
      </c>
      <c r="I607" t="s">
        <v>838</v>
      </c>
      <c r="J607" t="s">
        <v>839</v>
      </c>
      <c r="K607" t="s">
        <v>840</v>
      </c>
      <c r="L607">
        <v>1346</v>
      </c>
      <c r="N607">
        <v>1009</v>
      </c>
      <c r="O607" t="s">
        <v>118</v>
      </c>
      <c r="P607" t="s">
        <v>118</v>
      </c>
      <c r="Q607">
        <v>1</v>
      </c>
      <c r="W607">
        <v>0</v>
      </c>
      <c r="X607">
        <v>-1526040720</v>
      </c>
      <c r="Y607">
        <v>0.5</v>
      </c>
      <c r="AA607">
        <v>11.97</v>
      </c>
      <c r="AB607">
        <v>0</v>
      </c>
      <c r="AC607">
        <v>0</v>
      </c>
      <c r="AD607">
        <v>0</v>
      </c>
      <c r="AE607">
        <v>1.94</v>
      </c>
      <c r="AF607">
        <v>0</v>
      </c>
      <c r="AG607">
        <v>0</v>
      </c>
      <c r="AH607">
        <v>0</v>
      </c>
      <c r="AI607">
        <v>6.17</v>
      </c>
      <c r="AJ607">
        <v>1</v>
      </c>
      <c r="AK607">
        <v>1</v>
      </c>
      <c r="AL607">
        <v>1</v>
      </c>
      <c r="AN607">
        <v>0</v>
      </c>
      <c r="AO607">
        <v>1</v>
      </c>
      <c r="AP607">
        <v>0</v>
      </c>
      <c r="AQ607">
        <v>0</v>
      </c>
      <c r="AR607">
        <v>0</v>
      </c>
      <c r="AS607" t="s">
        <v>6</v>
      </c>
      <c r="AT607">
        <v>0.5</v>
      </c>
      <c r="AU607" t="s">
        <v>6</v>
      </c>
      <c r="AV607">
        <v>0</v>
      </c>
      <c r="AW607">
        <v>2</v>
      </c>
      <c r="AX607">
        <v>31030051</v>
      </c>
      <c r="AY607">
        <v>1</v>
      </c>
      <c r="AZ607">
        <v>0</v>
      </c>
      <c r="BA607">
        <v>636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0</v>
      </c>
      <c r="BW607">
        <v>0</v>
      </c>
      <c r="CX607">
        <f>Y607*Source!I261</f>
        <v>0.73599999999999999</v>
      </c>
      <c r="CY607">
        <f t="shared" si="117"/>
        <v>11.97</v>
      </c>
      <c r="CZ607">
        <f t="shared" si="118"/>
        <v>1.94</v>
      </c>
      <c r="DA607">
        <f t="shared" si="119"/>
        <v>6.17</v>
      </c>
      <c r="DB607">
        <f t="shared" si="120"/>
        <v>0.97</v>
      </c>
      <c r="DC607">
        <f t="shared" si="121"/>
        <v>0</v>
      </c>
    </row>
    <row r="608" spans="1:107">
      <c r="A608">
        <f>ROW(Source!A261)</f>
        <v>261</v>
      </c>
      <c r="B608">
        <v>31028412</v>
      </c>
      <c r="C608">
        <v>31030030</v>
      </c>
      <c r="D608">
        <v>29164748</v>
      </c>
      <c r="E608">
        <v>1</v>
      </c>
      <c r="F608">
        <v>1</v>
      </c>
      <c r="G608">
        <v>1</v>
      </c>
      <c r="H608">
        <v>3</v>
      </c>
      <c r="I608" t="s">
        <v>1213</v>
      </c>
      <c r="J608" t="s">
        <v>1214</v>
      </c>
      <c r="K608" t="s">
        <v>1215</v>
      </c>
      <c r="L608">
        <v>1348</v>
      </c>
      <c r="N608">
        <v>1009</v>
      </c>
      <c r="O608" t="s">
        <v>137</v>
      </c>
      <c r="P608" t="s">
        <v>137</v>
      </c>
      <c r="Q608">
        <v>1000</v>
      </c>
      <c r="W608">
        <v>0</v>
      </c>
      <c r="X608">
        <v>-684849947</v>
      </c>
      <c r="Y608">
        <v>4.0000000000000001E-3</v>
      </c>
      <c r="AA608">
        <v>233657.9</v>
      </c>
      <c r="AB608">
        <v>0</v>
      </c>
      <c r="AC608">
        <v>0</v>
      </c>
      <c r="AD608">
        <v>0</v>
      </c>
      <c r="AE608">
        <v>37870</v>
      </c>
      <c r="AF608">
        <v>0</v>
      </c>
      <c r="AG608">
        <v>0</v>
      </c>
      <c r="AH608">
        <v>0</v>
      </c>
      <c r="AI608">
        <v>6.17</v>
      </c>
      <c r="AJ608">
        <v>1</v>
      </c>
      <c r="AK608">
        <v>1</v>
      </c>
      <c r="AL608">
        <v>1</v>
      </c>
      <c r="AN608">
        <v>0</v>
      </c>
      <c r="AO608">
        <v>1</v>
      </c>
      <c r="AP608">
        <v>0</v>
      </c>
      <c r="AQ608">
        <v>0</v>
      </c>
      <c r="AR608">
        <v>0</v>
      </c>
      <c r="AS608" t="s">
        <v>6</v>
      </c>
      <c r="AT608">
        <v>4.0000000000000001E-3</v>
      </c>
      <c r="AU608" t="s">
        <v>6</v>
      </c>
      <c r="AV608">
        <v>0</v>
      </c>
      <c r="AW608">
        <v>2</v>
      </c>
      <c r="AX608">
        <v>31030052</v>
      </c>
      <c r="AY608">
        <v>1</v>
      </c>
      <c r="AZ608">
        <v>0</v>
      </c>
      <c r="BA608">
        <v>637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0</v>
      </c>
      <c r="BV608">
        <v>0</v>
      </c>
      <c r="BW608">
        <v>0</v>
      </c>
      <c r="CX608">
        <f>Y608*Source!I261</f>
        <v>5.888E-3</v>
      </c>
      <c r="CY608">
        <f t="shared" si="117"/>
        <v>233657.9</v>
      </c>
      <c r="CZ608">
        <f t="shared" si="118"/>
        <v>37870</v>
      </c>
      <c r="DA608">
        <f t="shared" si="119"/>
        <v>6.17</v>
      </c>
      <c r="DB608">
        <f t="shared" si="120"/>
        <v>151.47999999999999</v>
      </c>
      <c r="DC608">
        <f t="shared" si="121"/>
        <v>0</v>
      </c>
    </row>
    <row r="609" spans="1:107">
      <c r="A609">
        <f>ROW(Source!A262)</f>
        <v>262</v>
      </c>
      <c r="B609">
        <v>31028412</v>
      </c>
      <c r="C609">
        <v>31030053</v>
      </c>
      <c r="D609">
        <v>30853534</v>
      </c>
      <c r="E609">
        <v>1</v>
      </c>
      <c r="F609">
        <v>1</v>
      </c>
      <c r="G609">
        <v>1</v>
      </c>
      <c r="H609">
        <v>1</v>
      </c>
      <c r="I609" t="s">
        <v>1188</v>
      </c>
      <c r="J609" t="s">
        <v>6</v>
      </c>
      <c r="K609" t="s">
        <v>1189</v>
      </c>
      <c r="L609">
        <v>1369</v>
      </c>
      <c r="N609">
        <v>1013</v>
      </c>
      <c r="O609" t="s">
        <v>773</v>
      </c>
      <c r="P609" t="s">
        <v>773</v>
      </c>
      <c r="Q609">
        <v>1</v>
      </c>
      <c r="W609">
        <v>0</v>
      </c>
      <c r="X609">
        <v>-1923068736</v>
      </c>
      <c r="Y609">
        <v>52.251974999999987</v>
      </c>
      <c r="AA609">
        <v>0</v>
      </c>
      <c r="AB609">
        <v>0</v>
      </c>
      <c r="AC609">
        <v>0</v>
      </c>
      <c r="AD609">
        <v>185.77</v>
      </c>
      <c r="AE609">
        <v>0</v>
      </c>
      <c r="AF609">
        <v>0</v>
      </c>
      <c r="AG609">
        <v>0</v>
      </c>
      <c r="AH609">
        <v>7.67</v>
      </c>
      <c r="AI609">
        <v>1</v>
      </c>
      <c r="AJ609">
        <v>1</v>
      </c>
      <c r="AK609">
        <v>1</v>
      </c>
      <c r="AL609">
        <v>24.22</v>
      </c>
      <c r="AN609">
        <v>0</v>
      </c>
      <c r="AO609">
        <v>1</v>
      </c>
      <c r="AP609">
        <v>1</v>
      </c>
      <c r="AQ609">
        <v>0</v>
      </c>
      <c r="AR609">
        <v>0</v>
      </c>
      <c r="AS609" t="s">
        <v>6</v>
      </c>
      <c r="AT609">
        <v>39.51</v>
      </c>
      <c r="AU609" t="s">
        <v>127</v>
      </c>
      <c r="AV609">
        <v>1</v>
      </c>
      <c r="AW609">
        <v>2</v>
      </c>
      <c r="AX609">
        <v>31030060</v>
      </c>
      <c r="AY609">
        <v>1</v>
      </c>
      <c r="AZ609">
        <v>0</v>
      </c>
      <c r="BA609">
        <v>638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0</v>
      </c>
      <c r="CX609">
        <f>Y609*Source!I262</f>
        <v>69.808638599999981</v>
      </c>
      <c r="CY609">
        <f>AD609</f>
        <v>185.77</v>
      </c>
      <c r="CZ609">
        <f>AH609</f>
        <v>7.67</v>
      </c>
      <c r="DA609">
        <f>AL609</f>
        <v>24.22</v>
      </c>
      <c r="DB609">
        <f>ROUND((ROUND(AT609*CZ609,2)*ROUND((1.15*1.15),7)),6)</f>
        <v>400.7704</v>
      </c>
      <c r="DC609">
        <f>ROUND((ROUND(AT609*AG609,2)*ROUND((1.15*1.15),7)),6)</f>
        <v>0</v>
      </c>
    </row>
    <row r="610" spans="1:107">
      <c r="A610">
        <f>ROW(Source!A262)</f>
        <v>262</v>
      </c>
      <c r="B610">
        <v>31028412</v>
      </c>
      <c r="C610">
        <v>31030053</v>
      </c>
      <c r="D610">
        <v>29084573</v>
      </c>
      <c r="E610">
        <v>1</v>
      </c>
      <c r="F610">
        <v>1</v>
      </c>
      <c r="G610">
        <v>1</v>
      </c>
      <c r="H610">
        <v>1</v>
      </c>
      <c r="I610" t="s">
        <v>774</v>
      </c>
      <c r="J610" t="s">
        <v>6</v>
      </c>
      <c r="K610" t="s">
        <v>775</v>
      </c>
      <c r="L610">
        <v>608254</v>
      </c>
      <c r="N610">
        <v>1013</v>
      </c>
      <c r="O610" t="s">
        <v>776</v>
      </c>
      <c r="P610" t="s">
        <v>776</v>
      </c>
      <c r="Q610">
        <v>1</v>
      </c>
      <c r="W610">
        <v>0</v>
      </c>
      <c r="X610">
        <v>95408949</v>
      </c>
      <c r="Y610">
        <v>1.8256249999999998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1</v>
      </c>
      <c r="AJ610">
        <v>1</v>
      </c>
      <c r="AK610">
        <v>24.22</v>
      </c>
      <c r="AL610">
        <v>1</v>
      </c>
      <c r="AN610">
        <v>0</v>
      </c>
      <c r="AO610">
        <v>1</v>
      </c>
      <c r="AP610">
        <v>1</v>
      </c>
      <c r="AQ610">
        <v>0</v>
      </c>
      <c r="AR610">
        <v>0</v>
      </c>
      <c r="AS610" t="s">
        <v>6</v>
      </c>
      <c r="AT610">
        <v>1.27</v>
      </c>
      <c r="AU610" t="s">
        <v>126</v>
      </c>
      <c r="AV610">
        <v>2</v>
      </c>
      <c r="AW610">
        <v>2</v>
      </c>
      <c r="AX610">
        <v>31030061</v>
      </c>
      <c r="AY610">
        <v>1</v>
      </c>
      <c r="AZ610">
        <v>0</v>
      </c>
      <c r="BA610">
        <v>639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0</v>
      </c>
      <c r="CX610">
        <f>Y610*Source!I262</f>
        <v>2.4390350000000001</v>
      </c>
      <c r="CY610">
        <f>AD610</f>
        <v>0</v>
      </c>
      <c r="CZ610">
        <f>AH610</f>
        <v>0</v>
      </c>
      <c r="DA610">
        <f>AL610</f>
        <v>1</v>
      </c>
      <c r="DB610">
        <f>ROUND((ROUND(AT610*CZ610,2)*ROUND((1.25*1.15),7)),6)</f>
        <v>0</v>
      </c>
      <c r="DC610">
        <f>ROUND((ROUND(AT610*AG610,2)*ROUND((1.25*1.15),7)),6)</f>
        <v>0</v>
      </c>
    </row>
    <row r="611" spans="1:107">
      <c r="A611">
        <f>ROW(Source!A262)</f>
        <v>262</v>
      </c>
      <c r="B611">
        <v>31028412</v>
      </c>
      <c r="C611">
        <v>31030053</v>
      </c>
      <c r="D611">
        <v>29147732</v>
      </c>
      <c r="E611">
        <v>1</v>
      </c>
      <c r="F611">
        <v>1</v>
      </c>
      <c r="G611">
        <v>1</v>
      </c>
      <c r="H611">
        <v>2</v>
      </c>
      <c r="I611" t="s">
        <v>846</v>
      </c>
      <c r="J611" t="s">
        <v>847</v>
      </c>
      <c r="K611" t="s">
        <v>848</v>
      </c>
      <c r="L611">
        <v>1368</v>
      </c>
      <c r="N611">
        <v>1011</v>
      </c>
      <c r="O611" t="s">
        <v>780</v>
      </c>
      <c r="P611" t="s">
        <v>780</v>
      </c>
      <c r="Q611">
        <v>1</v>
      </c>
      <c r="W611">
        <v>0</v>
      </c>
      <c r="X611">
        <v>-1205898307</v>
      </c>
      <c r="Y611">
        <v>1.8256249999999998</v>
      </c>
      <c r="AA611">
        <v>0</v>
      </c>
      <c r="AB611">
        <v>235.69</v>
      </c>
      <c r="AC611">
        <v>315.58999999999997</v>
      </c>
      <c r="AD611">
        <v>0</v>
      </c>
      <c r="AE611">
        <v>0</v>
      </c>
      <c r="AF611">
        <v>30.85</v>
      </c>
      <c r="AG611">
        <v>13.03</v>
      </c>
      <c r="AH611">
        <v>0</v>
      </c>
      <c r="AI611">
        <v>1</v>
      </c>
      <c r="AJ611">
        <v>7.64</v>
      </c>
      <c r="AK611">
        <v>24.22</v>
      </c>
      <c r="AL611">
        <v>1</v>
      </c>
      <c r="AN611">
        <v>0</v>
      </c>
      <c r="AO611">
        <v>1</v>
      </c>
      <c r="AP611">
        <v>1</v>
      </c>
      <c r="AQ611">
        <v>0</v>
      </c>
      <c r="AR611">
        <v>0</v>
      </c>
      <c r="AS611" t="s">
        <v>6</v>
      </c>
      <c r="AT611">
        <v>1.27</v>
      </c>
      <c r="AU611" t="s">
        <v>126</v>
      </c>
      <c r="AV611">
        <v>0</v>
      </c>
      <c r="AW611">
        <v>2</v>
      </c>
      <c r="AX611">
        <v>31030062</v>
      </c>
      <c r="AY611">
        <v>1</v>
      </c>
      <c r="AZ611">
        <v>0</v>
      </c>
      <c r="BA611">
        <v>640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0</v>
      </c>
      <c r="CX611">
        <f>Y611*Source!I262</f>
        <v>2.4390350000000001</v>
      </c>
      <c r="CY611">
        <f>AB611</f>
        <v>235.69</v>
      </c>
      <c r="CZ611">
        <f>AF611</f>
        <v>30.85</v>
      </c>
      <c r="DA611">
        <f>AJ611</f>
        <v>7.64</v>
      </c>
      <c r="DB611">
        <f>ROUND((ROUND(AT611*CZ611,2)*ROUND((1.25*1.15),7)),6)</f>
        <v>56.321249999999999</v>
      </c>
      <c r="DC611">
        <f>ROUND((ROUND(AT611*AG611,2)*ROUND((1.25*1.15),7)),6)</f>
        <v>23.790624999999999</v>
      </c>
    </row>
    <row r="612" spans="1:107">
      <c r="A612">
        <f>ROW(Source!A262)</f>
        <v>262</v>
      </c>
      <c r="B612">
        <v>31028412</v>
      </c>
      <c r="C612">
        <v>31030053</v>
      </c>
      <c r="D612">
        <v>29148144</v>
      </c>
      <c r="E612">
        <v>1</v>
      </c>
      <c r="F612">
        <v>1</v>
      </c>
      <c r="G612">
        <v>1</v>
      </c>
      <c r="H612">
        <v>2</v>
      </c>
      <c r="I612" t="s">
        <v>1193</v>
      </c>
      <c r="J612" t="s">
        <v>1194</v>
      </c>
      <c r="K612" t="s">
        <v>1195</v>
      </c>
      <c r="L612">
        <v>1368</v>
      </c>
      <c r="N612">
        <v>1011</v>
      </c>
      <c r="O612" t="s">
        <v>780</v>
      </c>
      <c r="P612" t="s">
        <v>780</v>
      </c>
      <c r="Q612">
        <v>1</v>
      </c>
      <c r="W612">
        <v>0</v>
      </c>
      <c r="X612">
        <v>1426655577</v>
      </c>
      <c r="Y612">
        <v>13.038124999999999</v>
      </c>
      <c r="AA612">
        <v>0</v>
      </c>
      <c r="AB612">
        <v>3.82</v>
      </c>
      <c r="AC612">
        <v>0</v>
      </c>
      <c r="AD612">
        <v>0</v>
      </c>
      <c r="AE612">
        <v>0</v>
      </c>
      <c r="AF612">
        <v>0.5</v>
      </c>
      <c r="AG612">
        <v>0</v>
      </c>
      <c r="AH612">
        <v>0</v>
      </c>
      <c r="AI612">
        <v>1</v>
      </c>
      <c r="AJ612">
        <v>7.64</v>
      </c>
      <c r="AK612">
        <v>24.22</v>
      </c>
      <c r="AL612">
        <v>1</v>
      </c>
      <c r="AN612">
        <v>0</v>
      </c>
      <c r="AO612">
        <v>1</v>
      </c>
      <c r="AP612">
        <v>1</v>
      </c>
      <c r="AQ612">
        <v>0</v>
      </c>
      <c r="AR612">
        <v>0</v>
      </c>
      <c r="AS612" t="s">
        <v>6</v>
      </c>
      <c r="AT612">
        <v>9.07</v>
      </c>
      <c r="AU612" t="s">
        <v>126</v>
      </c>
      <c r="AV612">
        <v>0</v>
      </c>
      <c r="AW612">
        <v>2</v>
      </c>
      <c r="AX612">
        <v>31030063</v>
      </c>
      <c r="AY612">
        <v>1</v>
      </c>
      <c r="AZ612">
        <v>0</v>
      </c>
      <c r="BA612">
        <v>641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0</v>
      </c>
      <c r="BS612">
        <v>0</v>
      </c>
      <c r="BT612">
        <v>0</v>
      </c>
      <c r="BU612">
        <v>0</v>
      </c>
      <c r="BV612">
        <v>0</v>
      </c>
      <c r="BW612">
        <v>0</v>
      </c>
      <c r="CX612">
        <f>Y612*Source!I262</f>
        <v>17.418935000000001</v>
      </c>
      <c r="CY612">
        <f>AB612</f>
        <v>3.82</v>
      </c>
      <c r="CZ612">
        <f>AF612</f>
        <v>0.5</v>
      </c>
      <c r="DA612">
        <f>AJ612</f>
        <v>7.64</v>
      </c>
      <c r="DB612">
        <f>ROUND((ROUND(AT612*CZ612,2)*ROUND((1.25*1.15),7)),6)</f>
        <v>6.5262500000000001</v>
      </c>
      <c r="DC612">
        <f>ROUND((ROUND(AT612*AG612,2)*ROUND((1.25*1.15),7)),6)</f>
        <v>0</v>
      </c>
    </row>
    <row r="613" spans="1:107">
      <c r="A613">
        <f>ROW(Source!A262)</f>
        <v>262</v>
      </c>
      <c r="B613">
        <v>31028412</v>
      </c>
      <c r="C613">
        <v>31030053</v>
      </c>
      <c r="D613">
        <v>29186490</v>
      </c>
      <c r="E613">
        <v>1</v>
      </c>
      <c r="F613">
        <v>1</v>
      </c>
      <c r="G613">
        <v>1</v>
      </c>
      <c r="H613">
        <v>3</v>
      </c>
      <c r="I613" t="s">
        <v>1196</v>
      </c>
      <c r="J613" t="s">
        <v>1197</v>
      </c>
      <c r="K613" t="s">
        <v>1198</v>
      </c>
      <c r="L613">
        <v>1339</v>
      </c>
      <c r="N613">
        <v>1007</v>
      </c>
      <c r="O613" t="s">
        <v>109</v>
      </c>
      <c r="P613" t="s">
        <v>109</v>
      </c>
      <c r="Q613">
        <v>1</v>
      </c>
      <c r="W613">
        <v>0</v>
      </c>
      <c r="X613">
        <v>171744258</v>
      </c>
      <c r="Y613">
        <v>2.04</v>
      </c>
      <c r="AA613">
        <v>3994.46</v>
      </c>
      <c r="AB613">
        <v>0</v>
      </c>
      <c r="AC613">
        <v>0</v>
      </c>
      <c r="AD613">
        <v>0</v>
      </c>
      <c r="AE613">
        <v>647.4</v>
      </c>
      <c r="AF613">
        <v>0</v>
      </c>
      <c r="AG613">
        <v>0</v>
      </c>
      <c r="AH613">
        <v>0</v>
      </c>
      <c r="AI613">
        <v>6.17</v>
      </c>
      <c r="AJ613">
        <v>1</v>
      </c>
      <c r="AK613">
        <v>1</v>
      </c>
      <c r="AL613">
        <v>1</v>
      </c>
      <c r="AN613">
        <v>0</v>
      </c>
      <c r="AO613">
        <v>1</v>
      </c>
      <c r="AP613">
        <v>0</v>
      </c>
      <c r="AQ613">
        <v>0</v>
      </c>
      <c r="AR613">
        <v>0</v>
      </c>
      <c r="AS613" t="s">
        <v>6</v>
      </c>
      <c r="AT613">
        <v>2.04</v>
      </c>
      <c r="AU613" t="s">
        <v>6</v>
      </c>
      <c r="AV613">
        <v>0</v>
      </c>
      <c r="AW613">
        <v>2</v>
      </c>
      <c r="AX613">
        <v>31030064</v>
      </c>
      <c r="AY613">
        <v>1</v>
      </c>
      <c r="AZ613">
        <v>0</v>
      </c>
      <c r="BA613">
        <v>642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0</v>
      </c>
      <c r="CX613">
        <f>Y613*Source!I262</f>
        <v>2.7254400000000003</v>
      </c>
      <c r="CY613">
        <f>AA613</f>
        <v>3994.46</v>
      </c>
      <c r="CZ613">
        <f>AE613</f>
        <v>647.4</v>
      </c>
      <c r="DA613">
        <f>AI613</f>
        <v>6.17</v>
      </c>
      <c r="DB613">
        <f>ROUND(ROUND(AT613*CZ613,2),6)</f>
        <v>1320.7</v>
      </c>
      <c r="DC613">
        <f>ROUND(ROUND(AT613*AG613,2),6)</f>
        <v>0</v>
      </c>
    </row>
    <row r="614" spans="1:107">
      <c r="A614">
        <f>ROW(Source!A262)</f>
        <v>262</v>
      </c>
      <c r="B614">
        <v>31028412</v>
      </c>
      <c r="C614">
        <v>31030053</v>
      </c>
      <c r="D614">
        <v>29195171</v>
      </c>
      <c r="E614">
        <v>1</v>
      </c>
      <c r="F614">
        <v>1</v>
      </c>
      <c r="G614">
        <v>1</v>
      </c>
      <c r="H614">
        <v>3</v>
      </c>
      <c r="I614" t="s">
        <v>830</v>
      </c>
      <c r="J614" t="s">
        <v>831</v>
      </c>
      <c r="K614" t="s">
        <v>832</v>
      </c>
      <c r="L614">
        <v>1339</v>
      </c>
      <c r="N614">
        <v>1007</v>
      </c>
      <c r="O614" t="s">
        <v>109</v>
      </c>
      <c r="P614" t="s">
        <v>109</v>
      </c>
      <c r="Q614">
        <v>1</v>
      </c>
      <c r="W614">
        <v>0</v>
      </c>
      <c r="X614">
        <v>2050165204</v>
      </c>
      <c r="Y614">
        <v>3.5</v>
      </c>
      <c r="AA614">
        <v>15.12</v>
      </c>
      <c r="AB614">
        <v>0</v>
      </c>
      <c r="AC614">
        <v>0</v>
      </c>
      <c r="AD614">
        <v>0</v>
      </c>
      <c r="AE614">
        <v>2.4500000000000002</v>
      </c>
      <c r="AF614">
        <v>0</v>
      </c>
      <c r="AG614">
        <v>0</v>
      </c>
      <c r="AH614">
        <v>0</v>
      </c>
      <c r="AI614">
        <v>6.17</v>
      </c>
      <c r="AJ614">
        <v>1</v>
      </c>
      <c r="AK614">
        <v>1</v>
      </c>
      <c r="AL614">
        <v>1</v>
      </c>
      <c r="AN614">
        <v>0</v>
      </c>
      <c r="AO614">
        <v>1</v>
      </c>
      <c r="AP614">
        <v>0</v>
      </c>
      <c r="AQ614">
        <v>0</v>
      </c>
      <c r="AR614">
        <v>0</v>
      </c>
      <c r="AS614" t="s">
        <v>6</v>
      </c>
      <c r="AT614">
        <v>3.5</v>
      </c>
      <c r="AU614" t="s">
        <v>6</v>
      </c>
      <c r="AV614">
        <v>0</v>
      </c>
      <c r="AW614">
        <v>2</v>
      </c>
      <c r="AX614">
        <v>31030065</v>
      </c>
      <c r="AY614">
        <v>1</v>
      </c>
      <c r="AZ614">
        <v>0</v>
      </c>
      <c r="BA614">
        <v>643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0</v>
      </c>
      <c r="BW614">
        <v>0</v>
      </c>
      <c r="CX614">
        <f>Y614*Source!I262</f>
        <v>4.6760000000000002</v>
      </c>
      <c r="CY614">
        <f>AA614</f>
        <v>15.12</v>
      </c>
      <c r="CZ614">
        <f>AE614</f>
        <v>2.4500000000000002</v>
      </c>
      <c r="DA614">
        <f>AI614</f>
        <v>6.17</v>
      </c>
      <c r="DB614">
        <f>ROUND(ROUND(AT614*CZ614,2),6)</f>
        <v>8.58</v>
      </c>
      <c r="DC614">
        <f>ROUND(ROUND(AT614*AG614,2),6)</f>
        <v>0</v>
      </c>
    </row>
    <row r="615" spans="1:107">
      <c r="A615">
        <f>ROW(Source!A263)</f>
        <v>263</v>
      </c>
      <c r="B615">
        <v>31028412</v>
      </c>
      <c r="C615">
        <v>31030066</v>
      </c>
      <c r="D615">
        <v>30853534</v>
      </c>
      <c r="E615">
        <v>1</v>
      </c>
      <c r="F615">
        <v>1</v>
      </c>
      <c r="G615">
        <v>1</v>
      </c>
      <c r="H615">
        <v>1</v>
      </c>
      <c r="I615" t="s">
        <v>1188</v>
      </c>
      <c r="J615" t="s">
        <v>6</v>
      </c>
      <c r="K615" t="s">
        <v>1189</v>
      </c>
      <c r="L615">
        <v>1369</v>
      </c>
      <c r="N615">
        <v>1013</v>
      </c>
      <c r="O615" t="s">
        <v>773</v>
      </c>
      <c r="P615" t="s">
        <v>773</v>
      </c>
      <c r="Q615">
        <v>1</v>
      </c>
      <c r="W615">
        <v>0</v>
      </c>
      <c r="X615">
        <v>-1923068736</v>
      </c>
      <c r="Y615">
        <v>0.66124999999999989</v>
      </c>
      <c r="AA615">
        <v>0</v>
      </c>
      <c r="AB615">
        <v>0</v>
      </c>
      <c r="AC615">
        <v>0</v>
      </c>
      <c r="AD615">
        <v>185.77</v>
      </c>
      <c r="AE615">
        <v>0</v>
      </c>
      <c r="AF615">
        <v>0</v>
      </c>
      <c r="AG615">
        <v>0</v>
      </c>
      <c r="AH615">
        <v>7.67</v>
      </c>
      <c r="AI615">
        <v>1</v>
      </c>
      <c r="AJ615">
        <v>1</v>
      </c>
      <c r="AK615">
        <v>1</v>
      </c>
      <c r="AL615">
        <v>24.22</v>
      </c>
      <c r="AN615">
        <v>0</v>
      </c>
      <c r="AO615">
        <v>1</v>
      </c>
      <c r="AP615">
        <v>1</v>
      </c>
      <c r="AQ615">
        <v>0</v>
      </c>
      <c r="AR615">
        <v>0</v>
      </c>
      <c r="AS615" t="s">
        <v>6</v>
      </c>
      <c r="AT615">
        <v>0.5</v>
      </c>
      <c r="AU615" t="s">
        <v>127</v>
      </c>
      <c r="AV615">
        <v>1</v>
      </c>
      <c r="AW615">
        <v>2</v>
      </c>
      <c r="AX615">
        <v>31030072</v>
      </c>
      <c r="AY615">
        <v>1</v>
      </c>
      <c r="AZ615">
        <v>0</v>
      </c>
      <c r="BA615">
        <v>644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0</v>
      </c>
      <c r="BW615">
        <v>0</v>
      </c>
      <c r="CX615">
        <f>Y615*Source!I263</f>
        <v>-0.88342999999999994</v>
      </c>
      <c r="CY615">
        <f>AD615</f>
        <v>185.77</v>
      </c>
      <c r="CZ615">
        <f>AH615</f>
        <v>7.67</v>
      </c>
      <c r="DA615">
        <f>AL615</f>
        <v>24.22</v>
      </c>
      <c r="DB615">
        <f>ROUND((ROUND(AT615*CZ615,2)*ROUND((1.15*1.15),7)),6)</f>
        <v>5.0784000000000002</v>
      </c>
      <c r="DC615">
        <f>ROUND((ROUND(AT615*AG615,2)*ROUND((1.15*1.15),7)),6)</f>
        <v>0</v>
      </c>
    </row>
    <row r="616" spans="1:107">
      <c r="A616">
        <f>ROW(Source!A263)</f>
        <v>263</v>
      </c>
      <c r="B616">
        <v>31028412</v>
      </c>
      <c r="C616">
        <v>31030066</v>
      </c>
      <c r="D616">
        <v>29084573</v>
      </c>
      <c r="E616">
        <v>1</v>
      </c>
      <c r="F616">
        <v>1</v>
      </c>
      <c r="G616">
        <v>1</v>
      </c>
      <c r="H616">
        <v>1</v>
      </c>
      <c r="I616" t="s">
        <v>774</v>
      </c>
      <c r="J616" t="s">
        <v>6</v>
      </c>
      <c r="K616" t="s">
        <v>775</v>
      </c>
      <c r="L616">
        <v>608254</v>
      </c>
      <c r="N616">
        <v>1013</v>
      </c>
      <c r="O616" t="s">
        <v>776</v>
      </c>
      <c r="P616" t="s">
        <v>776</v>
      </c>
      <c r="Q616">
        <v>1</v>
      </c>
      <c r="W616">
        <v>0</v>
      </c>
      <c r="X616">
        <v>95408949</v>
      </c>
      <c r="Y616">
        <v>0.301875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1</v>
      </c>
      <c r="AJ616">
        <v>1</v>
      </c>
      <c r="AK616">
        <v>24.22</v>
      </c>
      <c r="AL616">
        <v>1</v>
      </c>
      <c r="AN616">
        <v>0</v>
      </c>
      <c r="AO616">
        <v>1</v>
      </c>
      <c r="AP616">
        <v>1</v>
      </c>
      <c r="AQ616">
        <v>0</v>
      </c>
      <c r="AR616">
        <v>0</v>
      </c>
      <c r="AS616" t="s">
        <v>6</v>
      </c>
      <c r="AT616">
        <v>0.21</v>
      </c>
      <c r="AU616" t="s">
        <v>126</v>
      </c>
      <c r="AV616">
        <v>2</v>
      </c>
      <c r="AW616">
        <v>2</v>
      </c>
      <c r="AX616">
        <v>31030073</v>
      </c>
      <c r="AY616">
        <v>1</v>
      </c>
      <c r="AZ616">
        <v>0</v>
      </c>
      <c r="BA616">
        <v>645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0</v>
      </c>
      <c r="BW616">
        <v>0</v>
      </c>
      <c r="CX616">
        <f>Y616*Source!I263</f>
        <v>-0.40330500000000002</v>
      </c>
      <c r="CY616">
        <f>AD616</f>
        <v>0</v>
      </c>
      <c r="CZ616">
        <f>AH616</f>
        <v>0</v>
      </c>
      <c r="DA616">
        <f>AL616</f>
        <v>1</v>
      </c>
      <c r="DB616">
        <f>ROUND((ROUND(AT616*CZ616,2)*ROUND((1.25*1.15),7)),6)</f>
        <v>0</v>
      </c>
      <c r="DC616">
        <f>ROUND((ROUND(AT616*AG616,2)*ROUND((1.25*1.15),7)),6)</f>
        <v>0</v>
      </c>
    </row>
    <row r="617" spans="1:107">
      <c r="A617">
        <f>ROW(Source!A263)</f>
        <v>263</v>
      </c>
      <c r="B617">
        <v>31028412</v>
      </c>
      <c r="C617">
        <v>31030066</v>
      </c>
      <c r="D617">
        <v>29147732</v>
      </c>
      <c r="E617">
        <v>1</v>
      </c>
      <c r="F617">
        <v>1</v>
      </c>
      <c r="G617">
        <v>1</v>
      </c>
      <c r="H617">
        <v>2</v>
      </c>
      <c r="I617" t="s">
        <v>846</v>
      </c>
      <c r="J617" t="s">
        <v>847</v>
      </c>
      <c r="K617" t="s">
        <v>848</v>
      </c>
      <c r="L617">
        <v>1368</v>
      </c>
      <c r="N617">
        <v>1011</v>
      </c>
      <c r="O617" t="s">
        <v>780</v>
      </c>
      <c r="P617" t="s">
        <v>780</v>
      </c>
      <c r="Q617">
        <v>1</v>
      </c>
      <c r="W617">
        <v>0</v>
      </c>
      <c r="X617">
        <v>-1205898307</v>
      </c>
      <c r="Y617">
        <v>0.301875</v>
      </c>
      <c r="AA617">
        <v>0</v>
      </c>
      <c r="AB617">
        <v>235.69</v>
      </c>
      <c r="AC617">
        <v>315.58999999999997</v>
      </c>
      <c r="AD617">
        <v>0</v>
      </c>
      <c r="AE617">
        <v>0</v>
      </c>
      <c r="AF617">
        <v>30.85</v>
      </c>
      <c r="AG617">
        <v>13.03</v>
      </c>
      <c r="AH617">
        <v>0</v>
      </c>
      <c r="AI617">
        <v>1</v>
      </c>
      <c r="AJ617">
        <v>7.64</v>
      </c>
      <c r="AK617">
        <v>24.22</v>
      </c>
      <c r="AL617">
        <v>1</v>
      </c>
      <c r="AN617">
        <v>0</v>
      </c>
      <c r="AO617">
        <v>1</v>
      </c>
      <c r="AP617">
        <v>1</v>
      </c>
      <c r="AQ617">
        <v>0</v>
      </c>
      <c r="AR617">
        <v>0</v>
      </c>
      <c r="AS617" t="s">
        <v>6</v>
      </c>
      <c r="AT617">
        <v>0.21</v>
      </c>
      <c r="AU617" t="s">
        <v>126</v>
      </c>
      <c r="AV617">
        <v>0</v>
      </c>
      <c r="AW617">
        <v>2</v>
      </c>
      <c r="AX617">
        <v>31030074</v>
      </c>
      <c r="AY617">
        <v>1</v>
      </c>
      <c r="AZ617">
        <v>0</v>
      </c>
      <c r="BA617">
        <v>646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CX617">
        <f>Y617*Source!I263</f>
        <v>-0.40330500000000002</v>
      </c>
      <c r="CY617">
        <f>AB617</f>
        <v>235.69</v>
      </c>
      <c r="CZ617">
        <f>AF617</f>
        <v>30.85</v>
      </c>
      <c r="DA617">
        <f>AJ617</f>
        <v>7.64</v>
      </c>
      <c r="DB617">
        <f>ROUND((ROUND(AT617*CZ617,2)*ROUND((1.25*1.15),7)),6)</f>
        <v>9.3149999999999995</v>
      </c>
      <c r="DC617">
        <f>ROUND((ROUND(AT617*AG617,2)*ROUND((1.25*1.15),7)),6)</f>
        <v>3.9387500000000002</v>
      </c>
    </row>
    <row r="618" spans="1:107">
      <c r="A618">
        <f>ROW(Source!A263)</f>
        <v>263</v>
      </c>
      <c r="B618">
        <v>31028412</v>
      </c>
      <c r="C618">
        <v>31030066</v>
      </c>
      <c r="D618">
        <v>29148144</v>
      </c>
      <c r="E618">
        <v>1</v>
      </c>
      <c r="F618">
        <v>1</v>
      </c>
      <c r="G618">
        <v>1</v>
      </c>
      <c r="H618">
        <v>2</v>
      </c>
      <c r="I618" t="s">
        <v>1193</v>
      </c>
      <c r="J618" t="s">
        <v>1194</v>
      </c>
      <c r="K618" t="s">
        <v>1195</v>
      </c>
      <c r="L618">
        <v>1368</v>
      </c>
      <c r="N618">
        <v>1011</v>
      </c>
      <c r="O618" t="s">
        <v>780</v>
      </c>
      <c r="P618" t="s">
        <v>780</v>
      </c>
      <c r="Q618">
        <v>1</v>
      </c>
      <c r="W618">
        <v>0</v>
      </c>
      <c r="X618">
        <v>1426655577</v>
      </c>
      <c r="Y618">
        <v>3.3349999999999995</v>
      </c>
      <c r="AA618">
        <v>0</v>
      </c>
      <c r="AB618">
        <v>3.82</v>
      </c>
      <c r="AC618">
        <v>0</v>
      </c>
      <c r="AD618">
        <v>0</v>
      </c>
      <c r="AE618">
        <v>0</v>
      </c>
      <c r="AF618">
        <v>0.5</v>
      </c>
      <c r="AG618">
        <v>0</v>
      </c>
      <c r="AH618">
        <v>0</v>
      </c>
      <c r="AI618">
        <v>1</v>
      </c>
      <c r="AJ618">
        <v>7.64</v>
      </c>
      <c r="AK618">
        <v>24.22</v>
      </c>
      <c r="AL618">
        <v>1</v>
      </c>
      <c r="AN618">
        <v>0</v>
      </c>
      <c r="AO618">
        <v>1</v>
      </c>
      <c r="AP618">
        <v>1</v>
      </c>
      <c r="AQ618">
        <v>0</v>
      </c>
      <c r="AR618">
        <v>0</v>
      </c>
      <c r="AS618" t="s">
        <v>6</v>
      </c>
      <c r="AT618">
        <v>2.3199999999999998</v>
      </c>
      <c r="AU618" t="s">
        <v>126</v>
      </c>
      <c r="AV618">
        <v>0</v>
      </c>
      <c r="AW618">
        <v>2</v>
      </c>
      <c r="AX618">
        <v>31030075</v>
      </c>
      <c r="AY618">
        <v>1</v>
      </c>
      <c r="AZ618">
        <v>0</v>
      </c>
      <c r="BA618">
        <v>647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CX618">
        <f>Y618*Source!I263</f>
        <v>-4.4555599999999993</v>
      </c>
      <c r="CY618">
        <f>AB618</f>
        <v>3.82</v>
      </c>
      <c r="CZ618">
        <f>AF618</f>
        <v>0.5</v>
      </c>
      <c r="DA618">
        <f>AJ618</f>
        <v>7.64</v>
      </c>
      <c r="DB618">
        <f>ROUND((ROUND(AT618*CZ618,2)*ROUND((1.25*1.15),7)),6)</f>
        <v>1.6675</v>
      </c>
      <c r="DC618">
        <f>ROUND((ROUND(AT618*AG618,2)*ROUND((1.25*1.15),7)),6)</f>
        <v>0</v>
      </c>
    </row>
    <row r="619" spans="1:107">
      <c r="A619">
        <f>ROW(Source!A263)</f>
        <v>263</v>
      </c>
      <c r="B619">
        <v>31028412</v>
      </c>
      <c r="C619">
        <v>31030066</v>
      </c>
      <c r="D619">
        <v>29186490</v>
      </c>
      <c r="E619">
        <v>1</v>
      </c>
      <c r="F619">
        <v>1</v>
      </c>
      <c r="G619">
        <v>1</v>
      </c>
      <c r="H619">
        <v>3</v>
      </c>
      <c r="I619" t="s">
        <v>1196</v>
      </c>
      <c r="J619" t="s">
        <v>1197</v>
      </c>
      <c r="K619" t="s">
        <v>1198</v>
      </c>
      <c r="L619">
        <v>1339</v>
      </c>
      <c r="N619">
        <v>1007</v>
      </c>
      <c r="O619" t="s">
        <v>109</v>
      </c>
      <c r="P619" t="s">
        <v>109</v>
      </c>
      <c r="Q619">
        <v>1</v>
      </c>
      <c r="W619">
        <v>0</v>
      </c>
      <c r="X619">
        <v>171744258</v>
      </c>
      <c r="Y619">
        <v>0.51</v>
      </c>
      <c r="AA619">
        <v>3994.46</v>
      </c>
      <c r="AB619">
        <v>0</v>
      </c>
      <c r="AC619">
        <v>0</v>
      </c>
      <c r="AD619">
        <v>0</v>
      </c>
      <c r="AE619">
        <v>647.4</v>
      </c>
      <c r="AF619">
        <v>0</v>
      </c>
      <c r="AG619">
        <v>0</v>
      </c>
      <c r="AH619">
        <v>0</v>
      </c>
      <c r="AI619">
        <v>6.17</v>
      </c>
      <c r="AJ619">
        <v>1</v>
      </c>
      <c r="AK619">
        <v>1</v>
      </c>
      <c r="AL619">
        <v>1</v>
      </c>
      <c r="AN619">
        <v>0</v>
      </c>
      <c r="AO619">
        <v>1</v>
      </c>
      <c r="AP619">
        <v>0</v>
      </c>
      <c r="AQ619">
        <v>0</v>
      </c>
      <c r="AR619">
        <v>0</v>
      </c>
      <c r="AS619" t="s">
        <v>6</v>
      </c>
      <c r="AT619">
        <v>0.51</v>
      </c>
      <c r="AU619" t="s">
        <v>6</v>
      </c>
      <c r="AV619">
        <v>0</v>
      </c>
      <c r="AW619">
        <v>2</v>
      </c>
      <c r="AX619">
        <v>31030076</v>
      </c>
      <c r="AY619">
        <v>1</v>
      </c>
      <c r="AZ619">
        <v>0</v>
      </c>
      <c r="BA619">
        <v>648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0</v>
      </c>
      <c r="CX619">
        <f>Y619*Source!I263</f>
        <v>-0.68136000000000008</v>
      </c>
      <c r="CY619">
        <f>AA619</f>
        <v>3994.46</v>
      </c>
      <c r="CZ619">
        <f>AE619</f>
        <v>647.4</v>
      </c>
      <c r="DA619">
        <f>AI619</f>
        <v>6.17</v>
      </c>
      <c r="DB619">
        <f>ROUND(ROUND(AT619*CZ619,2),6)</f>
        <v>330.17</v>
      </c>
      <c r="DC619">
        <f>ROUND(ROUND(AT619*AG619,2),6)</f>
        <v>0</v>
      </c>
    </row>
    <row r="620" spans="1:107">
      <c r="A620">
        <f>ROW(Source!A264)</f>
        <v>264</v>
      </c>
      <c r="B620">
        <v>31028412</v>
      </c>
      <c r="C620">
        <v>31030077</v>
      </c>
      <c r="D620">
        <v>29084586</v>
      </c>
      <c r="E620">
        <v>1</v>
      </c>
      <c r="F620">
        <v>1</v>
      </c>
      <c r="G620">
        <v>1</v>
      </c>
      <c r="H620">
        <v>1</v>
      </c>
      <c r="I620" t="s">
        <v>828</v>
      </c>
      <c r="J620" t="s">
        <v>6</v>
      </c>
      <c r="K620" t="s">
        <v>829</v>
      </c>
      <c r="L620">
        <v>1369</v>
      </c>
      <c r="N620">
        <v>1013</v>
      </c>
      <c r="O620" t="s">
        <v>773</v>
      </c>
      <c r="P620" t="s">
        <v>773</v>
      </c>
      <c r="Q620">
        <v>1</v>
      </c>
      <c r="W620">
        <v>0</v>
      </c>
      <c r="X620">
        <v>1694118523</v>
      </c>
      <c r="Y620">
        <v>158.40904999999998</v>
      </c>
      <c r="AA620">
        <v>0</v>
      </c>
      <c r="AB620">
        <v>0</v>
      </c>
      <c r="AC620">
        <v>0</v>
      </c>
      <c r="AD620">
        <v>204.42</v>
      </c>
      <c r="AE620">
        <v>0</v>
      </c>
      <c r="AF620">
        <v>0</v>
      </c>
      <c r="AG620">
        <v>0</v>
      </c>
      <c r="AH620">
        <v>8.44</v>
      </c>
      <c r="AI620">
        <v>1</v>
      </c>
      <c r="AJ620">
        <v>1</v>
      </c>
      <c r="AK620">
        <v>1</v>
      </c>
      <c r="AL620">
        <v>24.22</v>
      </c>
      <c r="AN620">
        <v>0</v>
      </c>
      <c r="AO620">
        <v>1</v>
      </c>
      <c r="AP620">
        <v>1</v>
      </c>
      <c r="AQ620">
        <v>0</v>
      </c>
      <c r="AR620">
        <v>0</v>
      </c>
      <c r="AS620" t="s">
        <v>6</v>
      </c>
      <c r="AT620">
        <v>119.78</v>
      </c>
      <c r="AU620" t="s">
        <v>127</v>
      </c>
      <c r="AV620">
        <v>1</v>
      </c>
      <c r="AW620">
        <v>2</v>
      </c>
      <c r="AX620">
        <v>31030088</v>
      </c>
      <c r="AY620">
        <v>1</v>
      </c>
      <c r="AZ620">
        <v>0</v>
      </c>
      <c r="BA620">
        <v>649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0</v>
      </c>
      <c r="CX620">
        <f>Y620*Source!I264</f>
        <v>211.63449079999998</v>
      </c>
      <c r="CY620">
        <f>AD620</f>
        <v>204.42</v>
      </c>
      <c r="CZ620">
        <f>AH620</f>
        <v>8.44</v>
      </c>
      <c r="DA620">
        <f>AL620</f>
        <v>24.22</v>
      </c>
      <c r="DB620">
        <f>ROUND((ROUND(AT620*CZ620,2)*ROUND((1.15*1.15),7)),6)</f>
        <v>1336.9681499999999</v>
      </c>
      <c r="DC620">
        <f>ROUND((ROUND(AT620*AG620,2)*ROUND((1.15*1.15),7)),6)</f>
        <v>0</v>
      </c>
    </row>
    <row r="621" spans="1:107">
      <c r="A621">
        <f>ROW(Source!A264)</f>
        <v>264</v>
      </c>
      <c r="B621">
        <v>31028412</v>
      </c>
      <c r="C621">
        <v>31030077</v>
      </c>
      <c r="D621">
        <v>29084573</v>
      </c>
      <c r="E621">
        <v>1</v>
      </c>
      <c r="F621">
        <v>1</v>
      </c>
      <c r="G621">
        <v>1</v>
      </c>
      <c r="H621">
        <v>1</v>
      </c>
      <c r="I621" t="s">
        <v>774</v>
      </c>
      <c r="J621" t="s">
        <v>6</v>
      </c>
      <c r="K621" t="s">
        <v>775</v>
      </c>
      <c r="L621">
        <v>608254</v>
      </c>
      <c r="N621">
        <v>1013</v>
      </c>
      <c r="O621" t="s">
        <v>776</v>
      </c>
      <c r="P621" t="s">
        <v>776</v>
      </c>
      <c r="Q621">
        <v>1</v>
      </c>
      <c r="W621">
        <v>0</v>
      </c>
      <c r="X621">
        <v>95408949</v>
      </c>
      <c r="Y621">
        <v>6.0662499999999993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1</v>
      </c>
      <c r="AJ621">
        <v>1</v>
      </c>
      <c r="AK621">
        <v>24.22</v>
      </c>
      <c r="AL621">
        <v>1</v>
      </c>
      <c r="AN621">
        <v>0</v>
      </c>
      <c r="AO621">
        <v>1</v>
      </c>
      <c r="AP621">
        <v>1</v>
      </c>
      <c r="AQ621">
        <v>0</v>
      </c>
      <c r="AR621">
        <v>0</v>
      </c>
      <c r="AS621" t="s">
        <v>6</v>
      </c>
      <c r="AT621">
        <v>4.22</v>
      </c>
      <c r="AU621" t="s">
        <v>126</v>
      </c>
      <c r="AV621">
        <v>2</v>
      </c>
      <c r="AW621">
        <v>2</v>
      </c>
      <c r="AX621">
        <v>31030089</v>
      </c>
      <c r="AY621">
        <v>1</v>
      </c>
      <c r="AZ621">
        <v>0</v>
      </c>
      <c r="BA621">
        <v>650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0</v>
      </c>
      <c r="BW621">
        <v>0</v>
      </c>
      <c r="CX621">
        <f>Y621*Source!I264</f>
        <v>8.1045099999999994</v>
      </c>
      <c r="CY621">
        <f>AD621</f>
        <v>0</v>
      </c>
      <c r="CZ621">
        <f>AH621</f>
        <v>0</v>
      </c>
      <c r="DA621">
        <f>AL621</f>
        <v>1</v>
      </c>
      <c r="DB621">
        <f>ROUND((ROUND(AT621*CZ621,2)*ROUND((1.25*1.15),7)),6)</f>
        <v>0</v>
      </c>
      <c r="DC621">
        <f>ROUND((ROUND(AT621*AG621,2)*ROUND((1.25*1.15),7)),6)</f>
        <v>0</v>
      </c>
    </row>
    <row r="622" spans="1:107">
      <c r="A622">
        <f>ROW(Source!A264)</f>
        <v>264</v>
      </c>
      <c r="B622">
        <v>31028412</v>
      </c>
      <c r="C622">
        <v>31030077</v>
      </c>
      <c r="D622">
        <v>29147673</v>
      </c>
      <c r="E622">
        <v>1</v>
      </c>
      <c r="F622">
        <v>1</v>
      </c>
      <c r="G622">
        <v>1</v>
      </c>
      <c r="H622">
        <v>2</v>
      </c>
      <c r="I622" t="s">
        <v>924</v>
      </c>
      <c r="J622" t="s">
        <v>925</v>
      </c>
      <c r="K622" t="s">
        <v>926</v>
      </c>
      <c r="L622">
        <v>1368</v>
      </c>
      <c r="N622">
        <v>1011</v>
      </c>
      <c r="O622" t="s">
        <v>780</v>
      </c>
      <c r="P622" t="s">
        <v>780</v>
      </c>
      <c r="Q622">
        <v>1</v>
      </c>
      <c r="W622">
        <v>0</v>
      </c>
      <c r="X622">
        <v>-149788903</v>
      </c>
      <c r="Y622">
        <v>0.51749999999999996</v>
      </c>
      <c r="AA622">
        <v>0</v>
      </c>
      <c r="AB622">
        <v>748.34</v>
      </c>
      <c r="AC622">
        <v>235.18</v>
      </c>
      <c r="AD622">
        <v>0</v>
      </c>
      <c r="AE622">
        <v>0</v>
      </c>
      <c r="AF622">
        <v>97.95</v>
      </c>
      <c r="AG622">
        <v>9.7100000000000009</v>
      </c>
      <c r="AH622">
        <v>0</v>
      </c>
      <c r="AI622">
        <v>1</v>
      </c>
      <c r="AJ622">
        <v>7.64</v>
      </c>
      <c r="AK622">
        <v>24.22</v>
      </c>
      <c r="AL622">
        <v>1</v>
      </c>
      <c r="AN622">
        <v>0</v>
      </c>
      <c r="AO622">
        <v>1</v>
      </c>
      <c r="AP622">
        <v>1</v>
      </c>
      <c r="AQ622">
        <v>0</v>
      </c>
      <c r="AR622">
        <v>0</v>
      </c>
      <c r="AS622" t="s">
        <v>6</v>
      </c>
      <c r="AT622">
        <v>0.36</v>
      </c>
      <c r="AU622" t="s">
        <v>126</v>
      </c>
      <c r="AV622">
        <v>0</v>
      </c>
      <c r="AW622">
        <v>2</v>
      </c>
      <c r="AX622">
        <v>31030090</v>
      </c>
      <c r="AY622">
        <v>1</v>
      </c>
      <c r="AZ622">
        <v>0</v>
      </c>
      <c r="BA622">
        <v>651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  <c r="CX622">
        <f>Y622*Source!I264</f>
        <v>0.69137999999999999</v>
      </c>
      <c r="CY622">
        <f>AB622</f>
        <v>748.34</v>
      </c>
      <c r="CZ622">
        <f>AF622</f>
        <v>97.95</v>
      </c>
      <c r="DA622">
        <f>AJ622</f>
        <v>7.64</v>
      </c>
      <c r="DB622">
        <f>ROUND((ROUND(AT622*CZ622,2)*ROUND((1.25*1.15),7)),6)</f>
        <v>50.686250000000001</v>
      </c>
      <c r="DC622">
        <f>ROUND((ROUND(AT622*AG622,2)*ROUND((1.25*1.15),7)),6)</f>
        <v>5.03125</v>
      </c>
    </row>
    <row r="623" spans="1:107">
      <c r="A623">
        <f>ROW(Source!A264)</f>
        <v>264</v>
      </c>
      <c r="B623">
        <v>31028412</v>
      </c>
      <c r="C623">
        <v>31030077</v>
      </c>
      <c r="D623">
        <v>29147732</v>
      </c>
      <c r="E623">
        <v>1</v>
      </c>
      <c r="F623">
        <v>1</v>
      </c>
      <c r="G623">
        <v>1</v>
      </c>
      <c r="H623">
        <v>2</v>
      </c>
      <c r="I623" t="s">
        <v>846</v>
      </c>
      <c r="J623" t="s">
        <v>847</v>
      </c>
      <c r="K623" t="s">
        <v>848</v>
      </c>
      <c r="L623">
        <v>1368</v>
      </c>
      <c r="N623">
        <v>1011</v>
      </c>
      <c r="O623" t="s">
        <v>780</v>
      </c>
      <c r="P623" t="s">
        <v>780</v>
      </c>
      <c r="Q623">
        <v>1</v>
      </c>
      <c r="W623">
        <v>0</v>
      </c>
      <c r="X623">
        <v>-1205898307</v>
      </c>
      <c r="Y623">
        <v>3.3062499999999999</v>
      </c>
      <c r="AA623">
        <v>0</v>
      </c>
      <c r="AB623">
        <v>235.69</v>
      </c>
      <c r="AC623">
        <v>315.58999999999997</v>
      </c>
      <c r="AD623">
        <v>0</v>
      </c>
      <c r="AE623">
        <v>0</v>
      </c>
      <c r="AF623">
        <v>30.85</v>
      </c>
      <c r="AG623">
        <v>13.03</v>
      </c>
      <c r="AH623">
        <v>0</v>
      </c>
      <c r="AI623">
        <v>1</v>
      </c>
      <c r="AJ623">
        <v>7.64</v>
      </c>
      <c r="AK623">
        <v>24.22</v>
      </c>
      <c r="AL623">
        <v>1</v>
      </c>
      <c r="AN623">
        <v>0</v>
      </c>
      <c r="AO623">
        <v>1</v>
      </c>
      <c r="AP623">
        <v>1</v>
      </c>
      <c r="AQ623">
        <v>0</v>
      </c>
      <c r="AR623">
        <v>0</v>
      </c>
      <c r="AS623" t="s">
        <v>6</v>
      </c>
      <c r="AT623">
        <v>2.2999999999999998</v>
      </c>
      <c r="AU623" t="s">
        <v>126</v>
      </c>
      <c r="AV623">
        <v>0</v>
      </c>
      <c r="AW623">
        <v>2</v>
      </c>
      <c r="AX623">
        <v>31030091</v>
      </c>
      <c r="AY623">
        <v>1</v>
      </c>
      <c r="AZ623">
        <v>0</v>
      </c>
      <c r="BA623">
        <v>652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0</v>
      </c>
      <c r="BW623">
        <v>0</v>
      </c>
      <c r="CX623">
        <f>Y623*Source!I264</f>
        <v>4.4171500000000004</v>
      </c>
      <c r="CY623">
        <f>AB623</f>
        <v>235.69</v>
      </c>
      <c r="CZ623">
        <f>AF623</f>
        <v>30.85</v>
      </c>
      <c r="DA623">
        <f>AJ623</f>
        <v>7.64</v>
      </c>
      <c r="DB623">
        <f>ROUND((ROUND(AT623*CZ623,2)*ROUND((1.25*1.15),7)),6)</f>
        <v>102.005</v>
      </c>
      <c r="DC623">
        <f>ROUND((ROUND(AT623*AG623,2)*ROUND((1.25*1.15),7)),6)</f>
        <v>43.081874999999997</v>
      </c>
    </row>
    <row r="624" spans="1:107">
      <c r="A624">
        <f>ROW(Source!A264)</f>
        <v>264</v>
      </c>
      <c r="B624">
        <v>31028412</v>
      </c>
      <c r="C624">
        <v>31030077</v>
      </c>
      <c r="D624">
        <v>29148135</v>
      </c>
      <c r="E624">
        <v>1</v>
      </c>
      <c r="F624">
        <v>1</v>
      </c>
      <c r="G624">
        <v>1</v>
      </c>
      <c r="H624">
        <v>2</v>
      </c>
      <c r="I624" t="s">
        <v>948</v>
      </c>
      <c r="J624" t="s">
        <v>949</v>
      </c>
      <c r="K624" t="s">
        <v>950</v>
      </c>
      <c r="L624">
        <v>1368</v>
      </c>
      <c r="N624">
        <v>1011</v>
      </c>
      <c r="O624" t="s">
        <v>780</v>
      </c>
      <c r="P624" t="s">
        <v>780</v>
      </c>
      <c r="Q624">
        <v>1</v>
      </c>
      <c r="W624">
        <v>0</v>
      </c>
      <c r="X624">
        <v>-1933209150</v>
      </c>
      <c r="Y624">
        <v>2.2425000000000002</v>
      </c>
      <c r="AA624">
        <v>0</v>
      </c>
      <c r="AB624">
        <v>91.99</v>
      </c>
      <c r="AC624">
        <v>235.18</v>
      </c>
      <c r="AD624">
        <v>0</v>
      </c>
      <c r="AE624">
        <v>0</v>
      </c>
      <c r="AF624">
        <v>12.04</v>
      </c>
      <c r="AG624">
        <v>9.7100000000000009</v>
      </c>
      <c r="AH624">
        <v>0</v>
      </c>
      <c r="AI624">
        <v>1</v>
      </c>
      <c r="AJ624">
        <v>7.64</v>
      </c>
      <c r="AK624">
        <v>24.22</v>
      </c>
      <c r="AL624">
        <v>1</v>
      </c>
      <c r="AN624">
        <v>0</v>
      </c>
      <c r="AO624">
        <v>1</v>
      </c>
      <c r="AP624">
        <v>1</v>
      </c>
      <c r="AQ624">
        <v>0</v>
      </c>
      <c r="AR624">
        <v>0</v>
      </c>
      <c r="AS624" t="s">
        <v>6</v>
      </c>
      <c r="AT624">
        <v>1.56</v>
      </c>
      <c r="AU624" t="s">
        <v>126</v>
      </c>
      <c r="AV624">
        <v>0</v>
      </c>
      <c r="AW624">
        <v>2</v>
      </c>
      <c r="AX624">
        <v>31030092</v>
      </c>
      <c r="AY624">
        <v>1</v>
      </c>
      <c r="AZ624">
        <v>0</v>
      </c>
      <c r="BA624">
        <v>653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0</v>
      </c>
      <c r="BW624">
        <v>0</v>
      </c>
      <c r="CX624">
        <f>Y624*Source!I264</f>
        <v>2.9959800000000003</v>
      </c>
      <c r="CY624">
        <f>AB624</f>
        <v>91.99</v>
      </c>
      <c r="CZ624">
        <f>AF624</f>
        <v>12.04</v>
      </c>
      <c r="DA624">
        <f>AJ624</f>
        <v>7.64</v>
      </c>
      <c r="DB624">
        <f>ROUND((ROUND(AT624*CZ624,2)*ROUND((1.25*1.15),7)),6)</f>
        <v>26.99625</v>
      </c>
      <c r="DC624">
        <f>ROUND((ROUND(AT624*AG624,2)*ROUND((1.25*1.15),7)),6)</f>
        <v>21.778124999999999</v>
      </c>
    </row>
    <row r="625" spans="1:107">
      <c r="A625">
        <f>ROW(Source!A264)</f>
        <v>264</v>
      </c>
      <c r="B625">
        <v>31028412</v>
      </c>
      <c r="C625">
        <v>31030077</v>
      </c>
      <c r="D625">
        <v>29149520</v>
      </c>
      <c r="E625">
        <v>1</v>
      </c>
      <c r="F625">
        <v>1</v>
      </c>
      <c r="G625">
        <v>1</v>
      </c>
      <c r="H625">
        <v>2</v>
      </c>
      <c r="I625" t="s">
        <v>790</v>
      </c>
      <c r="J625" t="s">
        <v>791</v>
      </c>
      <c r="K625" t="s">
        <v>792</v>
      </c>
      <c r="L625">
        <v>1368</v>
      </c>
      <c r="N625">
        <v>1011</v>
      </c>
      <c r="O625" t="s">
        <v>780</v>
      </c>
      <c r="P625" t="s">
        <v>780</v>
      </c>
      <c r="Q625">
        <v>1</v>
      </c>
      <c r="W625">
        <v>0</v>
      </c>
      <c r="X625">
        <v>-1931461795</v>
      </c>
      <c r="Y625">
        <v>0.40250000000000002</v>
      </c>
      <c r="AA625">
        <v>0</v>
      </c>
      <c r="AB625">
        <v>699.98</v>
      </c>
      <c r="AC625">
        <v>0</v>
      </c>
      <c r="AD625">
        <v>0</v>
      </c>
      <c r="AE625">
        <v>0</v>
      </c>
      <c r="AF625">
        <v>91.62</v>
      </c>
      <c r="AG625">
        <v>0</v>
      </c>
      <c r="AH625">
        <v>0</v>
      </c>
      <c r="AI625">
        <v>1</v>
      </c>
      <c r="AJ625">
        <v>7.64</v>
      </c>
      <c r="AK625">
        <v>24.22</v>
      </c>
      <c r="AL625">
        <v>1</v>
      </c>
      <c r="AN625">
        <v>0</v>
      </c>
      <c r="AO625">
        <v>1</v>
      </c>
      <c r="AP625">
        <v>1</v>
      </c>
      <c r="AQ625">
        <v>0</v>
      </c>
      <c r="AR625">
        <v>0</v>
      </c>
      <c r="AS625" t="s">
        <v>6</v>
      </c>
      <c r="AT625">
        <v>0.28000000000000003</v>
      </c>
      <c r="AU625" t="s">
        <v>126</v>
      </c>
      <c r="AV625">
        <v>0</v>
      </c>
      <c r="AW625">
        <v>2</v>
      </c>
      <c r="AX625">
        <v>31030093</v>
      </c>
      <c r="AY625">
        <v>1</v>
      </c>
      <c r="AZ625">
        <v>0</v>
      </c>
      <c r="BA625">
        <v>654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0</v>
      </c>
      <c r="BS625">
        <v>0</v>
      </c>
      <c r="BT625">
        <v>0</v>
      </c>
      <c r="BU625">
        <v>0</v>
      </c>
      <c r="BV625">
        <v>0</v>
      </c>
      <c r="BW625">
        <v>0</v>
      </c>
      <c r="CX625">
        <f>Y625*Source!I264</f>
        <v>0.53774000000000011</v>
      </c>
      <c r="CY625">
        <f>AB625</f>
        <v>699.98</v>
      </c>
      <c r="CZ625">
        <f>AF625</f>
        <v>91.62</v>
      </c>
      <c r="DA625">
        <f>AJ625</f>
        <v>7.64</v>
      </c>
      <c r="DB625">
        <f>ROUND((ROUND(AT625*CZ625,2)*ROUND((1.25*1.15),7)),6)</f>
        <v>36.871875000000003</v>
      </c>
      <c r="DC625">
        <f>ROUND((ROUND(AT625*AG625,2)*ROUND((1.25*1.15),7)),6)</f>
        <v>0</v>
      </c>
    </row>
    <row r="626" spans="1:107">
      <c r="A626">
        <f>ROW(Source!A264)</f>
        <v>264</v>
      </c>
      <c r="B626">
        <v>31028412</v>
      </c>
      <c r="C626">
        <v>31030077</v>
      </c>
      <c r="D626">
        <v>29152014</v>
      </c>
      <c r="E626">
        <v>1</v>
      </c>
      <c r="F626">
        <v>1</v>
      </c>
      <c r="G626">
        <v>1</v>
      </c>
      <c r="H626">
        <v>3</v>
      </c>
      <c r="I626" t="s">
        <v>838</v>
      </c>
      <c r="J626" t="s">
        <v>839</v>
      </c>
      <c r="K626" t="s">
        <v>840</v>
      </c>
      <c r="L626">
        <v>1346</v>
      </c>
      <c r="N626">
        <v>1009</v>
      </c>
      <c r="O626" t="s">
        <v>118</v>
      </c>
      <c r="P626" t="s">
        <v>118</v>
      </c>
      <c r="Q626">
        <v>1</v>
      </c>
      <c r="W626">
        <v>0</v>
      </c>
      <c r="X626">
        <v>-1526040720</v>
      </c>
      <c r="Y626">
        <v>0.5</v>
      </c>
      <c r="AA626">
        <v>11.97</v>
      </c>
      <c r="AB626">
        <v>0</v>
      </c>
      <c r="AC626">
        <v>0</v>
      </c>
      <c r="AD626">
        <v>0</v>
      </c>
      <c r="AE626">
        <v>1.94</v>
      </c>
      <c r="AF626">
        <v>0</v>
      </c>
      <c r="AG626">
        <v>0</v>
      </c>
      <c r="AH626">
        <v>0</v>
      </c>
      <c r="AI626">
        <v>6.17</v>
      </c>
      <c r="AJ626">
        <v>1</v>
      </c>
      <c r="AK626">
        <v>1</v>
      </c>
      <c r="AL626">
        <v>1</v>
      </c>
      <c r="AN626">
        <v>0</v>
      </c>
      <c r="AO626">
        <v>1</v>
      </c>
      <c r="AP626">
        <v>0</v>
      </c>
      <c r="AQ626">
        <v>0</v>
      </c>
      <c r="AR626">
        <v>0</v>
      </c>
      <c r="AS626" t="s">
        <v>6</v>
      </c>
      <c r="AT626">
        <v>0.5</v>
      </c>
      <c r="AU626" t="s">
        <v>6</v>
      </c>
      <c r="AV626">
        <v>0</v>
      </c>
      <c r="AW626">
        <v>2</v>
      </c>
      <c r="AX626">
        <v>31030095</v>
      </c>
      <c r="AY626">
        <v>1</v>
      </c>
      <c r="AZ626">
        <v>0</v>
      </c>
      <c r="BA626">
        <v>656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0</v>
      </c>
      <c r="BS626">
        <v>0</v>
      </c>
      <c r="BT626">
        <v>0</v>
      </c>
      <c r="BU626">
        <v>0</v>
      </c>
      <c r="BV626">
        <v>0</v>
      </c>
      <c r="BW626">
        <v>0</v>
      </c>
      <c r="CX626">
        <f>Y626*Source!I264</f>
        <v>0.66800000000000004</v>
      </c>
      <c r="CY626">
        <f>AA626</f>
        <v>11.97</v>
      </c>
      <c r="CZ626">
        <f>AE626</f>
        <v>1.94</v>
      </c>
      <c r="DA626">
        <f>AI626</f>
        <v>6.17</v>
      </c>
      <c r="DB626">
        <f>ROUND(ROUND(AT626*CZ626,2),6)</f>
        <v>0.97</v>
      </c>
      <c r="DC626">
        <f>ROUND(ROUND(AT626*AG626,2),6)</f>
        <v>0</v>
      </c>
    </row>
    <row r="627" spans="1:107">
      <c r="A627">
        <f>ROW(Source!A264)</f>
        <v>264</v>
      </c>
      <c r="B627">
        <v>31028412</v>
      </c>
      <c r="C627">
        <v>31030077</v>
      </c>
      <c r="D627">
        <v>29152177</v>
      </c>
      <c r="E627">
        <v>1</v>
      </c>
      <c r="F627">
        <v>1</v>
      </c>
      <c r="G627">
        <v>1</v>
      </c>
      <c r="H627">
        <v>3</v>
      </c>
      <c r="I627" t="s">
        <v>1216</v>
      </c>
      <c r="J627" t="s">
        <v>1217</v>
      </c>
      <c r="K627" t="s">
        <v>1218</v>
      </c>
      <c r="L627">
        <v>1346</v>
      </c>
      <c r="N627">
        <v>1009</v>
      </c>
      <c r="O627" t="s">
        <v>118</v>
      </c>
      <c r="P627" t="s">
        <v>118</v>
      </c>
      <c r="Q627">
        <v>1</v>
      </c>
      <c r="W627">
        <v>0</v>
      </c>
      <c r="X627">
        <v>1853387931</v>
      </c>
      <c r="Y627">
        <v>450</v>
      </c>
      <c r="AA627">
        <v>9.1300000000000008</v>
      </c>
      <c r="AB627">
        <v>0</v>
      </c>
      <c r="AC627">
        <v>0</v>
      </c>
      <c r="AD627">
        <v>0</v>
      </c>
      <c r="AE627">
        <v>1.48</v>
      </c>
      <c r="AF627">
        <v>0</v>
      </c>
      <c r="AG627">
        <v>0</v>
      </c>
      <c r="AH627">
        <v>0</v>
      </c>
      <c r="AI627">
        <v>6.17</v>
      </c>
      <c r="AJ627">
        <v>1</v>
      </c>
      <c r="AK627">
        <v>1</v>
      </c>
      <c r="AL627">
        <v>1</v>
      </c>
      <c r="AN627">
        <v>0</v>
      </c>
      <c r="AO627">
        <v>1</v>
      </c>
      <c r="AP627">
        <v>0</v>
      </c>
      <c r="AQ627">
        <v>0</v>
      </c>
      <c r="AR627">
        <v>0</v>
      </c>
      <c r="AS627" t="s">
        <v>6</v>
      </c>
      <c r="AT627">
        <v>450</v>
      </c>
      <c r="AU627" t="s">
        <v>6</v>
      </c>
      <c r="AV627">
        <v>0</v>
      </c>
      <c r="AW627">
        <v>2</v>
      </c>
      <c r="AX627">
        <v>31030096</v>
      </c>
      <c r="AY627">
        <v>1</v>
      </c>
      <c r="AZ627">
        <v>0</v>
      </c>
      <c r="BA627">
        <v>657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0</v>
      </c>
      <c r="BW627">
        <v>0</v>
      </c>
      <c r="CX627">
        <f>Y627*Source!I264</f>
        <v>601.20000000000005</v>
      </c>
      <c r="CY627">
        <f>AA627</f>
        <v>9.1300000000000008</v>
      </c>
      <c r="CZ627">
        <f>AE627</f>
        <v>1.48</v>
      </c>
      <c r="DA627">
        <f>AI627</f>
        <v>6.17</v>
      </c>
      <c r="DB627">
        <f>ROUND(ROUND(AT627*CZ627,2),6)</f>
        <v>666</v>
      </c>
      <c r="DC627">
        <f>ROUND(ROUND(AT627*AG627,2),6)</f>
        <v>0</v>
      </c>
    </row>
    <row r="628" spans="1:107">
      <c r="A628">
        <f>ROW(Source!A264)</f>
        <v>264</v>
      </c>
      <c r="B628">
        <v>31028412</v>
      </c>
      <c r="C628">
        <v>31030077</v>
      </c>
      <c r="D628">
        <v>29152197</v>
      </c>
      <c r="E628">
        <v>1</v>
      </c>
      <c r="F628">
        <v>1</v>
      </c>
      <c r="G628">
        <v>1</v>
      </c>
      <c r="H628">
        <v>3</v>
      </c>
      <c r="I628" t="s">
        <v>1219</v>
      </c>
      <c r="J628" t="s">
        <v>1220</v>
      </c>
      <c r="K628" t="s">
        <v>1221</v>
      </c>
      <c r="L628">
        <v>1348</v>
      </c>
      <c r="N628">
        <v>1009</v>
      </c>
      <c r="O628" t="s">
        <v>137</v>
      </c>
      <c r="P628" t="s">
        <v>137</v>
      </c>
      <c r="Q628">
        <v>1000</v>
      </c>
      <c r="W628">
        <v>0</v>
      </c>
      <c r="X628">
        <v>1354707470</v>
      </c>
      <c r="Y628">
        <v>0.05</v>
      </c>
      <c r="AA628">
        <v>43545.760000000002</v>
      </c>
      <c r="AB628">
        <v>0</v>
      </c>
      <c r="AC628">
        <v>0</v>
      </c>
      <c r="AD628">
        <v>0</v>
      </c>
      <c r="AE628">
        <v>7057.66</v>
      </c>
      <c r="AF628">
        <v>0</v>
      </c>
      <c r="AG628">
        <v>0</v>
      </c>
      <c r="AH628">
        <v>0</v>
      </c>
      <c r="AI628">
        <v>6.17</v>
      </c>
      <c r="AJ628">
        <v>1</v>
      </c>
      <c r="AK628">
        <v>1</v>
      </c>
      <c r="AL628">
        <v>1</v>
      </c>
      <c r="AN628">
        <v>0</v>
      </c>
      <c r="AO628">
        <v>1</v>
      </c>
      <c r="AP628">
        <v>0</v>
      </c>
      <c r="AQ628">
        <v>0</v>
      </c>
      <c r="AR628">
        <v>0</v>
      </c>
      <c r="AS628" t="s">
        <v>6</v>
      </c>
      <c r="AT628">
        <v>0.05</v>
      </c>
      <c r="AU628" t="s">
        <v>6</v>
      </c>
      <c r="AV628">
        <v>0</v>
      </c>
      <c r="AW628">
        <v>2</v>
      </c>
      <c r="AX628">
        <v>31030097</v>
      </c>
      <c r="AY628">
        <v>1</v>
      </c>
      <c r="AZ628">
        <v>0</v>
      </c>
      <c r="BA628">
        <v>658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CX628">
        <f>Y628*Source!I264</f>
        <v>6.6800000000000012E-2</v>
      </c>
      <c r="CY628">
        <f>AA628</f>
        <v>43545.760000000002</v>
      </c>
      <c r="CZ628">
        <f>AE628</f>
        <v>7057.66</v>
      </c>
      <c r="DA628">
        <f>AI628</f>
        <v>6.17</v>
      </c>
      <c r="DB628">
        <f>ROUND(ROUND(AT628*CZ628,2),6)</f>
        <v>352.88</v>
      </c>
      <c r="DC628">
        <f>ROUND(ROUND(AT628*AG628,2),6)</f>
        <v>0</v>
      </c>
    </row>
    <row r="629" spans="1:107">
      <c r="A629">
        <f>ROW(Source!A264)</f>
        <v>264</v>
      </c>
      <c r="B629">
        <v>31028412</v>
      </c>
      <c r="C629">
        <v>31030077</v>
      </c>
      <c r="D629">
        <v>29195171</v>
      </c>
      <c r="E629">
        <v>1</v>
      </c>
      <c r="F629">
        <v>1</v>
      </c>
      <c r="G629">
        <v>1</v>
      </c>
      <c r="H629">
        <v>3</v>
      </c>
      <c r="I629" t="s">
        <v>830</v>
      </c>
      <c r="J629" t="s">
        <v>831</v>
      </c>
      <c r="K629" t="s">
        <v>832</v>
      </c>
      <c r="L629">
        <v>1339</v>
      </c>
      <c r="N629">
        <v>1007</v>
      </c>
      <c r="O629" t="s">
        <v>109</v>
      </c>
      <c r="P629" t="s">
        <v>109</v>
      </c>
      <c r="Q629">
        <v>1</v>
      </c>
      <c r="W629">
        <v>0</v>
      </c>
      <c r="X629">
        <v>2050165204</v>
      </c>
      <c r="Y629">
        <v>0.1</v>
      </c>
      <c r="AA629">
        <v>15.12</v>
      </c>
      <c r="AB629">
        <v>0</v>
      </c>
      <c r="AC629">
        <v>0</v>
      </c>
      <c r="AD629">
        <v>0</v>
      </c>
      <c r="AE629">
        <v>2.4500000000000002</v>
      </c>
      <c r="AF629">
        <v>0</v>
      </c>
      <c r="AG629">
        <v>0</v>
      </c>
      <c r="AH629">
        <v>0</v>
      </c>
      <c r="AI629">
        <v>6.17</v>
      </c>
      <c r="AJ629">
        <v>1</v>
      </c>
      <c r="AK629">
        <v>1</v>
      </c>
      <c r="AL629">
        <v>1</v>
      </c>
      <c r="AN629">
        <v>0</v>
      </c>
      <c r="AO629">
        <v>1</v>
      </c>
      <c r="AP629">
        <v>0</v>
      </c>
      <c r="AQ629">
        <v>0</v>
      </c>
      <c r="AR629">
        <v>0</v>
      </c>
      <c r="AS629" t="s">
        <v>6</v>
      </c>
      <c r="AT629">
        <v>0.1</v>
      </c>
      <c r="AU629" t="s">
        <v>6</v>
      </c>
      <c r="AV629">
        <v>0</v>
      </c>
      <c r="AW629">
        <v>2</v>
      </c>
      <c r="AX629">
        <v>31030098</v>
      </c>
      <c r="AY629">
        <v>1</v>
      </c>
      <c r="AZ629">
        <v>0</v>
      </c>
      <c r="BA629">
        <v>659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0</v>
      </c>
      <c r="BW629">
        <v>0</v>
      </c>
      <c r="CX629">
        <f>Y629*Source!I264</f>
        <v>0.13360000000000002</v>
      </c>
      <c r="CY629">
        <f>AA629</f>
        <v>15.12</v>
      </c>
      <c r="CZ629">
        <f>AE629</f>
        <v>2.4500000000000002</v>
      </c>
      <c r="DA629">
        <f>AI629</f>
        <v>6.17</v>
      </c>
      <c r="DB629">
        <f>ROUND(ROUND(AT629*CZ629,2),6)</f>
        <v>0.25</v>
      </c>
      <c r="DC629">
        <f>ROUND(ROUND(AT629*AG629,2),6)</f>
        <v>0</v>
      </c>
    </row>
    <row r="630" spans="1:107">
      <c r="A630">
        <f>ROW(Source!A267)</f>
        <v>267</v>
      </c>
      <c r="B630">
        <v>31028412</v>
      </c>
      <c r="C630">
        <v>31030101</v>
      </c>
      <c r="D630">
        <v>29084588</v>
      </c>
      <c r="E630">
        <v>1</v>
      </c>
      <c r="F630">
        <v>1</v>
      </c>
      <c r="G630">
        <v>1</v>
      </c>
      <c r="H630">
        <v>1</v>
      </c>
      <c r="I630" t="s">
        <v>909</v>
      </c>
      <c r="J630" t="s">
        <v>6</v>
      </c>
      <c r="K630" t="s">
        <v>910</v>
      </c>
      <c r="L630">
        <v>1369</v>
      </c>
      <c r="N630">
        <v>1013</v>
      </c>
      <c r="O630" t="s">
        <v>773</v>
      </c>
      <c r="P630" t="s">
        <v>773</v>
      </c>
      <c r="Q630">
        <v>1</v>
      </c>
      <c r="W630">
        <v>0</v>
      </c>
      <c r="X630">
        <v>-1990058995</v>
      </c>
      <c r="Y630">
        <v>21.477399999999996</v>
      </c>
      <c r="AA630">
        <v>0</v>
      </c>
      <c r="AB630">
        <v>0</v>
      </c>
      <c r="AC630">
        <v>0</v>
      </c>
      <c r="AD630">
        <v>212.17</v>
      </c>
      <c r="AE630">
        <v>0</v>
      </c>
      <c r="AF630">
        <v>0</v>
      </c>
      <c r="AG630">
        <v>0</v>
      </c>
      <c r="AH630">
        <v>8.76</v>
      </c>
      <c r="AI630">
        <v>1</v>
      </c>
      <c r="AJ630">
        <v>1</v>
      </c>
      <c r="AK630">
        <v>1</v>
      </c>
      <c r="AL630">
        <v>24.22</v>
      </c>
      <c r="AN630">
        <v>0</v>
      </c>
      <c r="AO630">
        <v>1</v>
      </c>
      <c r="AP630">
        <v>1</v>
      </c>
      <c r="AQ630">
        <v>0</v>
      </c>
      <c r="AR630">
        <v>0</v>
      </c>
      <c r="AS630" t="s">
        <v>6</v>
      </c>
      <c r="AT630">
        <v>16.239999999999998</v>
      </c>
      <c r="AU630" t="s">
        <v>127</v>
      </c>
      <c r="AV630">
        <v>1</v>
      </c>
      <c r="AW630">
        <v>2</v>
      </c>
      <c r="AX630">
        <v>31030116</v>
      </c>
      <c r="AY630">
        <v>1</v>
      </c>
      <c r="AZ630">
        <v>0</v>
      </c>
      <c r="BA630">
        <v>660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0</v>
      </c>
      <c r="BW630">
        <v>0</v>
      </c>
      <c r="CX630">
        <f>Y630*Source!I267</f>
        <v>8.590959999999999</v>
      </c>
      <c r="CY630">
        <f>AD630</f>
        <v>212.17</v>
      </c>
      <c r="CZ630">
        <f>AH630</f>
        <v>8.76</v>
      </c>
      <c r="DA630">
        <f>AL630</f>
        <v>24.22</v>
      </c>
      <c r="DB630">
        <f>ROUND((ROUND(AT630*CZ630,2)*ROUND((1.15*1.15),7)),6)</f>
        <v>188.13884999999999</v>
      </c>
      <c r="DC630">
        <f>ROUND((ROUND(AT630*AG630,2)*ROUND((1.15*1.15),7)),6)</f>
        <v>0</v>
      </c>
    </row>
    <row r="631" spans="1:107">
      <c r="A631">
        <f>ROW(Source!A267)</f>
        <v>267</v>
      </c>
      <c r="B631">
        <v>31028412</v>
      </c>
      <c r="C631">
        <v>31030101</v>
      </c>
      <c r="D631">
        <v>29084573</v>
      </c>
      <c r="E631">
        <v>1</v>
      </c>
      <c r="F631">
        <v>1</v>
      </c>
      <c r="G631">
        <v>1</v>
      </c>
      <c r="H631">
        <v>1</v>
      </c>
      <c r="I631" t="s">
        <v>774</v>
      </c>
      <c r="J631" t="s">
        <v>6</v>
      </c>
      <c r="K631" t="s">
        <v>775</v>
      </c>
      <c r="L631">
        <v>608254</v>
      </c>
      <c r="N631">
        <v>1013</v>
      </c>
      <c r="O631" t="s">
        <v>776</v>
      </c>
      <c r="P631" t="s">
        <v>776</v>
      </c>
      <c r="Q631">
        <v>1</v>
      </c>
      <c r="W631">
        <v>0</v>
      </c>
      <c r="X631">
        <v>95408949</v>
      </c>
      <c r="Y631">
        <v>0.15812499999999999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1</v>
      </c>
      <c r="AJ631">
        <v>1</v>
      </c>
      <c r="AK631">
        <v>24.22</v>
      </c>
      <c r="AL631">
        <v>1</v>
      </c>
      <c r="AN631">
        <v>0</v>
      </c>
      <c r="AO631">
        <v>1</v>
      </c>
      <c r="AP631">
        <v>1</v>
      </c>
      <c r="AQ631">
        <v>0</v>
      </c>
      <c r="AR631">
        <v>0</v>
      </c>
      <c r="AS631" t="s">
        <v>6</v>
      </c>
      <c r="AT631">
        <v>0.11</v>
      </c>
      <c r="AU631" t="s">
        <v>126</v>
      </c>
      <c r="AV631">
        <v>2</v>
      </c>
      <c r="AW631">
        <v>2</v>
      </c>
      <c r="AX631">
        <v>31030117</v>
      </c>
      <c r="AY631">
        <v>1</v>
      </c>
      <c r="AZ631">
        <v>0</v>
      </c>
      <c r="BA631">
        <v>661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0</v>
      </c>
      <c r="BW631">
        <v>0</v>
      </c>
      <c r="CX631">
        <f>Y631*Source!I267</f>
        <v>6.3250000000000001E-2</v>
      </c>
      <c r="CY631">
        <f>AD631</f>
        <v>0</v>
      </c>
      <c r="CZ631">
        <f>AH631</f>
        <v>0</v>
      </c>
      <c r="DA631">
        <f>AL631</f>
        <v>1</v>
      </c>
      <c r="DB631">
        <f>ROUND((ROUND(AT631*CZ631,2)*ROUND((1.25*1.15),7)),6)</f>
        <v>0</v>
      </c>
      <c r="DC631">
        <f>ROUND((ROUND(AT631*AG631,2)*ROUND((1.25*1.15),7)),6)</f>
        <v>0</v>
      </c>
    </row>
    <row r="632" spans="1:107">
      <c r="A632">
        <f>ROW(Source!A267)</f>
        <v>267</v>
      </c>
      <c r="B632">
        <v>31028412</v>
      </c>
      <c r="C632">
        <v>31030101</v>
      </c>
      <c r="D632">
        <v>29147520</v>
      </c>
      <c r="E632">
        <v>1</v>
      </c>
      <c r="F632">
        <v>1</v>
      </c>
      <c r="G632">
        <v>1</v>
      </c>
      <c r="H632">
        <v>2</v>
      </c>
      <c r="I632" t="s">
        <v>777</v>
      </c>
      <c r="J632" t="s">
        <v>778</v>
      </c>
      <c r="K632" t="s">
        <v>779</v>
      </c>
      <c r="L632">
        <v>1368</v>
      </c>
      <c r="N632">
        <v>1011</v>
      </c>
      <c r="O632" t="s">
        <v>780</v>
      </c>
      <c r="P632" t="s">
        <v>780</v>
      </c>
      <c r="Q632">
        <v>1</v>
      </c>
      <c r="W632">
        <v>0</v>
      </c>
      <c r="X632">
        <v>-2048414082</v>
      </c>
      <c r="Y632">
        <v>1.4374999999999999E-2</v>
      </c>
      <c r="AA632">
        <v>0</v>
      </c>
      <c r="AB632">
        <v>656.51</v>
      </c>
      <c r="AC632">
        <v>315.58999999999997</v>
      </c>
      <c r="AD632">
        <v>0</v>
      </c>
      <c r="AE632">
        <v>0</v>
      </c>
      <c r="AF632">
        <v>85.93</v>
      </c>
      <c r="AG632">
        <v>13.03</v>
      </c>
      <c r="AH632">
        <v>0</v>
      </c>
      <c r="AI632">
        <v>1</v>
      </c>
      <c r="AJ632">
        <v>7.64</v>
      </c>
      <c r="AK632">
        <v>24.22</v>
      </c>
      <c r="AL632">
        <v>1</v>
      </c>
      <c r="AN632">
        <v>0</v>
      </c>
      <c r="AO632">
        <v>1</v>
      </c>
      <c r="AP632">
        <v>1</v>
      </c>
      <c r="AQ632">
        <v>0</v>
      </c>
      <c r="AR632">
        <v>0</v>
      </c>
      <c r="AS632" t="s">
        <v>6</v>
      </c>
      <c r="AT632">
        <v>0.01</v>
      </c>
      <c r="AU632" t="s">
        <v>126</v>
      </c>
      <c r="AV632">
        <v>0</v>
      </c>
      <c r="AW632">
        <v>2</v>
      </c>
      <c r="AX632">
        <v>31030118</v>
      </c>
      <c r="AY632">
        <v>1</v>
      </c>
      <c r="AZ632">
        <v>0</v>
      </c>
      <c r="BA632">
        <v>662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0</v>
      </c>
      <c r="CX632">
        <f>Y632*Source!I267</f>
        <v>5.7499999999999999E-3</v>
      </c>
      <c r="CY632">
        <f>AB632</f>
        <v>656.51</v>
      </c>
      <c r="CZ632">
        <f>AF632</f>
        <v>85.93</v>
      </c>
      <c r="DA632">
        <f>AJ632</f>
        <v>7.64</v>
      </c>
      <c r="DB632">
        <f>ROUND((ROUND(AT632*CZ632,2)*ROUND((1.25*1.15),7)),6)</f>
        <v>1.2362500000000001</v>
      </c>
      <c r="DC632">
        <f>ROUND((ROUND(AT632*AG632,2)*ROUND((1.25*1.15),7)),6)</f>
        <v>0.18687500000000001</v>
      </c>
    </row>
    <row r="633" spans="1:107">
      <c r="A633">
        <f>ROW(Source!A267)</f>
        <v>267</v>
      </c>
      <c r="B633">
        <v>31028412</v>
      </c>
      <c r="C633">
        <v>31030101</v>
      </c>
      <c r="D633">
        <v>29147601</v>
      </c>
      <c r="E633">
        <v>1</v>
      </c>
      <c r="F633">
        <v>1</v>
      </c>
      <c r="G633">
        <v>1</v>
      </c>
      <c r="H633">
        <v>2</v>
      </c>
      <c r="I633" t="s">
        <v>781</v>
      </c>
      <c r="J633" t="s">
        <v>782</v>
      </c>
      <c r="K633" t="s">
        <v>783</v>
      </c>
      <c r="L633">
        <v>1368</v>
      </c>
      <c r="N633">
        <v>1011</v>
      </c>
      <c r="O633" t="s">
        <v>780</v>
      </c>
      <c r="P633" t="s">
        <v>780</v>
      </c>
      <c r="Q633">
        <v>1</v>
      </c>
      <c r="W633">
        <v>0</v>
      </c>
      <c r="X633">
        <v>1170567961</v>
      </c>
      <c r="Y633">
        <v>0.14374999999999999</v>
      </c>
      <c r="AA633">
        <v>0</v>
      </c>
      <c r="AB633">
        <v>828.56</v>
      </c>
      <c r="AC633">
        <v>315.58999999999997</v>
      </c>
      <c r="AD633">
        <v>0</v>
      </c>
      <c r="AE633">
        <v>0</v>
      </c>
      <c r="AF633">
        <v>108.45</v>
      </c>
      <c r="AG633">
        <v>13.03</v>
      </c>
      <c r="AH633">
        <v>0</v>
      </c>
      <c r="AI633">
        <v>1</v>
      </c>
      <c r="AJ633">
        <v>7.64</v>
      </c>
      <c r="AK633">
        <v>24.22</v>
      </c>
      <c r="AL633">
        <v>1</v>
      </c>
      <c r="AN633">
        <v>0</v>
      </c>
      <c r="AO633">
        <v>1</v>
      </c>
      <c r="AP633">
        <v>1</v>
      </c>
      <c r="AQ633">
        <v>0</v>
      </c>
      <c r="AR633">
        <v>0</v>
      </c>
      <c r="AS633" t="s">
        <v>6</v>
      </c>
      <c r="AT633">
        <v>0.1</v>
      </c>
      <c r="AU633" t="s">
        <v>126</v>
      </c>
      <c r="AV633">
        <v>0</v>
      </c>
      <c r="AW633">
        <v>2</v>
      </c>
      <c r="AX633">
        <v>31030119</v>
      </c>
      <c r="AY633">
        <v>1</v>
      </c>
      <c r="AZ633">
        <v>0</v>
      </c>
      <c r="BA633">
        <v>663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  <c r="CX633">
        <f>Y633*Source!I267</f>
        <v>5.7499999999999996E-2</v>
      </c>
      <c r="CY633">
        <f>AB633</f>
        <v>828.56</v>
      </c>
      <c r="CZ633">
        <f>AF633</f>
        <v>108.45</v>
      </c>
      <c r="DA633">
        <f>AJ633</f>
        <v>7.64</v>
      </c>
      <c r="DB633">
        <f>ROUND((ROUND(AT633*CZ633,2)*ROUND((1.25*1.15),7)),6)</f>
        <v>15.596875000000001</v>
      </c>
      <c r="DC633">
        <f>ROUND((ROUND(AT633*AG633,2)*ROUND((1.25*1.15),7)),6)</f>
        <v>1.8687499999999999</v>
      </c>
    </row>
    <row r="634" spans="1:107">
      <c r="A634">
        <f>ROW(Source!A267)</f>
        <v>267</v>
      </c>
      <c r="B634">
        <v>31028412</v>
      </c>
      <c r="C634">
        <v>31030101</v>
      </c>
      <c r="D634">
        <v>29149183</v>
      </c>
      <c r="E634">
        <v>1</v>
      </c>
      <c r="F634">
        <v>1</v>
      </c>
      <c r="G634">
        <v>1</v>
      </c>
      <c r="H634">
        <v>2</v>
      </c>
      <c r="I634" t="s">
        <v>983</v>
      </c>
      <c r="J634" t="s">
        <v>984</v>
      </c>
      <c r="K634" t="s">
        <v>985</v>
      </c>
      <c r="L634">
        <v>1368</v>
      </c>
      <c r="N634">
        <v>1011</v>
      </c>
      <c r="O634" t="s">
        <v>780</v>
      </c>
      <c r="P634" t="s">
        <v>780</v>
      </c>
      <c r="Q634">
        <v>1</v>
      </c>
      <c r="W634">
        <v>0</v>
      </c>
      <c r="X634">
        <v>825056910</v>
      </c>
      <c r="Y634">
        <v>0.9631249999999999</v>
      </c>
      <c r="AA634">
        <v>0</v>
      </c>
      <c r="AB634">
        <v>14.9</v>
      </c>
      <c r="AC634">
        <v>0</v>
      </c>
      <c r="AD634">
        <v>0</v>
      </c>
      <c r="AE634">
        <v>0</v>
      </c>
      <c r="AF634">
        <v>1.95</v>
      </c>
      <c r="AG634">
        <v>0</v>
      </c>
      <c r="AH634">
        <v>0</v>
      </c>
      <c r="AI634">
        <v>1</v>
      </c>
      <c r="AJ634">
        <v>7.64</v>
      </c>
      <c r="AK634">
        <v>24.22</v>
      </c>
      <c r="AL634">
        <v>1</v>
      </c>
      <c r="AN634">
        <v>0</v>
      </c>
      <c r="AO634">
        <v>1</v>
      </c>
      <c r="AP634">
        <v>1</v>
      </c>
      <c r="AQ634">
        <v>0</v>
      </c>
      <c r="AR634">
        <v>0</v>
      </c>
      <c r="AS634" t="s">
        <v>6</v>
      </c>
      <c r="AT634">
        <v>0.67</v>
      </c>
      <c r="AU634" t="s">
        <v>126</v>
      </c>
      <c r="AV634">
        <v>0</v>
      </c>
      <c r="AW634">
        <v>2</v>
      </c>
      <c r="AX634">
        <v>31030120</v>
      </c>
      <c r="AY634">
        <v>1</v>
      </c>
      <c r="AZ634">
        <v>0</v>
      </c>
      <c r="BA634">
        <v>664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0</v>
      </c>
      <c r="CX634">
        <f>Y634*Source!I267</f>
        <v>0.38524999999999998</v>
      </c>
      <c r="CY634">
        <f>AB634</f>
        <v>14.9</v>
      </c>
      <c r="CZ634">
        <f>AF634</f>
        <v>1.95</v>
      </c>
      <c r="DA634">
        <f>AJ634</f>
        <v>7.64</v>
      </c>
      <c r="DB634">
        <f>ROUND((ROUND(AT634*CZ634,2)*ROUND((1.25*1.15),7)),6)</f>
        <v>1.8831249999999999</v>
      </c>
      <c r="DC634">
        <f>ROUND((ROUND(AT634*AG634,2)*ROUND((1.25*1.15),7)),6)</f>
        <v>0</v>
      </c>
    </row>
    <row r="635" spans="1:107">
      <c r="A635">
        <f>ROW(Source!A267)</f>
        <v>267</v>
      </c>
      <c r="B635">
        <v>31028412</v>
      </c>
      <c r="C635">
        <v>31030101</v>
      </c>
      <c r="D635">
        <v>29149520</v>
      </c>
      <c r="E635">
        <v>1</v>
      </c>
      <c r="F635">
        <v>1</v>
      </c>
      <c r="G635">
        <v>1</v>
      </c>
      <c r="H635">
        <v>2</v>
      </c>
      <c r="I635" t="s">
        <v>790</v>
      </c>
      <c r="J635" t="s">
        <v>791</v>
      </c>
      <c r="K635" t="s">
        <v>792</v>
      </c>
      <c r="L635">
        <v>1368</v>
      </c>
      <c r="N635">
        <v>1011</v>
      </c>
      <c r="O635" t="s">
        <v>780</v>
      </c>
      <c r="P635" t="s">
        <v>780</v>
      </c>
      <c r="Q635">
        <v>1</v>
      </c>
      <c r="W635">
        <v>0</v>
      </c>
      <c r="X635">
        <v>-1931461795</v>
      </c>
      <c r="Y635">
        <v>0.57499999999999996</v>
      </c>
      <c r="AA635">
        <v>0</v>
      </c>
      <c r="AB635">
        <v>699.98</v>
      </c>
      <c r="AC635">
        <v>0</v>
      </c>
      <c r="AD635">
        <v>0</v>
      </c>
      <c r="AE635">
        <v>0</v>
      </c>
      <c r="AF635">
        <v>91.62</v>
      </c>
      <c r="AG635">
        <v>0</v>
      </c>
      <c r="AH635">
        <v>0</v>
      </c>
      <c r="AI635">
        <v>1</v>
      </c>
      <c r="AJ635">
        <v>7.64</v>
      </c>
      <c r="AK635">
        <v>24.22</v>
      </c>
      <c r="AL635">
        <v>1</v>
      </c>
      <c r="AN635">
        <v>0</v>
      </c>
      <c r="AO635">
        <v>1</v>
      </c>
      <c r="AP635">
        <v>1</v>
      </c>
      <c r="AQ635">
        <v>0</v>
      </c>
      <c r="AR635">
        <v>0</v>
      </c>
      <c r="AS635" t="s">
        <v>6</v>
      </c>
      <c r="AT635">
        <v>0.4</v>
      </c>
      <c r="AU635" t="s">
        <v>126</v>
      </c>
      <c r="AV635">
        <v>0</v>
      </c>
      <c r="AW635">
        <v>2</v>
      </c>
      <c r="AX635">
        <v>31030121</v>
      </c>
      <c r="AY635">
        <v>1</v>
      </c>
      <c r="AZ635">
        <v>0</v>
      </c>
      <c r="BA635">
        <v>665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0</v>
      </c>
      <c r="CX635">
        <f>Y635*Source!I267</f>
        <v>0.22999999999999998</v>
      </c>
      <c r="CY635">
        <f>AB635</f>
        <v>699.98</v>
      </c>
      <c r="CZ635">
        <f>AF635</f>
        <v>91.62</v>
      </c>
      <c r="DA635">
        <f>AJ635</f>
        <v>7.64</v>
      </c>
      <c r="DB635">
        <f>ROUND((ROUND(AT635*CZ635,2)*ROUND((1.25*1.15),7)),6)</f>
        <v>52.684375000000003</v>
      </c>
      <c r="DC635">
        <f>ROUND((ROUND(AT635*AG635,2)*ROUND((1.25*1.15),7)),6)</f>
        <v>0</v>
      </c>
    </row>
    <row r="636" spans="1:107">
      <c r="A636">
        <f>ROW(Source!A267)</f>
        <v>267</v>
      </c>
      <c r="B636">
        <v>31028412</v>
      </c>
      <c r="C636">
        <v>31030101</v>
      </c>
      <c r="D636">
        <v>29150514</v>
      </c>
      <c r="E636">
        <v>1</v>
      </c>
      <c r="F636">
        <v>1</v>
      </c>
      <c r="G636">
        <v>1</v>
      </c>
      <c r="H636">
        <v>3</v>
      </c>
      <c r="I636" t="s">
        <v>1222</v>
      </c>
      <c r="J636" t="s">
        <v>1223</v>
      </c>
      <c r="K636" t="s">
        <v>1224</v>
      </c>
      <c r="L636">
        <v>1348</v>
      </c>
      <c r="N636">
        <v>1009</v>
      </c>
      <c r="O636" t="s">
        <v>137</v>
      </c>
      <c r="P636" t="s">
        <v>137</v>
      </c>
      <c r="Q636">
        <v>1000</v>
      </c>
      <c r="W636">
        <v>0</v>
      </c>
      <c r="X636">
        <v>643522223</v>
      </c>
      <c r="Y636">
        <v>2.7499999999999998E-3</v>
      </c>
      <c r="AA636">
        <v>64717.13</v>
      </c>
      <c r="AB636">
        <v>0</v>
      </c>
      <c r="AC636">
        <v>0</v>
      </c>
      <c r="AD636">
        <v>0</v>
      </c>
      <c r="AE636">
        <v>10489</v>
      </c>
      <c r="AF636">
        <v>0</v>
      </c>
      <c r="AG636">
        <v>0</v>
      </c>
      <c r="AH636">
        <v>0</v>
      </c>
      <c r="AI636">
        <v>6.17</v>
      </c>
      <c r="AJ636">
        <v>1</v>
      </c>
      <c r="AK636">
        <v>1</v>
      </c>
      <c r="AL636">
        <v>1</v>
      </c>
      <c r="AN636">
        <v>0</v>
      </c>
      <c r="AO636">
        <v>1</v>
      </c>
      <c r="AP636">
        <v>0</v>
      </c>
      <c r="AQ636">
        <v>0</v>
      </c>
      <c r="AR636">
        <v>0</v>
      </c>
      <c r="AS636" t="s">
        <v>6</v>
      </c>
      <c r="AT636">
        <v>2.7499999999999998E-3</v>
      </c>
      <c r="AU636" t="s">
        <v>6</v>
      </c>
      <c r="AV636">
        <v>0</v>
      </c>
      <c r="AW636">
        <v>2</v>
      </c>
      <c r="AX636">
        <v>31030122</v>
      </c>
      <c r="AY636">
        <v>1</v>
      </c>
      <c r="AZ636">
        <v>0</v>
      </c>
      <c r="BA636">
        <v>666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0</v>
      </c>
      <c r="BR636">
        <v>0</v>
      </c>
      <c r="BS636">
        <v>0</v>
      </c>
      <c r="BT636">
        <v>0</v>
      </c>
      <c r="BU636">
        <v>0</v>
      </c>
      <c r="BV636">
        <v>0</v>
      </c>
      <c r="BW636">
        <v>0</v>
      </c>
      <c r="CX636">
        <f>Y636*Source!I267</f>
        <v>1.1000000000000001E-3</v>
      </c>
      <c r="CY636">
        <f t="shared" ref="CY636:CY643" si="122">AA636</f>
        <v>64717.13</v>
      </c>
      <c r="CZ636">
        <f t="shared" ref="CZ636:CZ643" si="123">AE636</f>
        <v>10489</v>
      </c>
      <c r="DA636">
        <f t="shared" ref="DA636:DA643" si="124">AI636</f>
        <v>6.17</v>
      </c>
      <c r="DB636">
        <f t="shared" ref="DB636:DB643" si="125">ROUND(ROUND(AT636*CZ636,2),6)</f>
        <v>28.84</v>
      </c>
      <c r="DC636">
        <f t="shared" ref="DC636:DC643" si="126">ROUND(ROUND(AT636*AG636,2),6)</f>
        <v>0</v>
      </c>
    </row>
    <row r="637" spans="1:107">
      <c r="A637">
        <f>ROW(Source!A267)</f>
        <v>267</v>
      </c>
      <c r="B637">
        <v>31028412</v>
      </c>
      <c r="C637">
        <v>31030101</v>
      </c>
      <c r="D637">
        <v>29150746</v>
      </c>
      <c r="E637">
        <v>1</v>
      </c>
      <c r="F637">
        <v>1</v>
      </c>
      <c r="G637">
        <v>1</v>
      </c>
      <c r="H637">
        <v>3</v>
      </c>
      <c r="I637" t="s">
        <v>1225</v>
      </c>
      <c r="J637" t="s">
        <v>1226</v>
      </c>
      <c r="K637" t="s">
        <v>1227</v>
      </c>
      <c r="L637">
        <v>1348</v>
      </c>
      <c r="N637">
        <v>1009</v>
      </c>
      <c r="O637" t="s">
        <v>137</v>
      </c>
      <c r="P637" t="s">
        <v>137</v>
      </c>
      <c r="Q637">
        <v>1000</v>
      </c>
      <c r="W637">
        <v>0</v>
      </c>
      <c r="X637">
        <v>-2091594199</v>
      </c>
      <c r="Y637">
        <v>2.2000000000000001E-4</v>
      </c>
      <c r="AA637">
        <v>65402</v>
      </c>
      <c r="AB637">
        <v>0</v>
      </c>
      <c r="AC637">
        <v>0</v>
      </c>
      <c r="AD637">
        <v>0</v>
      </c>
      <c r="AE637">
        <v>10600</v>
      </c>
      <c r="AF637">
        <v>0</v>
      </c>
      <c r="AG637">
        <v>0</v>
      </c>
      <c r="AH637">
        <v>0</v>
      </c>
      <c r="AI637">
        <v>6.17</v>
      </c>
      <c r="AJ637">
        <v>1</v>
      </c>
      <c r="AK637">
        <v>1</v>
      </c>
      <c r="AL637">
        <v>1</v>
      </c>
      <c r="AN637">
        <v>0</v>
      </c>
      <c r="AO637">
        <v>1</v>
      </c>
      <c r="AP637">
        <v>0</v>
      </c>
      <c r="AQ637">
        <v>0</v>
      </c>
      <c r="AR637">
        <v>0</v>
      </c>
      <c r="AS637" t="s">
        <v>6</v>
      </c>
      <c r="AT637">
        <v>2.2000000000000001E-4</v>
      </c>
      <c r="AU637" t="s">
        <v>6</v>
      </c>
      <c r="AV637">
        <v>0</v>
      </c>
      <c r="AW637">
        <v>2</v>
      </c>
      <c r="AX637">
        <v>31030123</v>
      </c>
      <c r="AY637">
        <v>1</v>
      </c>
      <c r="AZ637">
        <v>0</v>
      </c>
      <c r="BA637">
        <v>667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0</v>
      </c>
      <c r="CX637">
        <f>Y637*Source!I267</f>
        <v>8.8000000000000011E-5</v>
      </c>
      <c r="CY637">
        <f t="shared" si="122"/>
        <v>65402</v>
      </c>
      <c r="CZ637">
        <f t="shared" si="123"/>
        <v>10600</v>
      </c>
      <c r="DA637">
        <f t="shared" si="124"/>
        <v>6.17</v>
      </c>
      <c r="DB637">
        <f t="shared" si="125"/>
        <v>2.33</v>
      </c>
      <c r="DC637">
        <f t="shared" si="126"/>
        <v>0</v>
      </c>
    </row>
    <row r="638" spans="1:107">
      <c r="A638">
        <f>ROW(Source!A267)</f>
        <v>267</v>
      </c>
      <c r="B638">
        <v>31028412</v>
      </c>
      <c r="C638">
        <v>31030101</v>
      </c>
      <c r="D638">
        <v>29150988</v>
      </c>
      <c r="E638">
        <v>1</v>
      </c>
      <c r="F638">
        <v>1</v>
      </c>
      <c r="G638">
        <v>1</v>
      </c>
      <c r="H638">
        <v>3</v>
      </c>
      <c r="I638" t="s">
        <v>1228</v>
      </c>
      <c r="J638" t="s">
        <v>1229</v>
      </c>
      <c r="K638" t="s">
        <v>1230</v>
      </c>
      <c r="L638">
        <v>1348</v>
      </c>
      <c r="N638">
        <v>1009</v>
      </c>
      <c r="O638" t="s">
        <v>137</v>
      </c>
      <c r="P638" t="s">
        <v>137</v>
      </c>
      <c r="Q638">
        <v>1000</v>
      </c>
      <c r="W638">
        <v>0</v>
      </c>
      <c r="X638">
        <v>266607550</v>
      </c>
      <c r="Y638">
        <v>1.1E-4</v>
      </c>
      <c r="AA638">
        <v>115286.45</v>
      </c>
      <c r="AB638">
        <v>0</v>
      </c>
      <c r="AC638">
        <v>0</v>
      </c>
      <c r="AD638">
        <v>0</v>
      </c>
      <c r="AE638">
        <v>18685</v>
      </c>
      <c r="AF638">
        <v>0</v>
      </c>
      <c r="AG638">
        <v>0</v>
      </c>
      <c r="AH638">
        <v>0</v>
      </c>
      <c r="AI638">
        <v>6.17</v>
      </c>
      <c r="AJ638">
        <v>1</v>
      </c>
      <c r="AK638">
        <v>1</v>
      </c>
      <c r="AL638">
        <v>1</v>
      </c>
      <c r="AN638">
        <v>0</v>
      </c>
      <c r="AO638">
        <v>1</v>
      </c>
      <c r="AP638">
        <v>0</v>
      </c>
      <c r="AQ638">
        <v>0</v>
      </c>
      <c r="AR638">
        <v>0</v>
      </c>
      <c r="AS638" t="s">
        <v>6</v>
      </c>
      <c r="AT638">
        <v>1.1E-4</v>
      </c>
      <c r="AU638" t="s">
        <v>6</v>
      </c>
      <c r="AV638">
        <v>0</v>
      </c>
      <c r="AW638">
        <v>2</v>
      </c>
      <c r="AX638">
        <v>31030124</v>
      </c>
      <c r="AY638">
        <v>1</v>
      </c>
      <c r="AZ638">
        <v>0</v>
      </c>
      <c r="BA638">
        <v>668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0</v>
      </c>
      <c r="BW638">
        <v>0</v>
      </c>
      <c r="CX638">
        <f>Y638*Source!I267</f>
        <v>4.4000000000000006E-5</v>
      </c>
      <c r="CY638">
        <f t="shared" si="122"/>
        <v>115286.45</v>
      </c>
      <c r="CZ638">
        <f t="shared" si="123"/>
        <v>18685</v>
      </c>
      <c r="DA638">
        <f t="shared" si="124"/>
        <v>6.17</v>
      </c>
      <c r="DB638">
        <f t="shared" si="125"/>
        <v>2.06</v>
      </c>
      <c r="DC638">
        <f t="shared" si="126"/>
        <v>0</v>
      </c>
    </row>
    <row r="639" spans="1:107">
      <c r="A639">
        <f>ROW(Source!A267)</f>
        <v>267</v>
      </c>
      <c r="B639">
        <v>31028412</v>
      </c>
      <c r="C639">
        <v>31030101</v>
      </c>
      <c r="D639">
        <v>29151931</v>
      </c>
      <c r="E639">
        <v>1</v>
      </c>
      <c r="F639">
        <v>1</v>
      </c>
      <c r="G639">
        <v>1</v>
      </c>
      <c r="H639">
        <v>3</v>
      </c>
      <c r="I639" t="s">
        <v>1231</v>
      </c>
      <c r="J639" t="s">
        <v>1232</v>
      </c>
      <c r="K639" t="s">
        <v>1233</v>
      </c>
      <c r="L639">
        <v>1346</v>
      </c>
      <c r="N639">
        <v>1009</v>
      </c>
      <c r="O639" t="s">
        <v>118</v>
      </c>
      <c r="P639" t="s">
        <v>118</v>
      </c>
      <c r="Q639">
        <v>1</v>
      </c>
      <c r="W639">
        <v>0</v>
      </c>
      <c r="X639">
        <v>-1819816298</v>
      </c>
      <c r="Y639">
        <v>0.11</v>
      </c>
      <c r="AA639">
        <v>230.08</v>
      </c>
      <c r="AB639">
        <v>0</v>
      </c>
      <c r="AC639">
        <v>0</v>
      </c>
      <c r="AD639">
        <v>0</v>
      </c>
      <c r="AE639">
        <v>37.29</v>
      </c>
      <c r="AF639">
        <v>0</v>
      </c>
      <c r="AG639">
        <v>0</v>
      </c>
      <c r="AH639">
        <v>0</v>
      </c>
      <c r="AI639">
        <v>6.17</v>
      </c>
      <c r="AJ639">
        <v>1</v>
      </c>
      <c r="AK639">
        <v>1</v>
      </c>
      <c r="AL639">
        <v>1</v>
      </c>
      <c r="AN639">
        <v>0</v>
      </c>
      <c r="AO639">
        <v>1</v>
      </c>
      <c r="AP639">
        <v>0</v>
      </c>
      <c r="AQ639">
        <v>0</v>
      </c>
      <c r="AR639">
        <v>0</v>
      </c>
      <c r="AS639" t="s">
        <v>6</v>
      </c>
      <c r="AT639">
        <v>0.11</v>
      </c>
      <c r="AU639" t="s">
        <v>6</v>
      </c>
      <c r="AV639">
        <v>0</v>
      </c>
      <c r="AW639">
        <v>2</v>
      </c>
      <c r="AX639">
        <v>31030125</v>
      </c>
      <c r="AY639">
        <v>1</v>
      </c>
      <c r="AZ639">
        <v>0</v>
      </c>
      <c r="BA639">
        <v>669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0</v>
      </c>
      <c r="BS639">
        <v>0</v>
      </c>
      <c r="BT639">
        <v>0</v>
      </c>
      <c r="BU639">
        <v>0</v>
      </c>
      <c r="BV639">
        <v>0</v>
      </c>
      <c r="BW639">
        <v>0</v>
      </c>
      <c r="CX639">
        <f>Y639*Source!I267</f>
        <v>4.4000000000000004E-2</v>
      </c>
      <c r="CY639">
        <f t="shared" si="122"/>
        <v>230.08</v>
      </c>
      <c r="CZ639">
        <f t="shared" si="123"/>
        <v>37.29</v>
      </c>
      <c r="DA639">
        <f t="shared" si="124"/>
        <v>6.17</v>
      </c>
      <c r="DB639">
        <f t="shared" si="125"/>
        <v>4.0999999999999996</v>
      </c>
      <c r="DC639">
        <f t="shared" si="126"/>
        <v>0</v>
      </c>
    </row>
    <row r="640" spans="1:107">
      <c r="A640">
        <f>ROW(Source!A267)</f>
        <v>267</v>
      </c>
      <c r="B640">
        <v>31028412</v>
      </c>
      <c r="C640">
        <v>31030101</v>
      </c>
      <c r="D640">
        <v>29175457</v>
      </c>
      <c r="E640">
        <v>1</v>
      </c>
      <c r="F640">
        <v>1</v>
      </c>
      <c r="G640">
        <v>1</v>
      </c>
      <c r="H640">
        <v>3</v>
      </c>
      <c r="I640" t="s">
        <v>1234</v>
      </c>
      <c r="J640" t="s">
        <v>1235</v>
      </c>
      <c r="K640" t="s">
        <v>1236</v>
      </c>
      <c r="L640">
        <v>1301</v>
      </c>
      <c r="N640">
        <v>1003</v>
      </c>
      <c r="O640" t="s">
        <v>315</v>
      </c>
      <c r="P640" t="s">
        <v>315</v>
      </c>
      <c r="Q640">
        <v>1</v>
      </c>
      <c r="W640">
        <v>0</v>
      </c>
      <c r="X640">
        <v>1319720299</v>
      </c>
      <c r="Y640">
        <v>100</v>
      </c>
      <c r="AA640">
        <v>121.67</v>
      </c>
      <c r="AB640">
        <v>0</v>
      </c>
      <c r="AC640">
        <v>0</v>
      </c>
      <c r="AD640">
        <v>0</v>
      </c>
      <c r="AE640">
        <v>19.72</v>
      </c>
      <c r="AF640">
        <v>0</v>
      </c>
      <c r="AG640">
        <v>0</v>
      </c>
      <c r="AH640">
        <v>0</v>
      </c>
      <c r="AI640">
        <v>6.17</v>
      </c>
      <c r="AJ640">
        <v>1</v>
      </c>
      <c r="AK640">
        <v>1</v>
      </c>
      <c r="AL640">
        <v>1</v>
      </c>
      <c r="AN640">
        <v>0</v>
      </c>
      <c r="AO640">
        <v>1</v>
      </c>
      <c r="AP640">
        <v>0</v>
      </c>
      <c r="AQ640">
        <v>0</v>
      </c>
      <c r="AR640">
        <v>0</v>
      </c>
      <c r="AS640" t="s">
        <v>6</v>
      </c>
      <c r="AT640">
        <v>100</v>
      </c>
      <c r="AU640" t="s">
        <v>6</v>
      </c>
      <c r="AV640">
        <v>0</v>
      </c>
      <c r="AW640">
        <v>2</v>
      </c>
      <c r="AX640">
        <v>31030126</v>
      </c>
      <c r="AY640">
        <v>1</v>
      </c>
      <c r="AZ640">
        <v>0</v>
      </c>
      <c r="BA640">
        <v>670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CX640">
        <f>Y640*Source!I267</f>
        <v>40</v>
      </c>
      <c r="CY640">
        <f t="shared" si="122"/>
        <v>121.67</v>
      </c>
      <c r="CZ640">
        <f t="shared" si="123"/>
        <v>19.72</v>
      </c>
      <c r="DA640">
        <f t="shared" si="124"/>
        <v>6.17</v>
      </c>
      <c r="DB640">
        <f t="shared" si="125"/>
        <v>1972</v>
      </c>
      <c r="DC640">
        <f t="shared" si="126"/>
        <v>0</v>
      </c>
    </row>
    <row r="641" spans="1:107">
      <c r="A641">
        <f>ROW(Source!A267)</f>
        <v>267</v>
      </c>
      <c r="B641">
        <v>31028412</v>
      </c>
      <c r="C641">
        <v>31030101</v>
      </c>
      <c r="D641">
        <v>29176105</v>
      </c>
      <c r="E641">
        <v>1</v>
      </c>
      <c r="F641">
        <v>1</v>
      </c>
      <c r="G641">
        <v>1</v>
      </c>
      <c r="H641">
        <v>3</v>
      </c>
      <c r="I641" t="s">
        <v>1237</v>
      </c>
      <c r="J641" t="s">
        <v>1238</v>
      </c>
      <c r="K641" t="s">
        <v>1239</v>
      </c>
      <c r="L641">
        <v>1355</v>
      </c>
      <c r="N641">
        <v>1010</v>
      </c>
      <c r="O641" t="s">
        <v>680</v>
      </c>
      <c r="P641" t="s">
        <v>680</v>
      </c>
      <c r="Q641">
        <v>100</v>
      </c>
      <c r="W641">
        <v>0</v>
      </c>
      <c r="X641">
        <v>-1375084812</v>
      </c>
      <c r="Y641">
        <v>0.22</v>
      </c>
      <c r="AA641">
        <v>1062.78</v>
      </c>
      <c r="AB641">
        <v>0</v>
      </c>
      <c r="AC641">
        <v>0</v>
      </c>
      <c r="AD641">
        <v>0</v>
      </c>
      <c r="AE641">
        <v>172.25</v>
      </c>
      <c r="AF641">
        <v>0</v>
      </c>
      <c r="AG641">
        <v>0</v>
      </c>
      <c r="AH641">
        <v>0</v>
      </c>
      <c r="AI641">
        <v>6.17</v>
      </c>
      <c r="AJ641">
        <v>1</v>
      </c>
      <c r="AK641">
        <v>1</v>
      </c>
      <c r="AL641">
        <v>1</v>
      </c>
      <c r="AN641">
        <v>0</v>
      </c>
      <c r="AO641">
        <v>1</v>
      </c>
      <c r="AP641">
        <v>0</v>
      </c>
      <c r="AQ641">
        <v>0</v>
      </c>
      <c r="AR641">
        <v>0</v>
      </c>
      <c r="AS641" t="s">
        <v>6</v>
      </c>
      <c r="AT641">
        <v>0.22</v>
      </c>
      <c r="AU641" t="s">
        <v>6</v>
      </c>
      <c r="AV641">
        <v>0</v>
      </c>
      <c r="AW641">
        <v>2</v>
      </c>
      <c r="AX641">
        <v>31030127</v>
      </c>
      <c r="AY641">
        <v>1</v>
      </c>
      <c r="AZ641">
        <v>0</v>
      </c>
      <c r="BA641">
        <v>671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CX641">
        <f>Y641*Source!I267</f>
        <v>8.8000000000000009E-2</v>
      </c>
      <c r="CY641">
        <f t="shared" si="122"/>
        <v>1062.78</v>
      </c>
      <c r="CZ641">
        <f t="shared" si="123"/>
        <v>172.25</v>
      </c>
      <c r="DA641">
        <f t="shared" si="124"/>
        <v>6.17</v>
      </c>
      <c r="DB641">
        <f t="shared" si="125"/>
        <v>37.9</v>
      </c>
      <c r="DC641">
        <f t="shared" si="126"/>
        <v>0</v>
      </c>
    </row>
    <row r="642" spans="1:107">
      <c r="A642">
        <f>ROW(Source!A267)</f>
        <v>267</v>
      </c>
      <c r="B642">
        <v>31028412</v>
      </c>
      <c r="C642">
        <v>31030101</v>
      </c>
      <c r="D642">
        <v>29176106</v>
      </c>
      <c r="E642">
        <v>1</v>
      </c>
      <c r="F642">
        <v>1</v>
      </c>
      <c r="G642">
        <v>1</v>
      </c>
      <c r="H642">
        <v>3</v>
      </c>
      <c r="I642" t="s">
        <v>1240</v>
      </c>
      <c r="J642" t="s">
        <v>1241</v>
      </c>
      <c r="K642" t="s">
        <v>1242</v>
      </c>
      <c r="L642">
        <v>1355</v>
      </c>
      <c r="N642">
        <v>1010</v>
      </c>
      <c r="O642" t="s">
        <v>680</v>
      </c>
      <c r="P642" t="s">
        <v>680</v>
      </c>
      <c r="Q642">
        <v>100</v>
      </c>
      <c r="W642">
        <v>0</v>
      </c>
      <c r="X642">
        <v>-436776514</v>
      </c>
      <c r="Y642">
        <v>0.22</v>
      </c>
      <c r="AA642">
        <v>1251.77</v>
      </c>
      <c r="AB642">
        <v>0</v>
      </c>
      <c r="AC642">
        <v>0</v>
      </c>
      <c r="AD642">
        <v>0</v>
      </c>
      <c r="AE642">
        <v>202.88</v>
      </c>
      <c r="AF642">
        <v>0</v>
      </c>
      <c r="AG642">
        <v>0</v>
      </c>
      <c r="AH642">
        <v>0</v>
      </c>
      <c r="AI642">
        <v>6.17</v>
      </c>
      <c r="AJ642">
        <v>1</v>
      </c>
      <c r="AK642">
        <v>1</v>
      </c>
      <c r="AL642">
        <v>1</v>
      </c>
      <c r="AN642">
        <v>0</v>
      </c>
      <c r="AO642">
        <v>1</v>
      </c>
      <c r="AP642">
        <v>0</v>
      </c>
      <c r="AQ642">
        <v>0</v>
      </c>
      <c r="AR642">
        <v>0</v>
      </c>
      <c r="AS642" t="s">
        <v>6</v>
      </c>
      <c r="AT642">
        <v>0.22</v>
      </c>
      <c r="AU642" t="s">
        <v>6</v>
      </c>
      <c r="AV642">
        <v>0</v>
      </c>
      <c r="AW642">
        <v>2</v>
      </c>
      <c r="AX642">
        <v>31030128</v>
      </c>
      <c r="AY642">
        <v>1</v>
      </c>
      <c r="AZ642">
        <v>0</v>
      </c>
      <c r="BA642">
        <v>672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CX642">
        <f>Y642*Source!I267</f>
        <v>8.8000000000000009E-2</v>
      </c>
      <c r="CY642">
        <f t="shared" si="122"/>
        <v>1251.77</v>
      </c>
      <c r="CZ642">
        <f t="shared" si="123"/>
        <v>202.88</v>
      </c>
      <c r="DA642">
        <f t="shared" si="124"/>
        <v>6.17</v>
      </c>
      <c r="DB642">
        <f t="shared" si="125"/>
        <v>44.63</v>
      </c>
      <c r="DC642">
        <f t="shared" si="126"/>
        <v>0</v>
      </c>
    </row>
    <row r="643" spans="1:107">
      <c r="A643">
        <f>ROW(Source!A267)</f>
        <v>267</v>
      </c>
      <c r="B643">
        <v>31028412</v>
      </c>
      <c r="C643">
        <v>31030101</v>
      </c>
      <c r="D643">
        <v>29186487</v>
      </c>
      <c r="E643">
        <v>1</v>
      </c>
      <c r="F643">
        <v>1</v>
      </c>
      <c r="G643">
        <v>1</v>
      </c>
      <c r="H643">
        <v>3</v>
      </c>
      <c r="I643" t="s">
        <v>1243</v>
      </c>
      <c r="J643" t="s">
        <v>1244</v>
      </c>
      <c r="K643" t="s">
        <v>1245</v>
      </c>
      <c r="L643">
        <v>1339</v>
      </c>
      <c r="N643">
        <v>1007</v>
      </c>
      <c r="O643" t="s">
        <v>109</v>
      </c>
      <c r="P643" t="s">
        <v>109</v>
      </c>
      <c r="Q643">
        <v>1</v>
      </c>
      <c r="W643">
        <v>0</v>
      </c>
      <c r="X643">
        <v>-873685323</v>
      </c>
      <c r="Y643">
        <v>4.4000000000000003E-3</v>
      </c>
      <c r="AA643">
        <v>2815</v>
      </c>
      <c r="AB643">
        <v>0</v>
      </c>
      <c r="AC643">
        <v>0</v>
      </c>
      <c r="AD643">
        <v>0</v>
      </c>
      <c r="AE643">
        <v>456.24</v>
      </c>
      <c r="AF643">
        <v>0</v>
      </c>
      <c r="AG643">
        <v>0</v>
      </c>
      <c r="AH643">
        <v>0</v>
      </c>
      <c r="AI643">
        <v>6.17</v>
      </c>
      <c r="AJ643">
        <v>1</v>
      </c>
      <c r="AK643">
        <v>1</v>
      </c>
      <c r="AL643">
        <v>1</v>
      </c>
      <c r="AN643">
        <v>0</v>
      </c>
      <c r="AO643">
        <v>1</v>
      </c>
      <c r="AP643">
        <v>0</v>
      </c>
      <c r="AQ643">
        <v>0</v>
      </c>
      <c r="AR643">
        <v>0</v>
      </c>
      <c r="AS643" t="s">
        <v>6</v>
      </c>
      <c r="AT643">
        <v>4.4000000000000003E-3</v>
      </c>
      <c r="AU643" t="s">
        <v>6</v>
      </c>
      <c r="AV643">
        <v>0</v>
      </c>
      <c r="AW643">
        <v>2</v>
      </c>
      <c r="AX643">
        <v>31030129</v>
      </c>
      <c r="AY643">
        <v>1</v>
      </c>
      <c r="AZ643">
        <v>0</v>
      </c>
      <c r="BA643">
        <v>673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0</v>
      </c>
      <c r="BW643">
        <v>0</v>
      </c>
      <c r="CX643">
        <f>Y643*Source!I267</f>
        <v>1.7600000000000003E-3</v>
      </c>
      <c r="CY643">
        <f t="shared" si="122"/>
        <v>2815</v>
      </c>
      <c r="CZ643">
        <f t="shared" si="123"/>
        <v>456.24</v>
      </c>
      <c r="DA643">
        <f t="shared" si="124"/>
        <v>6.17</v>
      </c>
      <c r="DB643">
        <f t="shared" si="125"/>
        <v>2.0099999999999998</v>
      </c>
      <c r="DC643">
        <f t="shared" si="126"/>
        <v>0</v>
      </c>
    </row>
    <row r="644" spans="1:107">
      <c r="A644">
        <f>ROW(Source!A268)</f>
        <v>268</v>
      </c>
      <c r="B644">
        <v>31028412</v>
      </c>
      <c r="C644">
        <v>31030130</v>
      </c>
      <c r="D644">
        <v>29084597</v>
      </c>
      <c r="E644">
        <v>1</v>
      </c>
      <c r="F644">
        <v>1</v>
      </c>
      <c r="G644">
        <v>1</v>
      </c>
      <c r="H644">
        <v>1</v>
      </c>
      <c r="I644" t="s">
        <v>1092</v>
      </c>
      <c r="J644" t="s">
        <v>6</v>
      </c>
      <c r="K644" t="s">
        <v>1093</v>
      </c>
      <c r="L644">
        <v>1369</v>
      </c>
      <c r="N644">
        <v>1013</v>
      </c>
      <c r="O644" t="s">
        <v>773</v>
      </c>
      <c r="P644" t="s">
        <v>773</v>
      </c>
      <c r="Q644">
        <v>1</v>
      </c>
      <c r="W644">
        <v>0</v>
      </c>
      <c r="X644">
        <v>353187930</v>
      </c>
      <c r="Y644">
        <v>197.89889999999997</v>
      </c>
      <c r="AA644">
        <v>0</v>
      </c>
      <c r="AB644">
        <v>0</v>
      </c>
      <c r="AC644">
        <v>0</v>
      </c>
      <c r="AD644">
        <v>231.79</v>
      </c>
      <c r="AE644">
        <v>0</v>
      </c>
      <c r="AF644">
        <v>0</v>
      </c>
      <c r="AG644">
        <v>0</v>
      </c>
      <c r="AH644">
        <v>9.57</v>
      </c>
      <c r="AI644">
        <v>1</v>
      </c>
      <c r="AJ644">
        <v>1</v>
      </c>
      <c r="AK644">
        <v>1</v>
      </c>
      <c r="AL644">
        <v>24.22</v>
      </c>
      <c r="AN644">
        <v>0</v>
      </c>
      <c r="AO644">
        <v>1</v>
      </c>
      <c r="AP644">
        <v>1</v>
      </c>
      <c r="AQ644">
        <v>0</v>
      </c>
      <c r="AR644">
        <v>0</v>
      </c>
      <c r="AS644" t="s">
        <v>6</v>
      </c>
      <c r="AT644">
        <v>149.63999999999999</v>
      </c>
      <c r="AU644" t="s">
        <v>127</v>
      </c>
      <c r="AV644">
        <v>1</v>
      </c>
      <c r="AW644">
        <v>2</v>
      </c>
      <c r="AX644">
        <v>31030147</v>
      </c>
      <c r="AY644">
        <v>1</v>
      </c>
      <c r="AZ644">
        <v>0</v>
      </c>
      <c r="BA644">
        <v>674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CX644">
        <f>Y644*Source!I268</f>
        <v>712.43603999999993</v>
      </c>
      <c r="CY644">
        <f>AD644</f>
        <v>231.79</v>
      </c>
      <c r="CZ644">
        <f>AH644</f>
        <v>9.57</v>
      </c>
      <c r="DA644">
        <f>AL644</f>
        <v>24.22</v>
      </c>
      <c r="DB644">
        <f>ROUND((ROUND(AT644*CZ644,2)*ROUND((1.15*1.15),7)),6)</f>
        <v>1893.886125</v>
      </c>
      <c r="DC644">
        <f>ROUND((ROUND(AT644*AG644,2)*ROUND((1.15*1.15),7)),6)</f>
        <v>0</v>
      </c>
    </row>
    <row r="645" spans="1:107">
      <c r="A645">
        <f>ROW(Source!A268)</f>
        <v>268</v>
      </c>
      <c r="B645">
        <v>31028412</v>
      </c>
      <c r="C645">
        <v>31030130</v>
      </c>
      <c r="D645">
        <v>29084573</v>
      </c>
      <c r="E645">
        <v>1</v>
      </c>
      <c r="F645">
        <v>1</v>
      </c>
      <c r="G645">
        <v>1</v>
      </c>
      <c r="H645">
        <v>1</v>
      </c>
      <c r="I645" t="s">
        <v>774</v>
      </c>
      <c r="J645" t="s">
        <v>6</v>
      </c>
      <c r="K645" t="s">
        <v>775</v>
      </c>
      <c r="L645">
        <v>608254</v>
      </c>
      <c r="N645">
        <v>1013</v>
      </c>
      <c r="O645" t="s">
        <v>776</v>
      </c>
      <c r="P645" t="s">
        <v>776</v>
      </c>
      <c r="Q645">
        <v>1</v>
      </c>
      <c r="W645">
        <v>0</v>
      </c>
      <c r="X645">
        <v>95408949</v>
      </c>
      <c r="Y645">
        <v>11.7875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1</v>
      </c>
      <c r="AJ645">
        <v>1</v>
      </c>
      <c r="AK645">
        <v>24.22</v>
      </c>
      <c r="AL645">
        <v>1</v>
      </c>
      <c r="AN645">
        <v>0</v>
      </c>
      <c r="AO645">
        <v>1</v>
      </c>
      <c r="AP645">
        <v>1</v>
      </c>
      <c r="AQ645">
        <v>0</v>
      </c>
      <c r="AR645">
        <v>0</v>
      </c>
      <c r="AS645" t="s">
        <v>6</v>
      </c>
      <c r="AT645">
        <v>8.1999999999999993</v>
      </c>
      <c r="AU645" t="s">
        <v>126</v>
      </c>
      <c r="AV645">
        <v>2</v>
      </c>
      <c r="AW645">
        <v>2</v>
      </c>
      <c r="AX645">
        <v>31030148</v>
      </c>
      <c r="AY645">
        <v>1</v>
      </c>
      <c r="AZ645">
        <v>0</v>
      </c>
      <c r="BA645">
        <v>675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0</v>
      </c>
      <c r="CX645">
        <f>Y645*Source!I268</f>
        <v>42.435000000000002</v>
      </c>
      <c r="CY645">
        <f>AD645</f>
        <v>0</v>
      </c>
      <c r="CZ645">
        <f>AH645</f>
        <v>0</v>
      </c>
      <c r="DA645">
        <f>AL645</f>
        <v>1</v>
      </c>
      <c r="DB645">
        <f>ROUND((ROUND(AT645*CZ645,2)*ROUND((1.25*1.15),7)),6)</f>
        <v>0</v>
      </c>
      <c r="DC645">
        <f>ROUND((ROUND(AT645*AG645,2)*ROUND((1.25*1.15),7)),6)</f>
        <v>0</v>
      </c>
    </row>
    <row r="646" spans="1:107">
      <c r="A646">
        <f>ROW(Source!A268)</f>
        <v>268</v>
      </c>
      <c r="B646">
        <v>31028412</v>
      </c>
      <c r="C646">
        <v>31030130</v>
      </c>
      <c r="D646">
        <v>29147520</v>
      </c>
      <c r="E646">
        <v>1</v>
      </c>
      <c r="F646">
        <v>1</v>
      </c>
      <c r="G646">
        <v>1</v>
      </c>
      <c r="H646">
        <v>2</v>
      </c>
      <c r="I646" t="s">
        <v>777</v>
      </c>
      <c r="J646" t="s">
        <v>778</v>
      </c>
      <c r="K646" t="s">
        <v>779</v>
      </c>
      <c r="L646">
        <v>1368</v>
      </c>
      <c r="N646">
        <v>1011</v>
      </c>
      <c r="O646" t="s">
        <v>780</v>
      </c>
      <c r="P646" t="s">
        <v>780</v>
      </c>
      <c r="Q646">
        <v>1</v>
      </c>
      <c r="W646">
        <v>0</v>
      </c>
      <c r="X646">
        <v>-2048414082</v>
      </c>
      <c r="Y646">
        <v>7.1874999999999994E-2</v>
      </c>
      <c r="AA646">
        <v>0</v>
      </c>
      <c r="AB646">
        <v>656.51</v>
      </c>
      <c r="AC646">
        <v>315.58999999999997</v>
      </c>
      <c r="AD646">
        <v>0</v>
      </c>
      <c r="AE646">
        <v>0</v>
      </c>
      <c r="AF646">
        <v>85.93</v>
      </c>
      <c r="AG646">
        <v>13.03</v>
      </c>
      <c r="AH646">
        <v>0</v>
      </c>
      <c r="AI646">
        <v>1</v>
      </c>
      <c r="AJ646">
        <v>7.64</v>
      </c>
      <c r="AK646">
        <v>24.22</v>
      </c>
      <c r="AL646">
        <v>1</v>
      </c>
      <c r="AN646">
        <v>0</v>
      </c>
      <c r="AO646">
        <v>1</v>
      </c>
      <c r="AP646">
        <v>1</v>
      </c>
      <c r="AQ646">
        <v>0</v>
      </c>
      <c r="AR646">
        <v>0</v>
      </c>
      <c r="AS646" t="s">
        <v>6</v>
      </c>
      <c r="AT646">
        <v>0.05</v>
      </c>
      <c r="AU646" t="s">
        <v>126</v>
      </c>
      <c r="AV646">
        <v>0</v>
      </c>
      <c r="AW646">
        <v>2</v>
      </c>
      <c r="AX646">
        <v>31030149</v>
      </c>
      <c r="AY646">
        <v>1</v>
      </c>
      <c r="AZ646">
        <v>0</v>
      </c>
      <c r="BA646">
        <v>676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CX646">
        <f>Y646*Source!I268</f>
        <v>0.25874999999999998</v>
      </c>
      <c r="CY646">
        <f>AB646</f>
        <v>656.51</v>
      </c>
      <c r="CZ646">
        <f>AF646</f>
        <v>85.93</v>
      </c>
      <c r="DA646">
        <f>AJ646</f>
        <v>7.64</v>
      </c>
      <c r="DB646">
        <f>ROUND((ROUND(AT646*CZ646,2)*ROUND((1.25*1.15),7)),6)</f>
        <v>6.1812500000000004</v>
      </c>
      <c r="DC646">
        <f>ROUND((ROUND(AT646*AG646,2)*ROUND((1.25*1.15),7)),6)</f>
        <v>0.93437499999999996</v>
      </c>
    </row>
    <row r="647" spans="1:107">
      <c r="A647">
        <f>ROW(Source!A268)</f>
        <v>268</v>
      </c>
      <c r="B647">
        <v>31028412</v>
      </c>
      <c r="C647">
        <v>31030130</v>
      </c>
      <c r="D647">
        <v>29147601</v>
      </c>
      <c r="E647">
        <v>1</v>
      </c>
      <c r="F647">
        <v>1</v>
      </c>
      <c r="G647">
        <v>1</v>
      </c>
      <c r="H647">
        <v>2</v>
      </c>
      <c r="I647" t="s">
        <v>781</v>
      </c>
      <c r="J647" t="s">
        <v>782</v>
      </c>
      <c r="K647" t="s">
        <v>783</v>
      </c>
      <c r="L647">
        <v>1368</v>
      </c>
      <c r="N647">
        <v>1011</v>
      </c>
      <c r="O647" t="s">
        <v>780</v>
      </c>
      <c r="P647" t="s">
        <v>780</v>
      </c>
      <c r="Q647">
        <v>1</v>
      </c>
      <c r="W647">
        <v>0</v>
      </c>
      <c r="X647">
        <v>1170567961</v>
      </c>
      <c r="Y647">
        <v>4.3124999999999997E-2</v>
      </c>
      <c r="AA647">
        <v>0</v>
      </c>
      <c r="AB647">
        <v>828.56</v>
      </c>
      <c r="AC647">
        <v>315.58999999999997</v>
      </c>
      <c r="AD647">
        <v>0</v>
      </c>
      <c r="AE647">
        <v>0</v>
      </c>
      <c r="AF647">
        <v>108.45</v>
      </c>
      <c r="AG647">
        <v>13.03</v>
      </c>
      <c r="AH647">
        <v>0</v>
      </c>
      <c r="AI647">
        <v>1</v>
      </c>
      <c r="AJ647">
        <v>7.64</v>
      </c>
      <c r="AK647">
        <v>24.22</v>
      </c>
      <c r="AL647">
        <v>1</v>
      </c>
      <c r="AN647">
        <v>0</v>
      </c>
      <c r="AO647">
        <v>1</v>
      </c>
      <c r="AP647">
        <v>1</v>
      </c>
      <c r="AQ647">
        <v>0</v>
      </c>
      <c r="AR647">
        <v>0</v>
      </c>
      <c r="AS647" t="s">
        <v>6</v>
      </c>
      <c r="AT647">
        <v>0.03</v>
      </c>
      <c r="AU647" t="s">
        <v>126</v>
      </c>
      <c r="AV647">
        <v>0</v>
      </c>
      <c r="AW647">
        <v>2</v>
      </c>
      <c r="AX647">
        <v>31030150</v>
      </c>
      <c r="AY647">
        <v>1</v>
      </c>
      <c r="AZ647">
        <v>0</v>
      </c>
      <c r="BA647">
        <v>677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CX647">
        <f>Y647*Source!I268</f>
        <v>0.15525</v>
      </c>
      <c r="CY647">
        <f>AB647</f>
        <v>828.56</v>
      </c>
      <c r="CZ647">
        <f>AF647</f>
        <v>108.45</v>
      </c>
      <c r="DA647">
        <f>AJ647</f>
        <v>7.64</v>
      </c>
      <c r="DB647">
        <f>ROUND((ROUND(AT647*CZ647,2)*ROUND((1.25*1.15),7)),6)</f>
        <v>4.671875</v>
      </c>
      <c r="DC647">
        <f>ROUND((ROUND(AT647*AG647,2)*ROUND((1.25*1.15),7)),6)</f>
        <v>0.56062500000000004</v>
      </c>
    </row>
    <row r="648" spans="1:107">
      <c r="A648">
        <f>ROW(Source!A268)</f>
        <v>268</v>
      </c>
      <c r="B648">
        <v>31028412</v>
      </c>
      <c r="C648">
        <v>31030130</v>
      </c>
      <c r="D648">
        <v>29148008</v>
      </c>
      <c r="E648">
        <v>1</v>
      </c>
      <c r="F648">
        <v>1</v>
      </c>
      <c r="G648">
        <v>1</v>
      </c>
      <c r="H648">
        <v>2</v>
      </c>
      <c r="I648" t="s">
        <v>1094</v>
      </c>
      <c r="J648" t="s">
        <v>1095</v>
      </c>
      <c r="K648" t="s">
        <v>1096</v>
      </c>
      <c r="L648">
        <v>1368</v>
      </c>
      <c r="N648">
        <v>1011</v>
      </c>
      <c r="O648" t="s">
        <v>780</v>
      </c>
      <c r="P648" t="s">
        <v>780</v>
      </c>
      <c r="Q648">
        <v>1</v>
      </c>
      <c r="W648">
        <v>0</v>
      </c>
      <c r="X648">
        <v>-691654175</v>
      </c>
      <c r="Y648">
        <v>11.672499999999998</v>
      </c>
      <c r="AA648">
        <v>0</v>
      </c>
      <c r="AB648">
        <v>734.2</v>
      </c>
      <c r="AC648">
        <v>315.58999999999997</v>
      </c>
      <c r="AD648">
        <v>0</v>
      </c>
      <c r="AE648">
        <v>0</v>
      </c>
      <c r="AF648">
        <v>96.1</v>
      </c>
      <c r="AG648">
        <v>13.03</v>
      </c>
      <c r="AH648">
        <v>0</v>
      </c>
      <c r="AI648">
        <v>1</v>
      </c>
      <c r="AJ648">
        <v>7.64</v>
      </c>
      <c r="AK648">
        <v>24.22</v>
      </c>
      <c r="AL648">
        <v>1</v>
      </c>
      <c r="AN648">
        <v>0</v>
      </c>
      <c r="AO648">
        <v>1</v>
      </c>
      <c r="AP648">
        <v>1</v>
      </c>
      <c r="AQ648">
        <v>0</v>
      </c>
      <c r="AR648">
        <v>0</v>
      </c>
      <c r="AS648" t="s">
        <v>6</v>
      </c>
      <c r="AT648">
        <v>8.1199999999999992</v>
      </c>
      <c r="AU648" t="s">
        <v>126</v>
      </c>
      <c r="AV648">
        <v>0</v>
      </c>
      <c r="AW648">
        <v>2</v>
      </c>
      <c r="AX648">
        <v>31030151</v>
      </c>
      <c r="AY648">
        <v>1</v>
      </c>
      <c r="AZ648">
        <v>0</v>
      </c>
      <c r="BA648">
        <v>678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0</v>
      </c>
      <c r="BW648">
        <v>0</v>
      </c>
      <c r="CX648">
        <f>Y648*Source!I268</f>
        <v>42.020999999999994</v>
      </c>
      <c r="CY648">
        <f>AB648</f>
        <v>734.2</v>
      </c>
      <c r="CZ648">
        <f>AF648</f>
        <v>96.1</v>
      </c>
      <c r="DA648">
        <f>AJ648</f>
        <v>7.64</v>
      </c>
      <c r="DB648">
        <f>ROUND((ROUND(AT648*CZ648,2)*ROUND((1.25*1.15),7)),6)</f>
        <v>1121.724375</v>
      </c>
      <c r="DC648">
        <f>ROUND((ROUND(AT648*AG648,2)*ROUND((1.25*1.15),7)),6)</f>
        <v>152.08750000000001</v>
      </c>
    </row>
    <row r="649" spans="1:107">
      <c r="A649">
        <f>ROW(Source!A268)</f>
        <v>268</v>
      </c>
      <c r="B649">
        <v>31028412</v>
      </c>
      <c r="C649">
        <v>31030130</v>
      </c>
      <c r="D649">
        <v>29149520</v>
      </c>
      <c r="E649">
        <v>1</v>
      </c>
      <c r="F649">
        <v>1</v>
      </c>
      <c r="G649">
        <v>1</v>
      </c>
      <c r="H649">
        <v>2</v>
      </c>
      <c r="I649" t="s">
        <v>790</v>
      </c>
      <c r="J649" t="s">
        <v>791</v>
      </c>
      <c r="K649" t="s">
        <v>792</v>
      </c>
      <c r="L649">
        <v>1368</v>
      </c>
      <c r="N649">
        <v>1011</v>
      </c>
      <c r="O649" t="s">
        <v>780</v>
      </c>
      <c r="P649" t="s">
        <v>780</v>
      </c>
      <c r="Q649">
        <v>1</v>
      </c>
      <c r="W649">
        <v>0</v>
      </c>
      <c r="X649">
        <v>-1931461795</v>
      </c>
      <c r="Y649">
        <v>0.31624999999999998</v>
      </c>
      <c r="AA649">
        <v>0</v>
      </c>
      <c r="AB649">
        <v>699.98</v>
      </c>
      <c r="AC649">
        <v>0</v>
      </c>
      <c r="AD649">
        <v>0</v>
      </c>
      <c r="AE649">
        <v>0</v>
      </c>
      <c r="AF649">
        <v>91.62</v>
      </c>
      <c r="AG649">
        <v>0</v>
      </c>
      <c r="AH649">
        <v>0</v>
      </c>
      <c r="AI649">
        <v>1</v>
      </c>
      <c r="AJ649">
        <v>7.64</v>
      </c>
      <c r="AK649">
        <v>24.22</v>
      </c>
      <c r="AL649">
        <v>1</v>
      </c>
      <c r="AN649">
        <v>0</v>
      </c>
      <c r="AO649">
        <v>1</v>
      </c>
      <c r="AP649">
        <v>1</v>
      </c>
      <c r="AQ649">
        <v>0</v>
      </c>
      <c r="AR649">
        <v>0</v>
      </c>
      <c r="AS649" t="s">
        <v>6</v>
      </c>
      <c r="AT649">
        <v>0.22</v>
      </c>
      <c r="AU649" t="s">
        <v>126</v>
      </c>
      <c r="AV649">
        <v>0</v>
      </c>
      <c r="AW649">
        <v>2</v>
      </c>
      <c r="AX649">
        <v>31030152</v>
      </c>
      <c r="AY649">
        <v>1</v>
      </c>
      <c r="AZ649">
        <v>0</v>
      </c>
      <c r="BA649">
        <v>679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0</v>
      </c>
      <c r="CX649">
        <f>Y649*Source!I268</f>
        <v>1.1384999999999998</v>
      </c>
      <c r="CY649">
        <f>AB649</f>
        <v>699.98</v>
      </c>
      <c r="CZ649">
        <f>AF649</f>
        <v>91.62</v>
      </c>
      <c r="DA649">
        <f>AJ649</f>
        <v>7.64</v>
      </c>
      <c r="DB649">
        <f>ROUND((ROUND(AT649*CZ649,2)*ROUND((1.25*1.15),7)),6)</f>
        <v>28.98</v>
      </c>
      <c r="DC649">
        <f>ROUND((ROUND(AT649*AG649,2)*ROUND((1.25*1.15),7)),6)</f>
        <v>0</v>
      </c>
    </row>
    <row r="650" spans="1:107">
      <c r="A650">
        <f>ROW(Source!A268)</f>
        <v>268</v>
      </c>
      <c r="B650">
        <v>31028412</v>
      </c>
      <c r="C650">
        <v>31030130</v>
      </c>
      <c r="D650">
        <v>29150503</v>
      </c>
      <c r="E650">
        <v>1</v>
      </c>
      <c r="F650">
        <v>1</v>
      </c>
      <c r="G650">
        <v>1</v>
      </c>
      <c r="H650">
        <v>3</v>
      </c>
      <c r="I650" t="s">
        <v>1097</v>
      </c>
      <c r="J650" t="s">
        <v>1098</v>
      </c>
      <c r="K650" t="s">
        <v>1099</v>
      </c>
      <c r="L650">
        <v>1348</v>
      </c>
      <c r="N650">
        <v>1009</v>
      </c>
      <c r="O650" t="s">
        <v>137</v>
      </c>
      <c r="P650" t="s">
        <v>137</v>
      </c>
      <c r="Q650">
        <v>1000</v>
      </c>
      <c r="W650">
        <v>0</v>
      </c>
      <c r="X650">
        <v>-1687798165</v>
      </c>
      <c r="Y650">
        <v>5.9000000000000003E-4</v>
      </c>
      <c r="AA650">
        <v>80537.009999999995</v>
      </c>
      <c r="AB650">
        <v>0</v>
      </c>
      <c r="AC650">
        <v>0</v>
      </c>
      <c r="AD650">
        <v>0</v>
      </c>
      <c r="AE650">
        <v>13053</v>
      </c>
      <c r="AF650">
        <v>0</v>
      </c>
      <c r="AG650">
        <v>0</v>
      </c>
      <c r="AH650">
        <v>0</v>
      </c>
      <c r="AI650">
        <v>6.17</v>
      </c>
      <c r="AJ650">
        <v>1</v>
      </c>
      <c r="AK650">
        <v>1</v>
      </c>
      <c r="AL650">
        <v>1</v>
      </c>
      <c r="AN650">
        <v>0</v>
      </c>
      <c r="AO650">
        <v>1</v>
      </c>
      <c r="AP650">
        <v>0</v>
      </c>
      <c r="AQ650">
        <v>0</v>
      </c>
      <c r="AR650">
        <v>0</v>
      </c>
      <c r="AS650" t="s">
        <v>6</v>
      </c>
      <c r="AT650">
        <v>5.9000000000000003E-4</v>
      </c>
      <c r="AU650" t="s">
        <v>6</v>
      </c>
      <c r="AV650">
        <v>0</v>
      </c>
      <c r="AW650">
        <v>2</v>
      </c>
      <c r="AX650">
        <v>31030153</v>
      </c>
      <c r="AY650">
        <v>1</v>
      </c>
      <c r="AZ650">
        <v>0</v>
      </c>
      <c r="BA650">
        <v>680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0</v>
      </c>
      <c r="CX650">
        <f>Y650*Source!I268</f>
        <v>2.124E-3</v>
      </c>
      <c r="CY650">
        <f t="shared" ref="CY650:CY659" si="127">AA650</f>
        <v>80537.009999999995</v>
      </c>
      <c r="CZ650">
        <f t="shared" ref="CZ650:CZ659" si="128">AE650</f>
        <v>13053</v>
      </c>
      <c r="DA650">
        <f t="shared" ref="DA650:DA659" si="129">AI650</f>
        <v>6.17</v>
      </c>
      <c r="DB650">
        <f t="shared" ref="DB650:DB659" si="130">ROUND(ROUND(AT650*CZ650,2),6)</f>
        <v>7.7</v>
      </c>
      <c r="DC650">
        <f t="shared" ref="DC650:DC659" si="131">ROUND(ROUND(AT650*AG650,2),6)</f>
        <v>0</v>
      </c>
    </row>
    <row r="651" spans="1:107">
      <c r="A651">
        <f>ROW(Source!A268)</f>
        <v>268</v>
      </c>
      <c r="B651">
        <v>31028412</v>
      </c>
      <c r="C651">
        <v>31030130</v>
      </c>
      <c r="D651">
        <v>29150687</v>
      </c>
      <c r="E651">
        <v>1</v>
      </c>
      <c r="F651">
        <v>1</v>
      </c>
      <c r="G651">
        <v>1</v>
      </c>
      <c r="H651">
        <v>3</v>
      </c>
      <c r="I651" t="s">
        <v>1100</v>
      </c>
      <c r="J651" t="s">
        <v>1101</v>
      </c>
      <c r="K651" t="s">
        <v>1102</v>
      </c>
      <c r="L651">
        <v>1346</v>
      </c>
      <c r="N651">
        <v>1009</v>
      </c>
      <c r="O651" t="s">
        <v>118</v>
      </c>
      <c r="P651" t="s">
        <v>118</v>
      </c>
      <c r="Q651">
        <v>1</v>
      </c>
      <c r="W651">
        <v>0</v>
      </c>
      <c r="X651">
        <v>-1416335338</v>
      </c>
      <c r="Y651">
        <v>0.2</v>
      </c>
      <c r="AA651">
        <v>178.5</v>
      </c>
      <c r="AB651">
        <v>0</v>
      </c>
      <c r="AC651">
        <v>0</v>
      </c>
      <c r="AD651">
        <v>0</v>
      </c>
      <c r="AE651">
        <v>28.93</v>
      </c>
      <c r="AF651">
        <v>0</v>
      </c>
      <c r="AG651">
        <v>0</v>
      </c>
      <c r="AH651">
        <v>0</v>
      </c>
      <c r="AI651">
        <v>6.17</v>
      </c>
      <c r="AJ651">
        <v>1</v>
      </c>
      <c r="AK651">
        <v>1</v>
      </c>
      <c r="AL651">
        <v>1</v>
      </c>
      <c r="AN651">
        <v>0</v>
      </c>
      <c r="AO651">
        <v>1</v>
      </c>
      <c r="AP651">
        <v>0</v>
      </c>
      <c r="AQ651">
        <v>0</v>
      </c>
      <c r="AR651">
        <v>0</v>
      </c>
      <c r="AS651" t="s">
        <v>6</v>
      </c>
      <c r="AT651">
        <v>0.2</v>
      </c>
      <c r="AU651" t="s">
        <v>6</v>
      </c>
      <c r="AV651">
        <v>0</v>
      </c>
      <c r="AW651">
        <v>2</v>
      </c>
      <c r="AX651">
        <v>31030154</v>
      </c>
      <c r="AY651">
        <v>1</v>
      </c>
      <c r="AZ651">
        <v>0</v>
      </c>
      <c r="BA651">
        <v>681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CX651">
        <f>Y651*Source!I268</f>
        <v>0.72000000000000008</v>
      </c>
      <c r="CY651">
        <f t="shared" si="127"/>
        <v>178.5</v>
      </c>
      <c r="CZ651">
        <f t="shared" si="128"/>
        <v>28.93</v>
      </c>
      <c r="DA651">
        <f t="shared" si="129"/>
        <v>6.17</v>
      </c>
      <c r="DB651">
        <f t="shared" si="130"/>
        <v>5.79</v>
      </c>
      <c r="DC651">
        <f t="shared" si="131"/>
        <v>0</v>
      </c>
    </row>
    <row r="652" spans="1:107">
      <c r="A652">
        <f>ROW(Source!A268)</f>
        <v>268</v>
      </c>
      <c r="B652">
        <v>31028412</v>
      </c>
      <c r="C652">
        <v>31030130</v>
      </c>
      <c r="D652">
        <v>29151941</v>
      </c>
      <c r="E652">
        <v>1</v>
      </c>
      <c r="F652">
        <v>1</v>
      </c>
      <c r="G652">
        <v>1</v>
      </c>
      <c r="H652">
        <v>3</v>
      </c>
      <c r="I652" t="s">
        <v>1103</v>
      </c>
      <c r="J652" t="s">
        <v>1104</v>
      </c>
      <c r="K652" t="s">
        <v>1105</v>
      </c>
      <c r="L652">
        <v>1356</v>
      </c>
      <c r="N652">
        <v>1010</v>
      </c>
      <c r="O652" t="s">
        <v>155</v>
      </c>
      <c r="P652" t="s">
        <v>155</v>
      </c>
      <c r="Q652">
        <v>1000</v>
      </c>
      <c r="W652">
        <v>0</v>
      </c>
      <c r="X652">
        <v>1530186950</v>
      </c>
      <c r="Y652">
        <v>6.9000000000000006E-2</v>
      </c>
      <c r="AA652">
        <v>1685.64</v>
      </c>
      <c r="AB652">
        <v>0</v>
      </c>
      <c r="AC652">
        <v>0</v>
      </c>
      <c r="AD652">
        <v>0</v>
      </c>
      <c r="AE652">
        <v>273.2</v>
      </c>
      <c r="AF652">
        <v>0</v>
      </c>
      <c r="AG652">
        <v>0</v>
      </c>
      <c r="AH652">
        <v>0</v>
      </c>
      <c r="AI652">
        <v>6.17</v>
      </c>
      <c r="AJ652">
        <v>1</v>
      </c>
      <c r="AK652">
        <v>1</v>
      </c>
      <c r="AL652">
        <v>1</v>
      </c>
      <c r="AN652">
        <v>0</v>
      </c>
      <c r="AO652">
        <v>1</v>
      </c>
      <c r="AP652">
        <v>0</v>
      </c>
      <c r="AQ652">
        <v>0</v>
      </c>
      <c r="AR652">
        <v>0</v>
      </c>
      <c r="AS652" t="s">
        <v>6</v>
      </c>
      <c r="AT652">
        <v>6.9000000000000006E-2</v>
      </c>
      <c r="AU652" t="s">
        <v>6</v>
      </c>
      <c r="AV652">
        <v>0</v>
      </c>
      <c r="AW652">
        <v>2</v>
      </c>
      <c r="AX652">
        <v>31030155</v>
      </c>
      <c r="AY652">
        <v>1</v>
      </c>
      <c r="AZ652">
        <v>0</v>
      </c>
      <c r="BA652">
        <v>682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0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0</v>
      </c>
      <c r="CX652">
        <f>Y652*Source!I268</f>
        <v>0.24840000000000004</v>
      </c>
      <c r="CY652">
        <f t="shared" si="127"/>
        <v>1685.64</v>
      </c>
      <c r="CZ652">
        <f t="shared" si="128"/>
        <v>273.2</v>
      </c>
      <c r="DA652">
        <f t="shared" si="129"/>
        <v>6.17</v>
      </c>
      <c r="DB652">
        <f t="shared" si="130"/>
        <v>18.850000000000001</v>
      </c>
      <c r="DC652">
        <f t="shared" si="131"/>
        <v>0</v>
      </c>
    </row>
    <row r="653" spans="1:107">
      <c r="A653">
        <f>ROW(Source!A268)</f>
        <v>268</v>
      </c>
      <c r="B653">
        <v>31028412</v>
      </c>
      <c r="C653">
        <v>31030130</v>
      </c>
      <c r="D653">
        <v>29151960</v>
      </c>
      <c r="E653">
        <v>1</v>
      </c>
      <c r="F653">
        <v>1</v>
      </c>
      <c r="G653">
        <v>1</v>
      </c>
      <c r="H653">
        <v>3</v>
      </c>
      <c r="I653" t="s">
        <v>1106</v>
      </c>
      <c r="J653" t="s">
        <v>1107</v>
      </c>
      <c r="K653" t="s">
        <v>1108</v>
      </c>
      <c r="L653">
        <v>1346</v>
      </c>
      <c r="N653">
        <v>1009</v>
      </c>
      <c r="O653" t="s">
        <v>118</v>
      </c>
      <c r="P653" t="s">
        <v>118</v>
      </c>
      <c r="Q653">
        <v>1</v>
      </c>
      <c r="W653">
        <v>0</v>
      </c>
      <c r="X653">
        <v>275569828</v>
      </c>
      <c r="Y653">
        <v>0.38</v>
      </c>
      <c r="AA653">
        <v>167.27</v>
      </c>
      <c r="AB653">
        <v>0</v>
      </c>
      <c r="AC653">
        <v>0</v>
      </c>
      <c r="AD653">
        <v>0</v>
      </c>
      <c r="AE653">
        <v>27.11</v>
      </c>
      <c r="AF653">
        <v>0</v>
      </c>
      <c r="AG653">
        <v>0</v>
      </c>
      <c r="AH653">
        <v>0</v>
      </c>
      <c r="AI653">
        <v>6.17</v>
      </c>
      <c r="AJ653">
        <v>1</v>
      </c>
      <c r="AK653">
        <v>1</v>
      </c>
      <c r="AL653">
        <v>1</v>
      </c>
      <c r="AN653">
        <v>0</v>
      </c>
      <c r="AO653">
        <v>1</v>
      </c>
      <c r="AP653">
        <v>0</v>
      </c>
      <c r="AQ653">
        <v>0</v>
      </c>
      <c r="AR653">
        <v>0</v>
      </c>
      <c r="AS653" t="s">
        <v>6</v>
      </c>
      <c r="AT653">
        <v>0.38</v>
      </c>
      <c r="AU653" t="s">
        <v>6</v>
      </c>
      <c r="AV653">
        <v>0</v>
      </c>
      <c r="AW653">
        <v>2</v>
      </c>
      <c r="AX653">
        <v>31030156</v>
      </c>
      <c r="AY653">
        <v>1</v>
      </c>
      <c r="AZ653">
        <v>0</v>
      </c>
      <c r="BA653">
        <v>683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0</v>
      </c>
      <c r="CX653">
        <f>Y653*Source!I268</f>
        <v>1.3680000000000001</v>
      </c>
      <c r="CY653">
        <f t="shared" si="127"/>
        <v>167.27</v>
      </c>
      <c r="CZ653">
        <f t="shared" si="128"/>
        <v>27.11</v>
      </c>
      <c r="DA653">
        <f t="shared" si="129"/>
        <v>6.17</v>
      </c>
      <c r="DB653">
        <f t="shared" si="130"/>
        <v>10.3</v>
      </c>
      <c r="DC653">
        <f t="shared" si="131"/>
        <v>0</v>
      </c>
    </row>
    <row r="654" spans="1:107">
      <c r="A654">
        <f>ROW(Source!A268)</f>
        <v>268</v>
      </c>
      <c r="B654">
        <v>31028412</v>
      </c>
      <c r="C654">
        <v>31030130</v>
      </c>
      <c r="D654">
        <v>29161321</v>
      </c>
      <c r="E654">
        <v>1</v>
      </c>
      <c r="F654">
        <v>1</v>
      </c>
      <c r="G654">
        <v>1</v>
      </c>
      <c r="H654">
        <v>3</v>
      </c>
      <c r="I654" t="s">
        <v>1109</v>
      </c>
      <c r="J654" t="s">
        <v>1110</v>
      </c>
      <c r="K654" t="s">
        <v>1111</v>
      </c>
      <c r="L654">
        <v>1354</v>
      </c>
      <c r="N654">
        <v>1010</v>
      </c>
      <c r="O654" t="s">
        <v>704</v>
      </c>
      <c r="P654" t="s">
        <v>704</v>
      </c>
      <c r="Q654">
        <v>1</v>
      </c>
      <c r="W654">
        <v>0</v>
      </c>
      <c r="X654">
        <v>-1363827663</v>
      </c>
      <c r="Y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6.17</v>
      </c>
      <c r="AJ654">
        <v>1</v>
      </c>
      <c r="AK654">
        <v>1</v>
      </c>
      <c r="AL654">
        <v>1</v>
      </c>
      <c r="AN654">
        <v>1</v>
      </c>
      <c r="AO654">
        <v>0</v>
      </c>
      <c r="AP654">
        <v>0</v>
      </c>
      <c r="AQ654">
        <v>0</v>
      </c>
      <c r="AR654">
        <v>0</v>
      </c>
      <c r="AS654" t="s">
        <v>6</v>
      </c>
      <c r="AT654">
        <v>0</v>
      </c>
      <c r="AU654" t="s">
        <v>6</v>
      </c>
      <c r="AV654">
        <v>0</v>
      </c>
      <c r="AW654">
        <v>2</v>
      </c>
      <c r="AX654">
        <v>31030157</v>
      </c>
      <c r="AY654">
        <v>1</v>
      </c>
      <c r="AZ654">
        <v>0</v>
      </c>
      <c r="BA654">
        <v>684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0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  <c r="CX654">
        <f>Y654*Source!I268</f>
        <v>0</v>
      </c>
      <c r="CY654">
        <f t="shared" si="127"/>
        <v>0</v>
      </c>
      <c r="CZ654">
        <f t="shared" si="128"/>
        <v>0</v>
      </c>
      <c r="DA654">
        <f t="shared" si="129"/>
        <v>6.17</v>
      </c>
      <c r="DB654">
        <f t="shared" si="130"/>
        <v>0</v>
      </c>
      <c r="DC654">
        <f t="shared" si="131"/>
        <v>0</v>
      </c>
    </row>
    <row r="655" spans="1:107">
      <c r="A655">
        <f>ROW(Source!A268)</f>
        <v>268</v>
      </c>
      <c r="B655">
        <v>31028412</v>
      </c>
      <c r="C655">
        <v>31030130</v>
      </c>
      <c r="D655">
        <v>29165029</v>
      </c>
      <c r="E655">
        <v>1</v>
      </c>
      <c r="F655">
        <v>1</v>
      </c>
      <c r="G655">
        <v>1</v>
      </c>
      <c r="H655">
        <v>3</v>
      </c>
      <c r="I655" t="s">
        <v>1112</v>
      </c>
      <c r="J655" t="s">
        <v>1113</v>
      </c>
      <c r="K655" t="s">
        <v>1114</v>
      </c>
      <c r="L655">
        <v>1346</v>
      </c>
      <c r="N655">
        <v>1009</v>
      </c>
      <c r="O655" t="s">
        <v>118</v>
      </c>
      <c r="P655" t="s">
        <v>118</v>
      </c>
      <c r="Q655">
        <v>1</v>
      </c>
      <c r="W655">
        <v>0</v>
      </c>
      <c r="X655">
        <v>-1042550941</v>
      </c>
      <c r="Y655">
        <v>0.25</v>
      </c>
      <c r="AA655">
        <v>72.81</v>
      </c>
      <c r="AB655">
        <v>0</v>
      </c>
      <c r="AC655">
        <v>0</v>
      </c>
      <c r="AD655">
        <v>0</v>
      </c>
      <c r="AE655">
        <v>11.8</v>
      </c>
      <c r="AF655">
        <v>0</v>
      </c>
      <c r="AG655">
        <v>0</v>
      </c>
      <c r="AH655">
        <v>0</v>
      </c>
      <c r="AI655">
        <v>6.17</v>
      </c>
      <c r="AJ655">
        <v>1</v>
      </c>
      <c r="AK655">
        <v>1</v>
      </c>
      <c r="AL655">
        <v>1</v>
      </c>
      <c r="AN655">
        <v>0</v>
      </c>
      <c r="AO655">
        <v>1</v>
      </c>
      <c r="AP655">
        <v>0</v>
      </c>
      <c r="AQ655">
        <v>0</v>
      </c>
      <c r="AR655">
        <v>0</v>
      </c>
      <c r="AS655" t="s">
        <v>6</v>
      </c>
      <c r="AT655">
        <v>0.25</v>
      </c>
      <c r="AU655" t="s">
        <v>6</v>
      </c>
      <c r="AV655">
        <v>0</v>
      </c>
      <c r="AW655">
        <v>2</v>
      </c>
      <c r="AX655">
        <v>31030158</v>
      </c>
      <c r="AY655">
        <v>1</v>
      </c>
      <c r="AZ655">
        <v>0</v>
      </c>
      <c r="BA655">
        <v>685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0</v>
      </c>
      <c r="BR655">
        <v>0</v>
      </c>
      <c r="BS655">
        <v>0</v>
      </c>
      <c r="BT655">
        <v>0</v>
      </c>
      <c r="BU655">
        <v>0</v>
      </c>
      <c r="BV655">
        <v>0</v>
      </c>
      <c r="BW655">
        <v>0</v>
      </c>
      <c r="CX655">
        <f>Y655*Source!I268</f>
        <v>0.9</v>
      </c>
      <c r="CY655">
        <f t="shared" si="127"/>
        <v>72.81</v>
      </c>
      <c r="CZ655">
        <f t="shared" si="128"/>
        <v>11.8</v>
      </c>
      <c r="DA655">
        <f t="shared" si="129"/>
        <v>6.17</v>
      </c>
      <c r="DB655">
        <f t="shared" si="130"/>
        <v>2.95</v>
      </c>
      <c r="DC655">
        <f t="shared" si="131"/>
        <v>0</v>
      </c>
    </row>
    <row r="656" spans="1:107">
      <c r="A656">
        <f>ROW(Source!A268)</f>
        <v>268</v>
      </c>
      <c r="B656">
        <v>31028412</v>
      </c>
      <c r="C656">
        <v>31030130</v>
      </c>
      <c r="D656">
        <v>29183872</v>
      </c>
      <c r="E656">
        <v>1</v>
      </c>
      <c r="F656">
        <v>1</v>
      </c>
      <c r="G656">
        <v>1</v>
      </c>
      <c r="H656">
        <v>3</v>
      </c>
      <c r="I656" t="s">
        <v>1115</v>
      </c>
      <c r="J656" t="s">
        <v>1116</v>
      </c>
      <c r="K656" t="s">
        <v>1117</v>
      </c>
      <c r="L656">
        <v>1346</v>
      </c>
      <c r="N656">
        <v>1009</v>
      </c>
      <c r="O656" t="s">
        <v>118</v>
      </c>
      <c r="P656" t="s">
        <v>118</v>
      </c>
      <c r="Q656">
        <v>1</v>
      </c>
      <c r="W656">
        <v>0</v>
      </c>
      <c r="X656">
        <v>1383920472</v>
      </c>
      <c r="Y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6.17</v>
      </c>
      <c r="AJ656">
        <v>1</v>
      </c>
      <c r="AK656">
        <v>1</v>
      </c>
      <c r="AL656">
        <v>1</v>
      </c>
      <c r="AN656">
        <v>1</v>
      </c>
      <c r="AO656">
        <v>0</v>
      </c>
      <c r="AP656">
        <v>0</v>
      </c>
      <c r="AQ656">
        <v>0</v>
      </c>
      <c r="AR656">
        <v>0</v>
      </c>
      <c r="AS656" t="s">
        <v>6</v>
      </c>
      <c r="AT656">
        <v>0</v>
      </c>
      <c r="AU656" t="s">
        <v>6</v>
      </c>
      <c r="AV656">
        <v>0</v>
      </c>
      <c r="AW656">
        <v>2</v>
      </c>
      <c r="AX656">
        <v>31030159</v>
      </c>
      <c r="AY656">
        <v>1</v>
      </c>
      <c r="AZ656">
        <v>0</v>
      </c>
      <c r="BA656">
        <v>686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0</v>
      </c>
      <c r="CX656">
        <f>Y656*Source!I268</f>
        <v>0</v>
      </c>
      <c r="CY656">
        <f t="shared" si="127"/>
        <v>0</v>
      </c>
      <c r="CZ656">
        <f t="shared" si="128"/>
        <v>0</v>
      </c>
      <c r="DA656">
        <f t="shared" si="129"/>
        <v>6.17</v>
      </c>
      <c r="DB656">
        <f t="shared" si="130"/>
        <v>0</v>
      </c>
      <c r="DC656">
        <f t="shared" si="131"/>
        <v>0</v>
      </c>
    </row>
    <row r="657" spans="1:107">
      <c r="A657">
        <f>ROW(Source!A268)</f>
        <v>268</v>
      </c>
      <c r="B657">
        <v>31028412</v>
      </c>
      <c r="C657">
        <v>31030130</v>
      </c>
      <c r="D657">
        <v>29185738</v>
      </c>
      <c r="E657">
        <v>1</v>
      </c>
      <c r="F657">
        <v>1</v>
      </c>
      <c r="G657">
        <v>1</v>
      </c>
      <c r="H657">
        <v>3</v>
      </c>
      <c r="I657" t="s">
        <v>1118</v>
      </c>
      <c r="J657" t="s">
        <v>1119</v>
      </c>
      <c r="K657" t="s">
        <v>1120</v>
      </c>
      <c r="L657">
        <v>1354</v>
      </c>
      <c r="N657">
        <v>1010</v>
      </c>
      <c r="O657" t="s">
        <v>704</v>
      </c>
      <c r="P657" t="s">
        <v>704</v>
      </c>
      <c r="Q657">
        <v>1</v>
      </c>
      <c r="W657">
        <v>0</v>
      </c>
      <c r="X657">
        <v>-1275877564</v>
      </c>
      <c r="Y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6.17</v>
      </c>
      <c r="AJ657">
        <v>1</v>
      </c>
      <c r="AK657">
        <v>1</v>
      </c>
      <c r="AL657">
        <v>1</v>
      </c>
      <c r="AN657">
        <v>1</v>
      </c>
      <c r="AO657">
        <v>0</v>
      </c>
      <c r="AP657">
        <v>0</v>
      </c>
      <c r="AQ657">
        <v>0</v>
      </c>
      <c r="AR657">
        <v>0</v>
      </c>
      <c r="AS657" t="s">
        <v>6</v>
      </c>
      <c r="AT657">
        <v>0</v>
      </c>
      <c r="AU657" t="s">
        <v>6</v>
      </c>
      <c r="AV657">
        <v>0</v>
      </c>
      <c r="AW657">
        <v>2</v>
      </c>
      <c r="AX657">
        <v>31030160</v>
      </c>
      <c r="AY657">
        <v>1</v>
      </c>
      <c r="AZ657">
        <v>0</v>
      </c>
      <c r="BA657">
        <v>687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0</v>
      </c>
      <c r="CX657">
        <f>Y657*Source!I268</f>
        <v>0</v>
      </c>
      <c r="CY657">
        <f t="shared" si="127"/>
        <v>0</v>
      </c>
      <c r="CZ657">
        <f t="shared" si="128"/>
        <v>0</v>
      </c>
      <c r="DA657">
        <f t="shared" si="129"/>
        <v>6.17</v>
      </c>
      <c r="DB657">
        <f t="shared" si="130"/>
        <v>0</v>
      </c>
      <c r="DC657">
        <f t="shared" si="131"/>
        <v>0</v>
      </c>
    </row>
    <row r="658" spans="1:107">
      <c r="A658">
        <f>ROW(Source!A268)</f>
        <v>268</v>
      </c>
      <c r="B658">
        <v>31028412</v>
      </c>
      <c r="C658">
        <v>31030130</v>
      </c>
      <c r="D658">
        <v>29194456</v>
      </c>
      <c r="E658">
        <v>1</v>
      </c>
      <c r="F658">
        <v>1</v>
      </c>
      <c r="G658">
        <v>1</v>
      </c>
      <c r="H658">
        <v>3</v>
      </c>
      <c r="I658" t="s">
        <v>1121</v>
      </c>
      <c r="J658" t="s">
        <v>1122</v>
      </c>
      <c r="K658" t="s">
        <v>1123</v>
      </c>
      <c r="L658">
        <v>1346</v>
      </c>
      <c r="N658">
        <v>1009</v>
      </c>
      <c r="O658" t="s">
        <v>118</v>
      </c>
      <c r="P658" t="s">
        <v>118</v>
      </c>
      <c r="Q658">
        <v>1</v>
      </c>
      <c r="W658">
        <v>0</v>
      </c>
      <c r="X658">
        <v>-1107002982</v>
      </c>
      <c r="Y658">
        <v>2.5000000000000001E-3</v>
      </c>
      <c r="AA658">
        <v>14.38</v>
      </c>
      <c r="AB658">
        <v>0</v>
      </c>
      <c r="AC658">
        <v>0</v>
      </c>
      <c r="AD658">
        <v>0</v>
      </c>
      <c r="AE658">
        <v>2.33</v>
      </c>
      <c r="AF658">
        <v>0</v>
      </c>
      <c r="AG658">
        <v>0</v>
      </c>
      <c r="AH658">
        <v>0</v>
      </c>
      <c r="AI658">
        <v>6.17</v>
      </c>
      <c r="AJ658">
        <v>1</v>
      </c>
      <c r="AK658">
        <v>1</v>
      </c>
      <c r="AL658">
        <v>1</v>
      </c>
      <c r="AN658">
        <v>0</v>
      </c>
      <c r="AO658">
        <v>1</v>
      </c>
      <c r="AP658">
        <v>0</v>
      </c>
      <c r="AQ658">
        <v>0</v>
      </c>
      <c r="AR658">
        <v>0</v>
      </c>
      <c r="AS658" t="s">
        <v>6</v>
      </c>
      <c r="AT658">
        <v>2.5000000000000001E-3</v>
      </c>
      <c r="AU658" t="s">
        <v>6</v>
      </c>
      <c r="AV658">
        <v>0</v>
      </c>
      <c r="AW658">
        <v>2</v>
      </c>
      <c r="AX658">
        <v>31030161</v>
      </c>
      <c r="AY658">
        <v>1</v>
      </c>
      <c r="AZ658">
        <v>0</v>
      </c>
      <c r="BA658">
        <v>688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CX658">
        <f>Y658*Source!I268</f>
        <v>9.0000000000000011E-3</v>
      </c>
      <c r="CY658">
        <f t="shared" si="127"/>
        <v>14.38</v>
      </c>
      <c r="CZ658">
        <f t="shared" si="128"/>
        <v>2.33</v>
      </c>
      <c r="DA658">
        <f t="shared" si="129"/>
        <v>6.17</v>
      </c>
      <c r="DB658">
        <f t="shared" si="130"/>
        <v>0.01</v>
      </c>
      <c r="DC658">
        <f t="shared" si="131"/>
        <v>0</v>
      </c>
    </row>
    <row r="659" spans="1:107">
      <c r="A659">
        <f>ROW(Source!A268)</f>
        <v>268</v>
      </c>
      <c r="B659">
        <v>31028412</v>
      </c>
      <c r="C659">
        <v>31030130</v>
      </c>
      <c r="D659">
        <v>29195171</v>
      </c>
      <c r="E659">
        <v>1</v>
      </c>
      <c r="F659">
        <v>1</v>
      </c>
      <c r="G659">
        <v>1</v>
      </c>
      <c r="H659">
        <v>3</v>
      </c>
      <c r="I659" t="s">
        <v>830</v>
      </c>
      <c r="J659" t="s">
        <v>831</v>
      </c>
      <c r="K659" t="s">
        <v>832</v>
      </c>
      <c r="L659">
        <v>1339</v>
      </c>
      <c r="N659">
        <v>1007</v>
      </c>
      <c r="O659" t="s">
        <v>109</v>
      </c>
      <c r="P659" t="s">
        <v>109</v>
      </c>
      <c r="Q659">
        <v>1</v>
      </c>
      <c r="W659">
        <v>0</v>
      </c>
      <c r="X659">
        <v>2050165204</v>
      </c>
      <c r="Y659">
        <v>0.74</v>
      </c>
      <c r="AA659">
        <v>15.12</v>
      </c>
      <c r="AB659">
        <v>0</v>
      </c>
      <c r="AC659">
        <v>0</v>
      </c>
      <c r="AD659">
        <v>0</v>
      </c>
      <c r="AE659">
        <v>2.4500000000000002</v>
      </c>
      <c r="AF659">
        <v>0</v>
      </c>
      <c r="AG659">
        <v>0</v>
      </c>
      <c r="AH659">
        <v>0</v>
      </c>
      <c r="AI659">
        <v>6.17</v>
      </c>
      <c r="AJ659">
        <v>1</v>
      </c>
      <c r="AK659">
        <v>1</v>
      </c>
      <c r="AL659">
        <v>1</v>
      </c>
      <c r="AN659">
        <v>0</v>
      </c>
      <c r="AO659">
        <v>1</v>
      </c>
      <c r="AP659">
        <v>0</v>
      </c>
      <c r="AQ659">
        <v>0</v>
      </c>
      <c r="AR659">
        <v>0</v>
      </c>
      <c r="AS659" t="s">
        <v>6</v>
      </c>
      <c r="AT659">
        <v>0.74</v>
      </c>
      <c r="AU659" t="s">
        <v>6</v>
      </c>
      <c r="AV659">
        <v>0</v>
      </c>
      <c r="AW659">
        <v>2</v>
      </c>
      <c r="AX659">
        <v>31030162</v>
      </c>
      <c r="AY659">
        <v>1</v>
      </c>
      <c r="AZ659">
        <v>0</v>
      </c>
      <c r="BA659">
        <v>689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CX659">
        <f>Y659*Source!I268</f>
        <v>2.6640000000000001</v>
      </c>
      <c r="CY659">
        <f t="shared" si="127"/>
        <v>15.12</v>
      </c>
      <c r="CZ659">
        <f t="shared" si="128"/>
        <v>2.4500000000000002</v>
      </c>
      <c r="DA659">
        <f t="shared" si="129"/>
        <v>6.17</v>
      </c>
      <c r="DB659">
        <f t="shared" si="130"/>
        <v>1.81</v>
      </c>
      <c r="DC659">
        <f t="shared" si="131"/>
        <v>0</v>
      </c>
    </row>
    <row r="660" spans="1:107">
      <c r="A660">
        <f>ROW(Source!A271)</f>
        <v>271</v>
      </c>
      <c r="B660">
        <v>31028412</v>
      </c>
      <c r="C660">
        <v>31030166</v>
      </c>
      <c r="D660">
        <v>29084597</v>
      </c>
      <c r="E660">
        <v>1</v>
      </c>
      <c r="F660">
        <v>1</v>
      </c>
      <c r="G660">
        <v>1</v>
      </c>
      <c r="H660">
        <v>1</v>
      </c>
      <c r="I660" t="s">
        <v>1092</v>
      </c>
      <c r="J660" t="s">
        <v>6</v>
      </c>
      <c r="K660" t="s">
        <v>1093</v>
      </c>
      <c r="L660">
        <v>1369</v>
      </c>
      <c r="N660">
        <v>1013</v>
      </c>
      <c r="O660" t="s">
        <v>773</v>
      </c>
      <c r="P660" t="s">
        <v>773</v>
      </c>
      <c r="Q660">
        <v>1</v>
      </c>
      <c r="W660">
        <v>0</v>
      </c>
      <c r="X660">
        <v>353187930</v>
      </c>
      <c r="Y660">
        <v>84.957399999999978</v>
      </c>
      <c r="AA660">
        <v>0</v>
      </c>
      <c r="AB660">
        <v>0</v>
      </c>
      <c r="AC660">
        <v>0</v>
      </c>
      <c r="AD660">
        <v>231.79</v>
      </c>
      <c r="AE660">
        <v>0</v>
      </c>
      <c r="AF660">
        <v>0</v>
      </c>
      <c r="AG660">
        <v>0</v>
      </c>
      <c r="AH660">
        <v>9.57</v>
      </c>
      <c r="AI660">
        <v>1</v>
      </c>
      <c r="AJ660">
        <v>1</v>
      </c>
      <c r="AK660">
        <v>1</v>
      </c>
      <c r="AL660">
        <v>24.22</v>
      </c>
      <c r="AN660">
        <v>0</v>
      </c>
      <c r="AO660">
        <v>1</v>
      </c>
      <c r="AP660">
        <v>1</v>
      </c>
      <c r="AQ660">
        <v>0</v>
      </c>
      <c r="AR660">
        <v>0</v>
      </c>
      <c r="AS660" t="s">
        <v>6</v>
      </c>
      <c r="AT660">
        <v>64.239999999999995</v>
      </c>
      <c r="AU660" t="s">
        <v>127</v>
      </c>
      <c r="AV660">
        <v>1</v>
      </c>
      <c r="AW660">
        <v>2</v>
      </c>
      <c r="AX660">
        <v>31030178</v>
      </c>
      <c r="AY660">
        <v>1</v>
      </c>
      <c r="AZ660">
        <v>0</v>
      </c>
      <c r="BA660">
        <v>691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CX660">
        <f>Y660*Source!I271</f>
        <v>152.92331999999996</v>
      </c>
      <c r="CY660">
        <f>AD660</f>
        <v>231.79</v>
      </c>
      <c r="CZ660">
        <f>AH660</f>
        <v>9.57</v>
      </c>
      <c r="DA660">
        <f>AL660</f>
        <v>24.22</v>
      </c>
      <c r="DB660">
        <f>ROUND((ROUND(AT660*CZ660,2)*ROUND((1.15*1.15),7)),6)</f>
        <v>813.04655000000002</v>
      </c>
      <c r="DC660">
        <f>ROUND((ROUND(AT660*AG660,2)*ROUND((1.15*1.15),7)),6)</f>
        <v>0</v>
      </c>
    </row>
    <row r="661" spans="1:107">
      <c r="A661">
        <f>ROW(Source!A271)</f>
        <v>271</v>
      </c>
      <c r="B661">
        <v>31028412</v>
      </c>
      <c r="C661">
        <v>31030166</v>
      </c>
      <c r="D661">
        <v>29084573</v>
      </c>
      <c r="E661">
        <v>1</v>
      </c>
      <c r="F661">
        <v>1</v>
      </c>
      <c r="G661">
        <v>1</v>
      </c>
      <c r="H661">
        <v>1</v>
      </c>
      <c r="I661" t="s">
        <v>774</v>
      </c>
      <c r="J661" t="s">
        <v>6</v>
      </c>
      <c r="K661" t="s">
        <v>775</v>
      </c>
      <c r="L661">
        <v>608254</v>
      </c>
      <c r="N661">
        <v>1013</v>
      </c>
      <c r="O661" t="s">
        <v>776</v>
      </c>
      <c r="P661" t="s">
        <v>776</v>
      </c>
      <c r="Q661">
        <v>1</v>
      </c>
      <c r="W661">
        <v>0</v>
      </c>
      <c r="X661">
        <v>95408949</v>
      </c>
      <c r="Y661">
        <v>2.8749999999999998E-2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1</v>
      </c>
      <c r="AJ661">
        <v>1</v>
      </c>
      <c r="AK661">
        <v>24.22</v>
      </c>
      <c r="AL661">
        <v>1</v>
      </c>
      <c r="AN661">
        <v>0</v>
      </c>
      <c r="AO661">
        <v>1</v>
      </c>
      <c r="AP661">
        <v>1</v>
      </c>
      <c r="AQ661">
        <v>0</v>
      </c>
      <c r="AR661">
        <v>0</v>
      </c>
      <c r="AS661" t="s">
        <v>6</v>
      </c>
      <c r="AT661">
        <v>0.02</v>
      </c>
      <c r="AU661" t="s">
        <v>126</v>
      </c>
      <c r="AV661">
        <v>2</v>
      </c>
      <c r="AW661">
        <v>2</v>
      </c>
      <c r="AX661">
        <v>31030179</v>
      </c>
      <c r="AY661">
        <v>1</v>
      </c>
      <c r="AZ661">
        <v>0</v>
      </c>
      <c r="BA661">
        <v>692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CX661">
        <f>Y661*Source!I271</f>
        <v>5.1749999999999997E-2</v>
      </c>
      <c r="CY661">
        <f>AD661</f>
        <v>0</v>
      </c>
      <c r="CZ661">
        <f>AH661</f>
        <v>0</v>
      </c>
      <c r="DA661">
        <f>AL661</f>
        <v>1</v>
      </c>
      <c r="DB661">
        <f>ROUND((ROUND(AT661*CZ661,2)*ROUND((1.25*1.15),7)),6)</f>
        <v>0</v>
      </c>
      <c r="DC661">
        <f>ROUND((ROUND(AT661*AG661,2)*ROUND((1.25*1.15),7)),6)</f>
        <v>0</v>
      </c>
    </row>
    <row r="662" spans="1:107">
      <c r="A662">
        <f>ROW(Source!A271)</f>
        <v>271</v>
      </c>
      <c r="B662">
        <v>31028412</v>
      </c>
      <c r="C662">
        <v>31030166</v>
      </c>
      <c r="D662">
        <v>29147520</v>
      </c>
      <c r="E662">
        <v>1</v>
      </c>
      <c r="F662">
        <v>1</v>
      </c>
      <c r="G662">
        <v>1</v>
      </c>
      <c r="H662">
        <v>2</v>
      </c>
      <c r="I662" t="s">
        <v>777</v>
      </c>
      <c r="J662" t="s">
        <v>778</v>
      </c>
      <c r="K662" t="s">
        <v>779</v>
      </c>
      <c r="L662">
        <v>1368</v>
      </c>
      <c r="N662">
        <v>1011</v>
      </c>
      <c r="O662" t="s">
        <v>780</v>
      </c>
      <c r="P662" t="s">
        <v>780</v>
      </c>
      <c r="Q662">
        <v>1</v>
      </c>
      <c r="W662">
        <v>0</v>
      </c>
      <c r="X662">
        <v>-2048414082</v>
      </c>
      <c r="Y662">
        <v>1.4374999999999999E-2</v>
      </c>
      <c r="AA662">
        <v>0</v>
      </c>
      <c r="AB662">
        <v>656.51</v>
      </c>
      <c r="AC662">
        <v>315.58999999999997</v>
      </c>
      <c r="AD662">
        <v>0</v>
      </c>
      <c r="AE662">
        <v>0</v>
      </c>
      <c r="AF662">
        <v>85.93</v>
      </c>
      <c r="AG662">
        <v>13.03</v>
      </c>
      <c r="AH662">
        <v>0</v>
      </c>
      <c r="AI662">
        <v>1</v>
      </c>
      <c r="AJ662">
        <v>7.64</v>
      </c>
      <c r="AK662">
        <v>24.22</v>
      </c>
      <c r="AL662">
        <v>1</v>
      </c>
      <c r="AN662">
        <v>0</v>
      </c>
      <c r="AO662">
        <v>1</v>
      </c>
      <c r="AP662">
        <v>1</v>
      </c>
      <c r="AQ662">
        <v>0</v>
      </c>
      <c r="AR662">
        <v>0</v>
      </c>
      <c r="AS662" t="s">
        <v>6</v>
      </c>
      <c r="AT662">
        <v>0.01</v>
      </c>
      <c r="AU662" t="s">
        <v>126</v>
      </c>
      <c r="AV662">
        <v>0</v>
      </c>
      <c r="AW662">
        <v>2</v>
      </c>
      <c r="AX662">
        <v>31030180</v>
      </c>
      <c r="AY662">
        <v>1</v>
      </c>
      <c r="AZ662">
        <v>0</v>
      </c>
      <c r="BA662">
        <v>693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CX662">
        <f>Y662*Source!I271</f>
        <v>2.5874999999999999E-2</v>
      </c>
      <c r="CY662">
        <f>AB662</f>
        <v>656.51</v>
      </c>
      <c r="CZ662">
        <f>AF662</f>
        <v>85.93</v>
      </c>
      <c r="DA662">
        <f>AJ662</f>
        <v>7.64</v>
      </c>
      <c r="DB662">
        <f>ROUND((ROUND(AT662*CZ662,2)*ROUND((1.25*1.15),7)),6)</f>
        <v>1.2362500000000001</v>
      </c>
      <c r="DC662">
        <f>ROUND((ROUND(AT662*AG662,2)*ROUND((1.25*1.15),7)),6)</f>
        <v>0.18687500000000001</v>
      </c>
    </row>
    <row r="663" spans="1:107">
      <c r="A663">
        <f>ROW(Source!A271)</f>
        <v>271</v>
      </c>
      <c r="B663">
        <v>31028412</v>
      </c>
      <c r="C663">
        <v>31030166</v>
      </c>
      <c r="D663">
        <v>29147601</v>
      </c>
      <c r="E663">
        <v>1</v>
      </c>
      <c r="F663">
        <v>1</v>
      </c>
      <c r="G663">
        <v>1</v>
      </c>
      <c r="H663">
        <v>2</v>
      </c>
      <c r="I663" t="s">
        <v>781</v>
      </c>
      <c r="J663" t="s">
        <v>782</v>
      </c>
      <c r="K663" t="s">
        <v>783</v>
      </c>
      <c r="L663">
        <v>1368</v>
      </c>
      <c r="N663">
        <v>1011</v>
      </c>
      <c r="O663" t="s">
        <v>780</v>
      </c>
      <c r="P663" t="s">
        <v>780</v>
      </c>
      <c r="Q663">
        <v>1</v>
      </c>
      <c r="W663">
        <v>0</v>
      </c>
      <c r="X663">
        <v>1170567961</v>
      </c>
      <c r="Y663">
        <v>1.4374999999999999E-2</v>
      </c>
      <c r="AA663">
        <v>0</v>
      </c>
      <c r="AB663">
        <v>828.56</v>
      </c>
      <c r="AC663">
        <v>315.58999999999997</v>
      </c>
      <c r="AD663">
        <v>0</v>
      </c>
      <c r="AE663">
        <v>0</v>
      </c>
      <c r="AF663">
        <v>108.45</v>
      </c>
      <c r="AG663">
        <v>13.03</v>
      </c>
      <c r="AH663">
        <v>0</v>
      </c>
      <c r="AI663">
        <v>1</v>
      </c>
      <c r="AJ663">
        <v>7.64</v>
      </c>
      <c r="AK663">
        <v>24.22</v>
      </c>
      <c r="AL663">
        <v>1</v>
      </c>
      <c r="AN663">
        <v>0</v>
      </c>
      <c r="AO663">
        <v>1</v>
      </c>
      <c r="AP663">
        <v>1</v>
      </c>
      <c r="AQ663">
        <v>0</v>
      </c>
      <c r="AR663">
        <v>0</v>
      </c>
      <c r="AS663" t="s">
        <v>6</v>
      </c>
      <c r="AT663">
        <v>0.01</v>
      </c>
      <c r="AU663" t="s">
        <v>126</v>
      </c>
      <c r="AV663">
        <v>0</v>
      </c>
      <c r="AW663">
        <v>2</v>
      </c>
      <c r="AX663">
        <v>31030181</v>
      </c>
      <c r="AY663">
        <v>1</v>
      </c>
      <c r="AZ663">
        <v>0</v>
      </c>
      <c r="BA663">
        <v>694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CX663">
        <f>Y663*Source!I271</f>
        <v>2.5874999999999999E-2</v>
      </c>
      <c r="CY663">
        <f>AB663</f>
        <v>828.56</v>
      </c>
      <c r="CZ663">
        <f>AF663</f>
        <v>108.45</v>
      </c>
      <c r="DA663">
        <f>AJ663</f>
        <v>7.64</v>
      </c>
      <c r="DB663">
        <f>ROUND((ROUND(AT663*CZ663,2)*ROUND((1.25*1.15),7)),6)</f>
        <v>1.5525</v>
      </c>
      <c r="DC663">
        <f>ROUND((ROUND(AT663*AG663,2)*ROUND((1.25*1.15),7)),6)</f>
        <v>0.18687500000000001</v>
      </c>
    </row>
    <row r="664" spans="1:107">
      <c r="A664">
        <f>ROW(Source!A271)</f>
        <v>271</v>
      </c>
      <c r="B664">
        <v>31028412</v>
      </c>
      <c r="C664">
        <v>31030166</v>
      </c>
      <c r="D664">
        <v>29149520</v>
      </c>
      <c r="E664">
        <v>1</v>
      </c>
      <c r="F664">
        <v>1</v>
      </c>
      <c r="G664">
        <v>1</v>
      </c>
      <c r="H664">
        <v>2</v>
      </c>
      <c r="I664" t="s">
        <v>790</v>
      </c>
      <c r="J664" t="s">
        <v>791</v>
      </c>
      <c r="K664" t="s">
        <v>792</v>
      </c>
      <c r="L664">
        <v>1368</v>
      </c>
      <c r="N664">
        <v>1011</v>
      </c>
      <c r="O664" t="s">
        <v>780</v>
      </c>
      <c r="P664" t="s">
        <v>780</v>
      </c>
      <c r="Q664">
        <v>1</v>
      </c>
      <c r="W664">
        <v>0</v>
      </c>
      <c r="X664">
        <v>-1931461795</v>
      </c>
      <c r="Y664">
        <v>1.4374999999999999E-2</v>
      </c>
      <c r="AA664">
        <v>0</v>
      </c>
      <c r="AB664">
        <v>699.98</v>
      </c>
      <c r="AC664">
        <v>0</v>
      </c>
      <c r="AD664">
        <v>0</v>
      </c>
      <c r="AE664">
        <v>0</v>
      </c>
      <c r="AF664">
        <v>91.62</v>
      </c>
      <c r="AG664">
        <v>0</v>
      </c>
      <c r="AH664">
        <v>0</v>
      </c>
      <c r="AI664">
        <v>1</v>
      </c>
      <c r="AJ664">
        <v>7.64</v>
      </c>
      <c r="AK664">
        <v>24.22</v>
      </c>
      <c r="AL664">
        <v>1</v>
      </c>
      <c r="AN664">
        <v>0</v>
      </c>
      <c r="AO664">
        <v>1</v>
      </c>
      <c r="AP664">
        <v>1</v>
      </c>
      <c r="AQ664">
        <v>0</v>
      </c>
      <c r="AR664">
        <v>0</v>
      </c>
      <c r="AS664" t="s">
        <v>6</v>
      </c>
      <c r="AT664">
        <v>0.01</v>
      </c>
      <c r="AU664" t="s">
        <v>126</v>
      </c>
      <c r="AV664">
        <v>0</v>
      </c>
      <c r="AW664">
        <v>2</v>
      </c>
      <c r="AX664">
        <v>31030182</v>
      </c>
      <c r="AY664">
        <v>1</v>
      </c>
      <c r="AZ664">
        <v>0</v>
      </c>
      <c r="BA664">
        <v>695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CX664">
        <f>Y664*Source!I271</f>
        <v>2.5874999999999999E-2</v>
      </c>
      <c r="CY664">
        <f>AB664</f>
        <v>699.98</v>
      </c>
      <c r="CZ664">
        <f>AF664</f>
        <v>91.62</v>
      </c>
      <c r="DA664">
        <f>AJ664</f>
        <v>7.64</v>
      </c>
      <c r="DB664">
        <f>ROUND((ROUND(AT664*CZ664,2)*ROUND((1.25*1.15),7)),6)</f>
        <v>1.3225</v>
      </c>
      <c r="DC664">
        <f>ROUND((ROUND(AT664*AG664,2)*ROUND((1.25*1.15),7)),6)</f>
        <v>0</v>
      </c>
    </row>
    <row r="665" spans="1:107">
      <c r="A665">
        <f>ROW(Source!A271)</f>
        <v>271</v>
      </c>
      <c r="B665">
        <v>31028412</v>
      </c>
      <c r="C665">
        <v>31030166</v>
      </c>
      <c r="D665">
        <v>29152667</v>
      </c>
      <c r="E665">
        <v>1</v>
      </c>
      <c r="F665">
        <v>1</v>
      </c>
      <c r="G665">
        <v>1</v>
      </c>
      <c r="H665">
        <v>3</v>
      </c>
      <c r="I665" t="s">
        <v>1124</v>
      </c>
      <c r="J665" t="s">
        <v>1125</v>
      </c>
      <c r="K665" t="s">
        <v>1126</v>
      </c>
      <c r="L665">
        <v>1346</v>
      </c>
      <c r="N665">
        <v>1009</v>
      </c>
      <c r="O665" t="s">
        <v>118</v>
      </c>
      <c r="P665" t="s">
        <v>118</v>
      </c>
      <c r="Q665">
        <v>1</v>
      </c>
      <c r="W665">
        <v>0</v>
      </c>
      <c r="X665">
        <v>1454443168</v>
      </c>
      <c r="Y665">
        <v>1.5</v>
      </c>
      <c r="AA665">
        <v>113.47</v>
      </c>
      <c r="AB665">
        <v>0</v>
      </c>
      <c r="AC665">
        <v>0</v>
      </c>
      <c r="AD665">
        <v>0</v>
      </c>
      <c r="AE665">
        <v>18.39</v>
      </c>
      <c r="AF665">
        <v>0</v>
      </c>
      <c r="AG665">
        <v>0</v>
      </c>
      <c r="AH665">
        <v>0</v>
      </c>
      <c r="AI665">
        <v>6.17</v>
      </c>
      <c r="AJ665">
        <v>1</v>
      </c>
      <c r="AK665">
        <v>1</v>
      </c>
      <c r="AL665">
        <v>1</v>
      </c>
      <c r="AN665">
        <v>0</v>
      </c>
      <c r="AO665">
        <v>1</v>
      </c>
      <c r="AP665">
        <v>0</v>
      </c>
      <c r="AQ665">
        <v>0</v>
      </c>
      <c r="AR665">
        <v>0</v>
      </c>
      <c r="AS665" t="s">
        <v>6</v>
      </c>
      <c r="AT665">
        <v>1.5</v>
      </c>
      <c r="AU665" t="s">
        <v>6</v>
      </c>
      <c r="AV665">
        <v>0</v>
      </c>
      <c r="AW665">
        <v>2</v>
      </c>
      <c r="AX665">
        <v>31030183</v>
      </c>
      <c r="AY665">
        <v>1</v>
      </c>
      <c r="AZ665">
        <v>0</v>
      </c>
      <c r="BA665">
        <v>696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0</v>
      </c>
      <c r="CX665">
        <f>Y665*Source!I271</f>
        <v>2.7</v>
      </c>
      <c r="CY665">
        <f t="shared" ref="CY665:CY670" si="132">AA665</f>
        <v>113.47</v>
      </c>
      <c r="CZ665">
        <f t="shared" ref="CZ665:CZ670" si="133">AE665</f>
        <v>18.39</v>
      </c>
      <c r="DA665">
        <f t="shared" ref="DA665:DA670" si="134">AI665</f>
        <v>6.17</v>
      </c>
      <c r="DB665">
        <f t="shared" ref="DB665:DB670" si="135">ROUND(ROUND(AT665*CZ665,2),6)</f>
        <v>27.59</v>
      </c>
      <c r="DC665">
        <f t="shared" ref="DC665:DC670" si="136">ROUND(ROUND(AT665*AG665,2),6)</f>
        <v>0</v>
      </c>
    </row>
    <row r="666" spans="1:107">
      <c r="A666">
        <f>ROW(Source!A271)</f>
        <v>271</v>
      </c>
      <c r="B666">
        <v>31028412</v>
      </c>
      <c r="C666">
        <v>31030166</v>
      </c>
      <c r="D666">
        <v>29152803</v>
      </c>
      <c r="E666">
        <v>1</v>
      </c>
      <c r="F666">
        <v>1</v>
      </c>
      <c r="G666">
        <v>1</v>
      </c>
      <c r="H666">
        <v>3</v>
      </c>
      <c r="I666" t="s">
        <v>1127</v>
      </c>
      <c r="J666" t="s">
        <v>1128</v>
      </c>
      <c r="K666" t="s">
        <v>1129</v>
      </c>
      <c r="L666">
        <v>1348</v>
      </c>
      <c r="N666">
        <v>1009</v>
      </c>
      <c r="O666" t="s">
        <v>137</v>
      </c>
      <c r="P666" t="s">
        <v>137</v>
      </c>
      <c r="Q666">
        <v>1000</v>
      </c>
      <c r="W666">
        <v>0</v>
      </c>
      <c r="X666">
        <v>-715271261</v>
      </c>
      <c r="Y666">
        <v>1.1999999999999999E-3</v>
      </c>
      <c r="AA666">
        <v>99443.74</v>
      </c>
      <c r="AB666">
        <v>0</v>
      </c>
      <c r="AC666">
        <v>0</v>
      </c>
      <c r="AD666">
        <v>0</v>
      </c>
      <c r="AE666">
        <v>16117.3</v>
      </c>
      <c r="AF666">
        <v>0</v>
      </c>
      <c r="AG666">
        <v>0</v>
      </c>
      <c r="AH666">
        <v>0</v>
      </c>
      <c r="AI666">
        <v>6.17</v>
      </c>
      <c r="AJ666">
        <v>1</v>
      </c>
      <c r="AK666">
        <v>1</v>
      </c>
      <c r="AL666">
        <v>1</v>
      </c>
      <c r="AN666">
        <v>0</v>
      </c>
      <c r="AO666">
        <v>1</v>
      </c>
      <c r="AP666">
        <v>0</v>
      </c>
      <c r="AQ666">
        <v>0</v>
      </c>
      <c r="AR666">
        <v>0</v>
      </c>
      <c r="AS666" t="s">
        <v>6</v>
      </c>
      <c r="AT666">
        <v>1.1999999999999999E-3</v>
      </c>
      <c r="AU666" t="s">
        <v>6</v>
      </c>
      <c r="AV666">
        <v>0</v>
      </c>
      <c r="AW666">
        <v>2</v>
      </c>
      <c r="AX666">
        <v>31030184</v>
      </c>
      <c r="AY666">
        <v>1</v>
      </c>
      <c r="AZ666">
        <v>0</v>
      </c>
      <c r="BA666">
        <v>697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0</v>
      </c>
      <c r="BW666">
        <v>0</v>
      </c>
      <c r="CX666">
        <f>Y666*Source!I271</f>
        <v>2.16E-3</v>
      </c>
      <c r="CY666">
        <f t="shared" si="132"/>
        <v>99443.74</v>
      </c>
      <c r="CZ666">
        <f t="shared" si="133"/>
        <v>16117.3</v>
      </c>
      <c r="DA666">
        <f t="shared" si="134"/>
        <v>6.17</v>
      </c>
      <c r="DB666">
        <f t="shared" si="135"/>
        <v>19.34</v>
      </c>
      <c r="DC666">
        <f t="shared" si="136"/>
        <v>0</v>
      </c>
    </row>
    <row r="667" spans="1:107">
      <c r="A667">
        <f>ROW(Source!A271)</f>
        <v>271</v>
      </c>
      <c r="B667">
        <v>31028412</v>
      </c>
      <c r="C667">
        <v>31030166</v>
      </c>
      <c r="D667">
        <v>29183872</v>
      </c>
      <c r="E667">
        <v>1</v>
      </c>
      <c r="F667">
        <v>1</v>
      </c>
      <c r="G667">
        <v>1</v>
      </c>
      <c r="H667">
        <v>3</v>
      </c>
      <c r="I667" t="s">
        <v>1115</v>
      </c>
      <c r="J667" t="s">
        <v>1116</v>
      </c>
      <c r="K667" t="s">
        <v>1117</v>
      </c>
      <c r="L667">
        <v>1346</v>
      </c>
      <c r="N667">
        <v>1009</v>
      </c>
      <c r="O667" t="s">
        <v>118</v>
      </c>
      <c r="P667" t="s">
        <v>118</v>
      </c>
      <c r="Q667">
        <v>1</v>
      </c>
      <c r="W667">
        <v>0</v>
      </c>
      <c r="X667">
        <v>1383920472</v>
      </c>
      <c r="Y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6.17</v>
      </c>
      <c r="AJ667">
        <v>1</v>
      </c>
      <c r="AK667">
        <v>1</v>
      </c>
      <c r="AL667">
        <v>1</v>
      </c>
      <c r="AN667">
        <v>1</v>
      </c>
      <c r="AO667">
        <v>0</v>
      </c>
      <c r="AP667">
        <v>0</v>
      </c>
      <c r="AQ667">
        <v>0</v>
      </c>
      <c r="AR667">
        <v>0</v>
      </c>
      <c r="AS667" t="s">
        <v>6</v>
      </c>
      <c r="AT667">
        <v>0</v>
      </c>
      <c r="AU667" t="s">
        <v>6</v>
      </c>
      <c r="AV667">
        <v>0</v>
      </c>
      <c r="AW667">
        <v>2</v>
      </c>
      <c r="AX667">
        <v>31030185</v>
      </c>
      <c r="AY667">
        <v>1</v>
      </c>
      <c r="AZ667">
        <v>0</v>
      </c>
      <c r="BA667">
        <v>698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0</v>
      </c>
      <c r="CX667">
        <f>Y667*Source!I271</f>
        <v>0</v>
      </c>
      <c r="CY667">
        <f t="shared" si="132"/>
        <v>0</v>
      </c>
      <c r="CZ667">
        <f t="shared" si="133"/>
        <v>0</v>
      </c>
      <c r="DA667">
        <f t="shared" si="134"/>
        <v>6.17</v>
      </c>
      <c r="DB667">
        <f t="shared" si="135"/>
        <v>0</v>
      </c>
      <c r="DC667">
        <f t="shared" si="136"/>
        <v>0</v>
      </c>
    </row>
    <row r="668" spans="1:107">
      <c r="A668">
        <f>ROW(Source!A271)</f>
        <v>271</v>
      </c>
      <c r="B668">
        <v>31028412</v>
      </c>
      <c r="C668">
        <v>31030166</v>
      </c>
      <c r="D668">
        <v>29185676</v>
      </c>
      <c r="E668">
        <v>1</v>
      </c>
      <c r="F668">
        <v>1</v>
      </c>
      <c r="G668">
        <v>1</v>
      </c>
      <c r="H668">
        <v>3</v>
      </c>
      <c r="I668" t="s">
        <v>1130</v>
      </c>
      <c r="J668" t="s">
        <v>1131</v>
      </c>
      <c r="K668" t="s">
        <v>1132</v>
      </c>
      <c r="L668">
        <v>1301</v>
      </c>
      <c r="N668">
        <v>1003</v>
      </c>
      <c r="O668" t="s">
        <v>315</v>
      </c>
      <c r="P668" t="s">
        <v>315</v>
      </c>
      <c r="Q668">
        <v>1</v>
      </c>
      <c r="W668">
        <v>0</v>
      </c>
      <c r="X668">
        <v>398670281</v>
      </c>
      <c r="Y668">
        <v>99.8</v>
      </c>
      <c r="AA668">
        <v>242.73</v>
      </c>
      <c r="AB668">
        <v>0</v>
      </c>
      <c r="AC668">
        <v>0</v>
      </c>
      <c r="AD668">
        <v>0</v>
      </c>
      <c r="AE668">
        <v>39.340000000000003</v>
      </c>
      <c r="AF668">
        <v>0</v>
      </c>
      <c r="AG668">
        <v>0</v>
      </c>
      <c r="AH668">
        <v>0</v>
      </c>
      <c r="AI668">
        <v>6.17</v>
      </c>
      <c r="AJ668">
        <v>1</v>
      </c>
      <c r="AK668">
        <v>1</v>
      </c>
      <c r="AL668">
        <v>1</v>
      </c>
      <c r="AN668">
        <v>0</v>
      </c>
      <c r="AO668">
        <v>1</v>
      </c>
      <c r="AP668">
        <v>0</v>
      </c>
      <c r="AQ668">
        <v>0</v>
      </c>
      <c r="AR668">
        <v>0</v>
      </c>
      <c r="AS668" t="s">
        <v>6</v>
      </c>
      <c r="AT668">
        <v>99.8</v>
      </c>
      <c r="AU668" t="s">
        <v>6</v>
      </c>
      <c r="AV668">
        <v>0</v>
      </c>
      <c r="AW668">
        <v>2</v>
      </c>
      <c r="AX668">
        <v>31030186</v>
      </c>
      <c r="AY668">
        <v>1</v>
      </c>
      <c r="AZ668">
        <v>0</v>
      </c>
      <c r="BA668">
        <v>699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CX668">
        <f>Y668*Source!I271</f>
        <v>179.64</v>
      </c>
      <c r="CY668">
        <f t="shared" si="132"/>
        <v>242.73</v>
      </c>
      <c r="CZ668">
        <f t="shared" si="133"/>
        <v>39.340000000000003</v>
      </c>
      <c r="DA668">
        <f t="shared" si="134"/>
        <v>6.17</v>
      </c>
      <c r="DB668">
        <f t="shared" si="135"/>
        <v>3926.13</v>
      </c>
      <c r="DC668">
        <f t="shared" si="136"/>
        <v>0</v>
      </c>
    </row>
    <row r="669" spans="1:107">
      <c r="A669">
        <f>ROW(Source!A271)</f>
        <v>271</v>
      </c>
      <c r="B669">
        <v>31028412</v>
      </c>
      <c r="C669">
        <v>31030166</v>
      </c>
      <c r="D669">
        <v>29185708</v>
      </c>
      <c r="E669">
        <v>1</v>
      </c>
      <c r="F669">
        <v>1</v>
      </c>
      <c r="G669">
        <v>1</v>
      </c>
      <c r="H669">
        <v>3</v>
      </c>
      <c r="I669" t="s">
        <v>1133</v>
      </c>
      <c r="J669" t="s">
        <v>1134</v>
      </c>
      <c r="K669" t="s">
        <v>1135</v>
      </c>
      <c r="L669">
        <v>1354</v>
      </c>
      <c r="N669">
        <v>1010</v>
      </c>
      <c r="O669" t="s">
        <v>704</v>
      </c>
      <c r="P669" t="s">
        <v>704</v>
      </c>
      <c r="Q669">
        <v>1</v>
      </c>
      <c r="W669">
        <v>0</v>
      </c>
      <c r="X669">
        <v>1862702868</v>
      </c>
      <c r="Y669">
        <v>0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6.17</v>
      </c>
      <c r="AJ669">
        <v>1</v>
      </c>
      <c r="AK669">
        <v>1</v>
      </c>
      <c r="AL669">
        <v>1</v>
      </c>
      <c r="AN669">
        <v>1</v>
      </c>
      <c r="AO669">
        <v>0</v>
      </c>
      <c r="AP669">
        <v>0</v>
      </c>
      <c r="AQ669">
        <v>0</v>
      </c>
      <c r="AR669">
        <v>0</v>
      </c>
      <c r="AS669" t="s">
        <v>6</v>
      </c>
      <c r="AT669">
        <v>0</v>
      </c>
      <c r="AU669" t="s">
        <v>6</v>
      </c>
      <c r="AV669">
        <v>0</v>
      </c>
      <c r="AW669">
        <v>2</v>
      </c>
      <c r="AX669">
        <v>31030187</v>
      </c>
      <c r="AY669">
        <v>1</v>
      </c>
      <c r="AZ669">
        <v>0</v>
      </c>
      <c r="BA669">
        <v>700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CX669">
        <f>Y669*Source!I271</f>
        <v>0</v>
      </c>
      <c r="CY669">
        <f t="shared" si="132"/>
        <v>0</v>
      </c>
      <c r="CZ669">
        <f t="shared" si="133"/>
        <v>0</v>
      </c>
      <c r="DA669">
        <f t="shared" si="134"/>
        <v>6.17</v>
      </c>
      <c r="DB669">
        <f t="shared" si="135"/>
        <v>0</v>
      </c>
      <c r="DC669">
        <f t="shared" si="136"/>
        <v>0</v>
      </c>
    </row>
    <row r="670" spans="1:107">
      <c r="A670">
        <f>ROW(Source!A271)</f>
        <v>271</v>
      </c>
      <c r="B670">
        <v>31028412</v>
      </c>
      <c r="C670">
        <v>31030166</v>
      </c>
      <c r="D670">
        <v>29195171</v>
      </c>
      <c r="E670">
        <v>1</v>
      </c>
      <c r="F670">
        <v>1</v>
      </c>
      <c r="G670">
        <v>1</v>
      </c>
      <c r="H670">
        <v>3</v>
      </c>
      <c r="I670" t="s">
        <v>830</v>
      </c>
      <c r="J670" t="s">
        <v>831</v>
      </c>
      <c r="K670" t="s">
        <v>832</v>
      </c>
      <c r="L670">
        <v>1339</v>
      </c>
      <c r="N670">
        <v>1007</v>
      </c>
      <c r="O670" t="s">
        <v>109</v>
      </c>
      <c r="P670" t="s">
        <v>109</v>
      </c>
      <c r="Q670">
        <v>1</v>
      </c>
      <c r="W670">
        <v>0</v>
      </c>
      <c r="X670">
        <v>2050165204</v>
      </c>
      <c r="Y670">
        <v>0.39</v>
      </c>
      <c r="AA670">
        <v>15.12</v>
      </c>
      <c r="AB670">
        <v>0</v>
      </c>
      <c r="AC670">
        <v>0</v>
      </c>
      <c r="AD670">
        <v>0</v>
      </c>
      <c r="AE670">
        <v>2.4500000000000002</v>
      </c>
      <c r="AF670">
        <v>0</v>
      </c>
      <c r="AG670">
        <v>0</v>
      </c>
      <c r="AH670">
        <v>0</v>
      </c>
      <c r="AI670">
        <v>6.17</v>
      </c>
      <c r="AJ670">
        <v>1</v>
      </c>
      <c r="AK670">
        <v>1</v>
      </c>
      <c r="AL670">
        <v>1</v>
      </c>
      <c r="AN670">
        <v>0</v>
      </c>
      <c r="AO670">
        <v>1</v>
      </c>
      <c r="AP670">
        <v>0</v>
      </c>
      <c r="AQ670">
        <v>0</v>
      </c>
      <c r="AR670">
        <v>0</v>
      </c>
      <c r="AS670" t="s">
        <v>6</v>
      </c>
      <c r="AT670">
        <v>0.39</v>
      </c>
      <c r="AU670" t="s">
        <v>6</v>
      </c>
      <c r="AV670">
        <v>0</v>
      </c>
      <c r="AW670">
        <v>2</v>
      </c>
      <c r="AX670">
        <v>31030188</v>
      </c>
      <c r="AY670">
        <v>1</v>
      </c>
      <c r="AZ670">
        <v>0</v>
      </c>
      <c r="BA670">
        <v>701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CX670">
        <f>Y670*Source!I271</f>
        <v>0.70200000000000007</v>
      </c>
      <c r="CY670">
        <f t="shared" si="132"/>
        <v>15.12</v>
      </c>
      <c r="CZ670">
        <f t="shared" si="133"/>
        <v>2.4500000000000002</v>
      </c>
      <c r="DA670">
        <f t="shared" si="134"/>
        <v>6.17</v>
      </c>
      <c r="DB670">
        <f t="shared" si="135"/>
        <v>0.96</v>
      </c>
      <c r="DC670">
        <f t="shared" si="136"/>
        <v>0</v>
      </c>
    </row>
    <row r="671" spans="1:107">
      <c r="A671">
        <f>ROW(Source!A272)</f>
        <v>272</v>
      </c>
      <c r="B671">
        <v>31028412</v>
      </c>
      <c r="C671">
        <v>31030189</v>
      </c>
      <c r="D671">
        <v>29084597</v>
      </c>
      <c r="E671">
        <v>1</v>
      </c>
      <c r="F671">
        <v>1</v>
      </c>
      <c r="G671">
        <v>1</v>
      </c>
      <c r="H671">
        <v>1</v>
      </c>
      <c r="I671" t="s">
        <v>1092</v>
      </c>
      <c r="J671" t="s">
        <v>6</v>
      </c>
      <c r="K671" t="s">
        <v>1093</v>
      </c>
      <c r="L671">
        <v>1369</v>
      </c>
      <c r="N671">
        <v>1013</v>
      </c>
      <c r="O671" t="s">
        <v>773</v>
      </c>
      <c r="P671" t="s">
        <v>773</v>
      </c>
      <c r="Q671">
        <v>1</v>
      </c>
      <c r="W671">
        <v>0</v>
      </c>
      <c r="X671">
        <v>353187930</v>
      </c>
      <c r="Y671">
        <v>81.46599999999998</v>
      </c>
      <c r="AA671">
        <v>0</v>
      </c>
      <c r="AB671">
        <v>0</v>
      </c>
      <c r="AC671">
        <v>0</v>
      </c>
      <c r="AD671">
        <v>231.79</v>
      </c>
      <c r="AE671">
        <v>0</v>
      </c>
      <c r="AF671">
        <v>0</v>
      </c>
      <c r="AG671">
        <v>0</v>
      </c>
      <c r="AH671">
        <v>9.57</v>
      </c>
      <c r="AI671">
        <v>1</v>
      </c>
      <c r="AJ671">
        <v>1</v>
      </c>
      <c r="AK671">
        <v>1</v>
      </c>
      <c r="AL671">
        <v>24.22</v>
      </c>
      <c r="AN671">
        <v>0</v>
      </c>
      <c r="AO671">
        <v>1</v>
      </c>
      <c r="AP671">
        <v>1</v>
      </c>
      <c r="AQ671">
        <v>0</v>
      </c>
      <c r="AR671">
        <v>0</v>
      </c>
      <c r="AS671" t="s">
        <v>6</v>
      </c>
      <c r="AT671">
        <v>61.6</v>
      </c>
      <c r="AU671" t="s">
        <v>127</v>
      </c>
      <c r="AV671">
        <v>1</v>
      </c>
      <c r="AW671">
        <v>2</v>
      </c>
      <c r="AX671">
        <v>31030201</v>
      </c>
      <c r="AY671">
        <v>1</v>
      </c>
      <c r="AZ671">
        <v>0</v>
      </c>
      <c r="BA671">
        <v>702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0</v>
      </c>
      <c r="BT671">
        <v>0</v>
      </c>
      <c r="BU671">
        <v>0</v>
      </c>
      <c r="BV671">
        <v>0</v>
      </c>
      <c r="BW671">
        <v>0</v>
      </c>
      <c r="CX671">
        <f>Y671*Source!I272</f>
        <v>162.93199999999996</v>
      </c>
      <c r="CY671">
        <f>AD671</f>
        <v>231.79</v>
      </c>
      <c r="CZ671">
        <f>AH671</f>
        <v>9.57</v>
      </c>
      <c r="DA671">
        <f>AL671</f>
        <v>24.22</v>
      </c>
      <c r="DB671">
        <f>ROUND((ROUND(AT671*CZ671,2)*ROUND((1.15*1.15),7)),6)</f>
        <v>779.62697500000002</v>
      </c>
      <c r="DC671">
        <f>ROUND((ROUND(AT671*AG671,2)*ROUND((1.15*1.15),7)),6)</f>
        <v>0</v>
      </c>
    </row>
    <row r="672" spans="1:107">
      <c r="A672">
        <f>ROW(Source!A272)</f>
        <v>272</v>
      </c>
      <c r="B672">
        <v>31028412</v>
      </c>
      <c r="C672">
        <v>31030189</v>
      </c>
      <c r="D672">
        <v>29084573</v>
      </c>
      <c r="E672">
        <v>1</v>
      </c>
      <c r="F672">
        <v>1</v>
      </c>
      <c r="G672">
        <v>1</v>
      </c>
      <c r="H672">
        <v>1</v>
      </c>
      <c r="I672" t="s">
        <v>774</v>
      </c>
      <c r="J672" t="s">
        <v>6</v>
      </c>
      <c r="K672" t="s">
        <v>775</v>
      </c>
      <c r="L672">
        <v>608254</v>
      </c>
      <c r="N672">
        <v>1013</v>
      </c>
      <c r="O672" t="s">
        <v>776</v>
      </c>
      <c r="P672" t="s">
        <v>776</v>
      </c>
      <c r="Q672">
        <v>1</v>
      </c>
      <c r="W672">
        <v>0</v>
      </c>
      <c r="X672">
        <v>95408949</v>
      </c>
      <c r="Y672">
        <v>7.1874999999999994E-2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1</v>
      </c>
      <c r="AJ672">
        <v>1</v>
      </c>
      <c r="AK672">
        <v>24.22</v>
      </c>
      <c r="AL672">
        <v>1</v>
      </c>
      <c r="AN672">
        <v>0</v>
      </c>
      <c r="AO672">
        <v>1</v>
      </c>
      <c r="AP672">
        <v>1</v>
      </c>
      <c r="AQ672">
        <v>0</v>
      </c>
      <c r="AR672">
        <v>0</v>
      </c>
      <c r="AS672" t="s">
        <v>6</v>
      </c>
      <c r="AT672">
        <v>0.05</v>
      </c>
      <c r="AU672" t="s">
        <v>126</v>
      </c>
      <c r="AV672">
        <v>2</v>
      </c>
      <c r="AW672">
        <v>2</v>
      </c>
      <c r="AX672">
        <v>31030202</v>
      </c>
      <c r="AY672">
        <v>1</v>
      </c>
      <c r="AZ672">
        <v>0</v>
      </c>
      <c r="BA672">
        <v>703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0</v>
      </c>
      <c r="BS672">
        <v>0</v>
      </c>
      <c r="BT672">
        <v>0</v>
      </c>
      <c r="BU672">
        <v>0</v>
      </c>
      <c r="BV672">
        <v>0</v>
      </c>
      <c r="BW672">
        <v>0</v>
      </c>
      <c r="CX672">
        <f>Y672*Source!I272</f>
        <v>0.14374999999999999</v>
      </c>
      <c r="CY672">
        <f>AD672</f>
        <v>0</v>
      </c>
      <c r="CZ672">
        <f>AH672</f>
        <v>0</v>
      </c>
      <c r="DA672">
        <f>AL672</f>
        <v>1</v>
      </c>
      <c r="DB672">
        <f>ROUND((ROUND(AT672*CZ672,2)*ROUND((1.25*1.15),7)),6)</f>
        <v>0</v>
      </c>
      <c r="DC672">
        <f>ROUND((ROUND(AT672*AG672,2)*ROUND((1.25*1.15),7)),6)</f>
        <v>0</v>
      </c>
    </row>
    <row r="673" spans="1:107">
      <c r="A673">
        <f>ROW(Source!A272)</f>
        <v>272</v>
      </c>
      <c r="B673">
        <v>31028412</v>
      </c>
      <c r="C673">
        <v>31030189</v>
      </c>
      <c r="D673">
        <v>29147520</v>
      </c>
      <c r="E673">
        <v>1</v>
      </c>
      <c r="F673">
        <v>1</v>
      </c>
      <c r="G673">
        <v>1</v>
      </c>
      <c r="H673">
        <v>2</v>
      </c>
      <c r="I673" t="s">
        <v>777</v>
      </c>
      <c r="J673" t="s">
        <v>778</v>
      </c>
      <c r="K673" t="s">
        <v>779</v>
      </c>
      <c r="L673">
        <v>1368</v>
      </c>
      <c r="N673">
        <v>1011</v>
      </c>
      <c r="O673" t="s">
        <v>780</v>
      </c>
      <c r="P673" t="s">
        <v>780</v>
      </c>
      <c r="Q673">
        <v>1</v>
      </c>
      <c r="W673">
        <v>0</v>
      </c>
      <c r="X673">
        <v>-2048414082</v>
      </c>
      <c r="Y673">
        <v>4.3124999999999997E-2</v>
      </c>
      <c r="AA673">
        <v>0</v>
      </c>
      <c r="AB673">
        <v>656.51</v>
      </c>
      <c r="AC673">
        <v>315.58999999999997</v>
      </c>
      <c r="AD673">
        <v>0</v>
      </c>
      <c r="AE673">
        <v>0</v>
      </c>
      <c r="AF673">
        <v>85.93</v>
      </c>
      <c r="AG673">
        <v>13.03</v>
      </c>
      <c r="AH673">
        <v>0</v>
      </c>
      <c r="AI673">
        <v>1</v>
      </c>
      <c r="AJ673">
        <v>7.64</v>
      </c>
      <c r="AK673">
        <v>24.22</v>
      </c>
      <c r="AL673">
        <v>1</v>
      </c>
      <c r="AN673">
        <v>0</v>
      </c>
      <c r="AO673">
        <v>1</v>
      </c>
      <c r="AP673">
        <v>1</v>
      </c>
      <c r="AQ673">
        <v>0</v>
      </c>
      <c r="AR673">
        <v>0</v>
      </c>
      <c r="AS673" t="s">
        <v>6</v>
      </c>
      <c r="AT673">
        <v>0.03</v>
      </c>
      <c r="AU673" t="s">
        <v>126</v>
      </c>
      <c r="AV673">
        <v>0</v>
      </c>
      <c r="AW673">
        <v>2</v>
      </c>
      <c r="AX673">
        <v>31030203</v>
      </c>
      <c r="AY673">
        <v>1</v>
      </c>
      <c r="AZ673">
        <v>0</v>
      </c>
      <c r="BA673">
        <v>704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0</v>
      </c>
      <c r="BT673">
        <v>0</v>
      </c>
      <c r="BU673">
        <v>0</v>
      </c>
      <c r="BV673">
        <v>0</v>
      </c>
      <c r="BW673">
        <v>0</v>
      </c>
      <c r="CX673">
        <f>Y673*Source!I272</f>
        <v>8.6249999999999993E-2</v>
      </c>
      <c r="CY673">
        <f>AB673</f>
        <v>656.51</v>
      </c>
      <c r="CZ673">
        <f>AF673</f>
        <v>85.93</v>
      </c>
      <c r="DA673">
        <f>AJ673</f>
        <v>7.64</v>
      </c>
      <c r="DB673">
        <f>ROUND((ROUND(AT673*CZ673,2)*ROUND((1.25*1.15),7)),6)</f>
        <v>3.7087500000000002</v>
      </c>
      <c r="DC673">
        <f>ROUND((ROUND(AT673*AG673,2)*ROUND((1.25*1.15),7)),6)</f>
        <v>0.56062500000000004</v>
      </c>
    </row>
    <row r="674" spans="1:107">
      <c r="A674">
        <f>ROW(Source!A272)</f>
        <v>272</v>
      </c>
      <c r="B674">
        <v>31028412</v>
      </c>
      <c r="C674">
        <v>31030189</v>
      </c>
      <c r="D674">
        <v>29147601</v>
      </c>
      <c r="E674">
        <v>1</v>
      </c>
      <c r="F674">
        <v>1</v>
      </c>
      <c r="G674">
        <v>1</v>
      </c>
      <c r="H674">
        <v>2</v>
      </c>
      <c r="I674" t="s">
        <v>781</v>
      </c>
      <c r="J674" t="s">
        <v>782</v>
      </c>
      <c r="K674" t="s">
        <v>783</v>
      </c>
      <c r="L674">
        <v>1368</v>
      </c>
      <c r="N674">
        <v>1011</v>
      </c>
      <c r="O674" t="s">
        <v>780</v>
      </c>
      <c r="P674" t="s">
        <v>780</v>
      </c>
      <c r="Q674">
        <v>1</v>
      </c>
      <c r="W674">
        <v>0</v>
      </c>
      <c r="X674">
        <v>1170567961</v>
      </c>
      <c r="Y674">
        <v>2.8749999999999998E-2</v>
      </c>
      <c r="AA674">
        <v>0</v>
      </c>
      <c r="AB674">
        <v>828.56</v>
      </c>
      <c r="AC674">
        <v>315.58999999999997</v>
      </c>
      <c r="AD674">
        <v>0</v>
      </c>
      <c r="AE674">
        <v>0</v>
      </c>
      <c r="AF674">
        <v>108.45</v>
      </c>
      <c r="AG674">
        <v>13.03</v>
      </c>
      <c r="AH674">
        <v>0</v>
      </c>
      <c r="AI674">
        <v>1</v>
      </c>
      <c r="AJ674">
        <v>7.64</v>
      </c>
      <c r="AK674">
        <v>24.22</v>
      </c>
      <c r="AL674">
        <v>1</v>
      </c>
      <c r="AN674">
        <v>0</v>
      </c>
      <c r="AO674">
        <v>1</v>
      </c>
      <c r="AP674">
        <v>1</v>
      </c>
      <c r="AQ674">
        <v>0</v>
      </c>
      <c r="AR674">
        <v>0</v>
      </c>
      <c r="AS674" t="s">
        <v>6</v>
      </c>
      <c r="AT674">
        <v>0.02</v>
      </c>
      <c r="AU674" t="s">
        <v>126</v>
      </c>
      <c r="AV674">
        <v>0</v>
      </c>
      <c r="AW674">
        <v>2</v>
      </c>
      <c r="AX674">
        <v>31030204</v>
      </c>
      <c r="AY674">
        <v>1</v>
      </c>
      <c r="AZ674">
        <v>0</v>
      </c>
      <c r="BA674">
        <v>705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0</v>
      </c>
      <c r="BW674">
        <v>0</v>
      </c>
      <c r="CX674">
        <f>Y674*Source!I272</f>
        <v>5.7499999999999996E-2</v>
      </c>
      <c r="CY674">
        <f>AB674</f>
        <v>828.56</v>
      </c>
      <c r="CZ674">
        <f>AF674</f>
        <v>108.45</v>
      </c>
      <c r="DA674">
        <f>AJ674</f>
        <v>7.64</v>
      </c>
      <c r="DB674">
        <f>ROUND((ROUND(AT674*CZ674,2)*ROUND((1.25*1.15),7)),6)</f>
        <v>3.1193749999999998</v>
      </c>
      <c r="DC674">
        <f>ROUND((ROUND(AT674*AG674,2)*ROUND((1.25*1.15),7)),6)</f>
        <v>0.37375000000000003</v>
      </c>
    </row>
    <row r="675" spans="1:107">
      <c r="A675">
        <f>ROW(Source!A272)</f>
        <v>272</v>
      </c>
      <c r="B675">
        <v>31028412</v>
      </c>
      <c r="C675">
        <v>31030189</v>
      </c>
      <c r="D675">
        <v>29149520</v>
      </c>
      <c r="E675">
        <v>1</v>
      </c>
      <c r="F675">
        <v>1</v>
      </c>
      <c r="G675">
        <v>1</v>
      </c>
      <c r="H675">
        <v>2</v>
      </c>
      <c r="I675" t="s">
        <v>790</v>
      </c>
      <c r="J675" t="s">
        <v>791</v>
      </c>
      <c r="K675" t="s">
        <v>792</v>
      </c>
      <c r="L675">
        <v>1368</v>
      </c>
      <c r="N675">
        <v>1011</v>
      </c>
      <c r="O675" t="s">
        <v>780</v>
      </c>
      <c r="P675" t="s">
        <v>780</v>
      </c>
      <c r="Q675">
        <v>1</v>
      </c>
      <c r="W675">
        <v>0</v>
      </c>
      <c r="X675">
        <v>-1931461795</v>
      </c>
      <c r="Y675">
        <v>2.8749999999999998E-2</v>
      </c>
      <c r="AA675">
        <v>0</v>
      </c>
      <c r="AB675">
        <v>699.98</v>
      </c>
      <c r="AC675">
        <v>0</v>
      </c>
      <c r="AD675">
        <v>0</v>
      </c>
      <c r="AE675">
        <v>0</v>
      </c>
      <c r="AF675">
        <v>91.62</v>
      </c>
      <c r="AG675">
        <v>0</v>
      </c>
      <c r="AH675">
        <v>0</v>
      </c>
      <c r="AI675">
        <v>1</v>
      </c>
      <c r="AJ675">
        <v>7.64</v>
      </c>
      <c r="AK675">
        <v>24.22</v>
      </c>
      <c r="AL675">
        <v>1</v>
      </c>
      <c r="AN675">
        <v>0</v>
      </c>
      <c r="AO675">
        <v>1</v>
      </c>
      <c r="AP675">
        <v>1</v>
      </c>
      <c r="AQ675">
        <v>0</v>
      </c>
      <c r="AR675">
        <v>0</v>
      </c>
      <c r="AS675" t="s">
        <v>6</v>
      </c>
      <c r="AT675">
        <v>0.02</v>
      </c>
      <c r="AU675" t="s">
        <v>126</v>
      </c>
      <c r="AV675">
        <v>0</v>
      </c>
      <c r="AW675">
        <v>2</v>
      </c>
      <c r="AX675">
        <v>31030205</v>
      </c>
      <c r="AY675">
        <v>1</v>
      </c>
      <c r="AZ675">
        <v>0</v>
      </c>
      <c r="BA675">
        <v>706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CX675">
        <f>Y675*Source!I272</f>
        <v>5.7499999999999996E-2</v>
      </c>
      <c r="CY675">
        <f>AB675</f>
        <v>699.98</v>
      </c>
      <c r="CZ675">
        <f>AF675</f>
        <v>91.62</v>
      </c>
      <c r="DA675">
        <f>AJ675</f>
        <v>7.64</v>
      </c>
      <c r="DB675">
        <f>ROUND((ROUND(AT675*CZ675,2)*ROUND((1.25*1.15),7)),6)</f>
        <v>2.6306250000000002</v>
      </c>
      <c r="DC675">
        <f>ROUND((ROUND(AT675*AG675,2)*ROUND((1.25*1.15),7)),6)</f>
        <v>0</v>
      </c>
    </row>
    <row r="676" spans="1:107">
      <c r="A676">
        <f>ROW(Source!A272)</f>
        <v>272</v>
      </c>
      <c r="B676">
        <v>31028412</v>
      </c>
      <c r="C676">
        <v>31030189</v>
      </c>
      <c r="D676">
        <v>29152667</v>
      </c>
      <c r="E676">
        <v>1</v>
      </c>
      <c r="F676">
        <v>1</v>
      </c>
      <c r="G676">
        <v>1</v>
      </c>
      <c r="H676">
        <v>3</v>
      </c>
      <c r="I676" t="s">
        <v>1124</v>
      </c>
      <c r="J676" t="s">
        <v>1125</v>
      </c>
      <c r="K676" t="s">
        <v>1126</v>
      </c>
      <c r="L676">
        <v>1346</v>
      </c>
      <c r="N676">
        <v>1009</v>
      </c>
      <c r="O676" t="s">
        <v>118</v>
      </c>
      <c r="P676" t="s">
        <v>118</v>
      </c>
      <c r="Q676">
        <v>1</v>
      </c>
      <c r="W676">
        <v>0</v>
      </c>
      <c r="X676">
        <v>1454443168</v>
      </c>
      <c r="Y676">
        <v>4</v>
      </c>
      <c r="AA676">
        <v>113.47</v>
      </c>
      <c r="AB676">
        <v>0</v>
      </c>
      <c r="AC676">
        <v>0</v>
      </c>
      <c r="AD676">
        <v>0</v>
      </c>
      <c r="AE676">
        <v>18.39</v>
      </c>
      <c r="AF676">
        <v>0</v>
      </c>
      <c r="AG676">
        <v>0</v>
      </c>
      <c r="AH676">
        <v>0</v>
      </c>
      <c r="AI676">
        <v>6.17</v>
      </c>
      <c r="AJ676">
        <v>1</v>
      </c>
      <c r="AK676">
        <v>1</v>
      </c>
      <c r="AL676">
        <v>1</v>
      </c>
      <c r="AN676">
        <v>0</v>
      </c>
      <c r="AO676">
        <v>1</v>
      </c>
      <c r="AP676">
        <v>0</v>
      </c>
      <c r="AQ676">
        <v>0</v>
      </c>
      <c r="AR676">
        <v>0</v>
      </c>
      <c r="AS676" t="s">
        <v>6</v>
      </c>
      <c r="AT676">
        <v>4</v>
      </c>
      <c r="AU676" t="s">
        <v>6</v>
      </c>
      <c r="AV676">
        <v>0</v>
      </c>
      <c r="AW676">
        <v>2</v>
      </c>
      <c r="AX676">
        <v>31030206</v>
      </c>
      <c r="AY676">
        <v>1</v>
      </c>
      <c r="AZ676">
        <v>0</v>
      </c>
      <c r="BA676">
        <v>707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0</v>
      </c>
      <c r="BR676">
        <v>0</v>
      </c>
      <c r="BS676">
        <v>0</v>
      </c>
      <c r="BT676">
        <v>0</v>
      </c>
      <c r="BU676">
        <v>0</v>
      </c>
      <c r="BV676">
        <v>0</v>
      </c>
      <c r="BW676">
        <v>0</v>
      </c>
      <c r="CX676">
        <f>Y676*Source!I272</f>
        <v>8</v>
      </c>
      <c r="CY676">
        <f t="shared" ref="CY676:CY681" si="137">AA676</f>
        <v>113.47</v>
      </c>
      <c r="CZ676">
        <f t="shared" ref="CZ676:CZ681" si="138">AE676</f>
        <v>18.39</v>
      </c>
      <c r="DA676">
        <f t="shared" ref="DA676:DA681" si="139">AI676</f>
        <v>6.17</v>
      </c>
      <c r="DB676">
        <f t="shared" ref="DB676:DB681" si="140">ROUND(ROUND(AT676*CZ676,2),6)</f>
        <v>73.56</v>
      </c>
      <c r="DC676">
        <f t="shared" ref="DC676:DC681" si="141">ROUND(ROUND(AT676*AG676,2),6)</f>
        <v>0</v>
      </c>
    </row>
    <row r="677" spans="1:107">
      <c r="A677">
        <f>ROW(Source!A272)</f>
        <v>272</v>
      </c>
      <c r="B677">
        <v>31028412</v>
      </c>
      <c r="C677">
        <v>31030189</v>
      </c>
      <c r="D677">
        <v>29152803</v>
      </c>
      <c r="E677">
        <v>1</v>
      </c>
      <c r="F677">
        <v>1</v>
      </c>
      <c r="G677">
        <v>1</v>
      </c>
      <c r="H677">
        <v>3</v>
      </c>
      <c r="I677" t="s">
        <v>1127</v>
      </c>
      <c r="J677" t="s">
        <v>1128</v>
      </c>
      <c r="K677" t="s">
        <v>1129</v>
      </c>
      <c r="L677">
        <v>1348</v>
      </c>
      <c r="N677">
        <v>1009</v>
      </c>
      <c r="O677" t="s">
        <v>137</v>
      </c>
      <c r="P677" t="s">
        <v>137</v>
      </c>
      <c r="Q677">
        <v>1000</v>
      </c>
      <c r="W677">
        <v>0</v>
      </c>
      <c r="X677">
        <v>-715271261</v>
      </c>
      <c r="Y677">
        <v>2.66E-3</v>
      </c>
      <c r="AA677">
        <v>99443.74</v>
      </c>
      <c r="AB677">
        <v>0</v>
      </c>
      <c r="AC677">
        <v>0</v>
      </c>
      <c r="AD677">
        <v>0</v>
      </c>
      <c r="AE677">
        <v>16117.3</v>
      </c>
      <c r="AF677">
        <v>0</v>
      </c>
      <c r="AG677">
        <v>0</v>
      </c>
      <c r="AH677">
        <v>0</v>
      </c>
      <c r="AI677">
        <v>6.17</v>
      </c>
      <c r="AJ677">
        <v>1</v>
      </c>
      <c r="AK677">
        <v>1</v>
      </c>
      <c r="AL677">
        <v>1</v>
      </c>
      <c r="AN677">
        <v>0</v>
      </c>
      <c r="AO677">
        <v>1</v>
      </c>
      <c r="AP677">
        <v>0</v>
      </c>
      <c r="AQ677">
        <v>0</v>
      </c>
      <c r="AR677">
        <v>0</v>
      </c>
      <c r="AS677" t="s">
        <v>6</v>
      </c>
      <c r="AT677">
        <v>2.66E-3</v>
      </c>
      <c r="AU677" t="s">
        <v>6</v>
      </c>
      <c r="AV677">
        <v>0</v>
      </c>
      <c r="AW677">
        <v>2</v>
      </c>
      <c r="AX677">
        <v>31030207</v>
      </c>
      <c r="AY677">
        <v>1</v>
      </c>
      <c r="AZ677">
        <v>0</v>
      </c>
      <c r="BA677">
        <v>708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0</v>
      </c>
      <c r="BR677">
        <v>0</v>
      </c>
      <c r="BS677">
        <v>0</v>
      </c>
      <c r="BT677">
        <v>0</v>
      </c>
      <c r="BU677">
        <v>0</v>
      </c>
      <c r="BV677">
        <v>0</v>
      </c>
      <c r="BW677">
        <v>0</v>
      </c>
      <c r="CX677">
        <f>Y677*Source!I272</f>
        <v>5.3200000000000001E-3</v>
      </c>
      <c r="CY677">
        <f t="shared" si="137"/>
        <v>99443.74</v>
      </c>
      <c r="CZ677">
        <f t="shared" si="138"/>
        <v>16117.3</v>
      </c>
      <c r="DA677">
        <f t="shared" si="139"/>
        <v>6.17</v>
      </c>
      <c r="DB677">
        <f t="shared" si="140"/>
        <v>42.87</v>
      </c>
      <c r="DC677">
        <f t="shared" si="141"/>
        <v>0</v>
      </c>
    </row>
    <row r="678" spans="1:107">
      <c r="A678">
        <f>ROW(Source!A272)</f>
        <v>272</v>
      </c>
      <c r="B678">
        <v>31028412</v>
      </c>
      <c r="C678">
        <v>31030189</v>
      </c>
      <c r="D678">
        <v>29183872</v>
      </c>
      <c r="E678">
        <v>1</v>
      </c>
      <c r="F678">
        <v>1</v>
      </c>
      <c r="G678">
        <v>1</v>
      </c>
      <c r="H678">
        <v>3</v>
      </c>
      <c r="I678" t="s">
        <v>1115</v>
      </c>
      <c r="J678" t="s">
        <v>1116</v>
      </c>
      <c r="K678" t="s">
        <v>1117</v>
      </c>
      <c r="L678">
        <v>1346</v>
      </c>
      <c r="N678">
        <v>1009</v>
      </c>
      <c r="O678" t="s">
        <v>118</v>
      </c>
      <c r="P678" t="s">
        <v>118</v>
      </c>
      <c r="Q678">
        <v>1</v>
      </c>
      <c r="W678">
        <v>0</v>
      </c>
      <c r="X678">
        <v>1383920472</v>
      </c>
      <c r="Y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6.17</v>
      </c>
      <c r="AJ678">
        <v>1</v>
      </c>
      <c r="AK678">
        <v>1</v>
      </c>
      <c r="AL678">
        <v>1</v>
      </c>
      <c r="AN678">
        <v>1</v>
      </c>
      <c r="AO678">
        <v>0</v>
      </c>
      <c r="AP678">
        <v>0</v>
      </c>
      <c r="AQ678">
        <v>0</v>
      </c>
      <c r="AR678">
        <v>0</v>
      </c>
      <c r="AS678" t="s">
        <v>6</v>
      </c>
      <c r="AT678">
        <v>0</v>
      </c>
      <c r="AU678" t="s">
        <v>6</v>
      </c>
      <c r="AV678">
        <v>0</v>
      </c>
      <c r="AW678">
        <v>2</v>
      </c>
      <c r="AX678">
        <v>31030208</v>
      </c>
      <c r="AY678">
        <v>1</v>
      </c>
      <c r="AZ678">
        <v>0</v>
      </c>
      <c r="BA678">
        <v>709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0</v>
      </c>
      <c r="BW678">
        <v>0</v>
      </c>
      <c r="CX678">
        <f>Y678*Source!I272</f>
        <v>0</v>
      </c>
      <c r="CY678">
        <f t="shared" si="137"/>
        <v>0</v>
      </c>
      <c r="CZ678">
        <f t="shared" si="138"/>
        <v>0</v>
      </c>
      <c r="DA678">
        <f t="shared" si="139"/>
        <v>6.17</v>
      </c>
      <c r="DB678">
        <f t="shared" si="140"/>
        <v>0</v>
      </c>
      <c r="DC678">
        <f t="shared" si="141"/>
        <v>0</v>
      </c>
    </row>
    <row r="679" spans="1:107">
      <c r="A679">
        <f>ROW(Source!A272)</f>
        <v>272</v>
      </c>
      <c r="B679">
        <v>31028412</v>
      </c>
      <c r="C679">
        <v>31030189</v>
      </c>
      <c r="D679">
        <v>29185677</v>
      </c>
      <c r="E679">
        <v>1</v>
      </c>
      <c r="F679">
        <v>1</v>
      </c>
      <c r="G679">
        <v>1</v>
      </c>
      <c r="H679">
        <v>3</v>
      </c>
      <c r="I679" t="s">
        <v>1136</v>
      </c>
      <c r="J679" t="s">
        <v>1137</v>
      </c>
      <c r="K679" t="s">
        <v>1138</v>
      </c>
      <c r="L679">
        <v>1301</v>
      </c>
      <c r="N679">
        <v>1003</v>
      </c>
      <c r="O679" t="s">
        <v>315</v>
      </c>
      <c r="P679" t="s">
        <v>315</v>
      </c>
      <c r="Q679">
        <v>1</v>
      </c>
      <c r="W679">
        <v>0</v>
      </c>
      <c r="X679">
        <v>-669095906</v>
      </c>
      <c r="Y679">
        <v>99.8</v>
      </c>
      <c r="AA679">
        <v>398.15</v>
      </c>
      <c r="AB679">
        <v>0</v>
      </c>
      <c r="AC679">
        <v>0</v>
      </c>
      <c r="AD679">
        <v>0</v>
      </c>
      <c r="AE679">
        <v>64.53</v>
      </c>
      <c r="AF679">
        <v>0</v>
      </c>
      <c r="AG679">
        <v>0</v>
      </c>
      <c r="AH679">
        <v>0</v>
      </c>
      <c r="AI679">
        <v>6.17</v>
      </c>
      <c r="AJ679">
        <v>1</v>
      </c>
      <c r="AK679">
        <v>1</v>
      </c>
      <c r="AL679">
        <v>1</v>
      </c>
      <c r="AN679">
        <v>0</v>
      </c>
      <c r="AO679">
        <v>1</v>
      </c>
      <c r="AP679">
        <v>0</v>
      </c>
      <c r="AQ679">
        <v>0</v>
      </c>
      <c r="AR679">
        <v>0</v>
      </c>
      <c r="AS679" t="s">
        <v>6</v>
      </c>
      <c r="AT679">
        <v>99.8</v>
      </c>
      <c r="AU679" t="s">
        <v>6</v>
      </c>
      <c r="AV679">
        <v>0</v>
      </c>
      <c r="AW679">
        <v>2</v>
      </c>
      <c r="AX679">
        <v>31030209</v>
      </c>
      <c r="AY679">
        <v>1</v>
      </c>
      <c r="AZ679">
        <v>0</v>
      </c>
      <c r="BA679">
        <v>710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CX679">
        <f>Y679*Source!I272</f>
        <v>199.6</v>
      </c>
      <c r="CY679">
        <f t="shared" si="137"/>
        <v>398.15</v>
      </c>
      <c r="CZ679">
        <f t="shared" si="138"/>
        <v>64.53</v>
      </c>
      <c r="DA679">
        <f t="shared" si="139"/>
        <v>6.17</v>
      </c>
      <c r="DB679">
        <f t="shared" si="140"/>
        <v>6440.09</v>
      </c>
      <c r="DC679">
        <f t="shared" si="141"/>
        <v>0</v>
      </c>
    </row>
    <row r="680" spans="1:107">
      <c r="A680">
        <f>ROW(Source!A272)</f>
        <v>272</v>
      </c>
      <c r="B680">
        <v>31028412</v>
      </c>
      <c r="C680">
        <v>31030189</v>
      </c>
      <c r="D680">
        <v>29185708</v>
      </c>
      <c r="E680">
        <v>1</v>
      </c>
      <c r="F680">
        <v>1</v>
      </c>
      <c r="G680">
        <v>1</v>
      </c>
      <c r="H680">
        <v>3</v>
      </c>
      <c r="I680" t="s">
        <v>1133</v>
      </c>
      <c r="J680" t="s">
        <v>1134</v>
      </c>
      <c r="K680" t="s">
        <v>1135</v>
      </c>
      <c r="L680">
        <v>1354</v>
      </c>
      <c r="N680">
        <v>1010</v>
      </c>
      <c r="O680" t="s">
        <v>704</v>
      </c>
      <c r="P680" t="s">
        <v>704</v>
      </c>
      <c r="Q680">
        <v>1</v>
      </c>
      <c r="W680">
        <v>0</v>
      </c>
      <c r="X680">
        <v>1862702868</v>
      </c>
      <c r="Y680">
        <v>0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6.17</v>
      </c>
      <c r="AJ680">
        <v>1</v>
      </c>
      <c r="AK680">
        <v>1</v>
      </c>
      <c r="AL680">
        <v>1</v>
      </c>
      <c r="AN680">
        <v>1</v>
      </c>
      <c r="AO680">
        <v>0</v>
      </c>
      <c r="AP680">
        <v>0</v>
      </c>
      <c r="AQ680">
        <v>0</v>
      </c>
      <c r="AR680">
        <v>0</v>
      </c>
      <c r="AS680" t="s">
        <v>6</v>
      </c>
      <c r="AT680">
        <v>0</v>
      </c>
      <c r="AU680" t="s">
        <v>6</v>
      </c>
      <c r="AV680">
        <v>0</v>
      </c>
      <c r="AW680">
        <v>2</v>
      </c>
      <c r="AX680">
        <v>31030210</v>
      </c>
      <c r="AY680">
        <v>1</v>
      </c>
      <c r="AZ680">
        <v>0</v>
      </c>
      <c r="BA680">
        <v>711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0</v>
      </c>
      <c r="CX680">
        <f>Y680*Source!I272</f>
        <v>0</v>
      </c>
      <c r="CY680">
        <f t="shared" si="137"/>
        <v>0</v>
      </c>
      <c r="CZ680">
        <f t="shared" si="138"/>
        <v>0</v>
      </c>
      <c r="DA680">
        <f t="shared" si="139"/>
        <v>6.17</v>
      </c>
      <c r="DB680">
        <f t="shared" si="140"/>
        <v>0</v>
      </c>
      <c r="DC680">
        <f t="shared" si="141"/>
        <v>0</v>
      </c>
    </row>
    <row r="681" spans="1:107">
      <c r="A681">
        <f>ROW(Source!A272)</f>
        <v>272</v>
      </c>
      <c r="B681">
        <v>31028412</v>
      </c>
      <c r="C681">
        <v>31030189</v>
      </c>
      <c r="D681">
        <v>29195171</v>
      </c>
      <c r="E681">
        <v>1</v>
      </c>
      <c r="F681">
        <v>1</v>
      </c>
      <c r="G681">
        <v>1</v>
      </c>
      <c r="H681">
        <v>3</v>
      </c>
      <c r="I681" t="s">
        <v>830</v>
      </c>
      <c r="J681" t="s">
        <v>831</v>
      </c>
      <c r="K681" t="s">
        <v>832</v>
      </c>
      <c r="L681">
        <v>1339</v>
      </c>
      <c r="N681">
        <v>1007</v>
      </c>
      <c r="O681" t="s">
        <v>109</v>
      </c>
      <c r="P681" t="s">
        <v>109</v>
      </c>
      <c r="Q681">
        <v>1</v>
      </c>
      <c r="W681">
        <v>0</v>
      </c>
      <c r="X681">
        <v>2050165204</v>
      </c>
      <c r="Y681">
        <v>1.57</v>
      </c>
      <c r="AA681">
        <v>15.12</v>
      </c>
      <c r="AB681">
        <v>0</v>
      </c>
      <c r="AC681">
        <v>0</v>
      </c>
      <c r="AD681">
        <v>0</v>
      </c>
      <c r="AE681">
        <v>2.4500000000000002</v>
      </c>
      <c r="AF681">
        <v>0</v>
      </c>
      <c r="AG681">
        <v>0</v>
      </c>
      <c r="AH681">
        <v>0</v>
      </c>
      <c r="AI681">
        <v>6.17</v>
      </c>
      <c r="AJ681">
        <v>1</v>
      </c>
      <c r="AK681">
        <v>1</v>
      </c>
      <c r="AL681">
        <v>1</v>
      </c>
      <c r="AN681">
        <v>0</v>
      </c>
      <c r="AO681">
        <v>1</v>
      </c>
      <c r="AP681">
        <v>0</v>
      </c>
      <c r="AQ681">
        <v>0</v>
      </c>
      <c r="AR681">
        <v>0</v>
      </c>
      <c r="AS681" t="s">
        <v>6</v>
      </c>
      <c r="AT681">
        <v>1.57</v>
      </c>
      <c r="AU681" t="s">
        <v>6</v>
      </c>
      <c r="AV681">
        <v>0</v>
      </c>
      <c r="AW681">
        <v>2</v>
      </c>
      <c r="AX681">
        <v>31030211</v>
      </c>
      <c r="AY681">
        <v>1</v>
      </c>
      <c r="AZ681">
        <v>0</v>
      </c>
      <c r="BA681">
        <v>712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0</v>
      </c>
      <c r="CX681">
        <f>Y681*Source!I272</f>
        <v>3.14</v>
      </c>
      <c r="CY681">
        <f t="shared" si="137"/>
        <v>15.12</v>
      </c>
      <c r="CZ681">
        <f t="shared" si="138"/>
        <v>2.4500000000000002</v>
      </c>
      <c r="DA681">
        <f t="shared" si="139"/>
        <v>6.17</v>
      </c>
      <c r="DB681">
        <f t="shared" si="140"/>
        <v>3.85</v>
      </c>
      <c r="DC681">
        <f t="shared" si="141"/>
        <v>0</v>
      </c>
    </row>
    <row r="682" spans="1:107">
      <c r="A682">
        <f>ROW(Source!A273)</f>
        <v>273</v>
      </c>
      <c r="B682">
        <v>31028412</v>
      </c>
      <c r="C682">
        <v>31030212</v>
      </c>
      <c r="D682">
        <v>29084596</v>
      </c>
      <c r="E682">
        <v>1</v>
      </c>
      <c r="F682">
        <v>1</v>
      </c>
      <c r="G682">
        <v>1</v>
      </c>
      <c r="H682">
        <v>1</v>
      </c>
      <c r="I682" t="s">
        <v>893</v>
      </c>
      <c r="J682" t="s">
        <v>6</v>
      </c>
      <c r="K682" t="s">
        <v>894</v>
      </c>
      <c r="L682">
        <v>1369</v>
      </c>
      <c r="N682">
        <v>1013</v>
      </c>
      <c r="O682" t="s">
        <v>773</v>
      </c>
      <c r="P682" t="s">
        <v>773</v>
      </c>
      <c r="Q682">
        <v>1</v>
      </c>
      <c r="W682">
        <v>0</v>
      </c>
      <c r="X682">
        <v>1607597053</v>
      </c>
      <c r="Y682">
        <v>32.586399999999998</v>
      </c>
      <c r="AA682">
        <v>0</v>
      </c>
      <c r="AB682">
        <v>0</v>
      </c>
      <c r="AC682">
        <v>0</v>
      </c>
      <c r="AD682">
        <v>222.34</v>
      </c>
      <c r="AE682">
        <v>0</v>
      </c>
      <c r="AF682">
        <v>0</v>
      </c>
      <c r="AG682">
        <v>0</v>
      </c>
      <c r="AH682">
        <v>9.18</v>
      </c>
      <c r="AI682">
        <v>1</v>
      </c>
      <c r="AJ682">
        <v>1</v>
      </c>
      <c r="AK682">
        <v>1</v>
      </c>
      <c r="AL682">
        <v>24.22</v>
      </c>
      <c r="AN682">
        <v>0</v>
      </c>
      <c r="AO682">
        <v>1</v>
      </c>
      <c r="AP682">
        <v>1</v>
      </c>
      <c r="AQ682">
        <v>0</v>
      </c>
      <c r="AR682">
        <v>0</v>
      </c>
      <c r="AS682" t="s">
        <v>6</v>
      </c>
      <c r="AT682">
        <v>24.64</v>
      </c>
      <c r="AU682" t="s">
        <v>127</v>
      </c>
      <c r="AV682">
        <v>1</v>
      </c>
      <c r="AW682">
        <v>2</v>
      </c>
      <c r="AX682">
        <v>31030229</v>
      </c>
      <c r="AY682">
        <v>1</v>
      </c>
      <c r="AZ682">
        <v>0</v>
      </c>
      <c r="BA682">
        <v>713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0</v>
      </c>
      <c r="BR682">
        <v>0</v>
      </c>
      <c r="BS682">
        <v>0</v>
      </c>
      <c r="BT682">
        <v>0</v>
      </c>
      <c r="BU682">
        <v>0</v>
      </c>
      <c r="BV682">
        <v>0</v>
      </c>
      <c r="BW682">
        <v>0</v>
      </c>
      <c r="CX682">
        <f>Y682*Source!I273</f>
        <v>78.207359999999994</v>
      </c>
      <c r="CY682">
        <f>AD682</f>
        <v>222.34</v>
      </c>
      <c r="CZ682">
        <f>AH682</f>
        <v>9.18</v>
      </c>
      <c r="DA682">
        <f>AL682</f>
        <v>24.22</v>
      </c>
      <c r="DB682">
        <f>ROUND((ROUND(AT682*CZ682,2)*ROUND((1.15*1.15),7)),6)</f>
        <v>299.14949999999999</v>
      </c>
      <c r="DC682">
        <f>ROUND((ROUND(AT682*AG682,2)*ROUND((1.15*1.15),7)),6)</f>
        <v>0</v>
      </c>
    </row>
    <row r="683" spans="1:107">
      <c r="A683">
        <f>ROW(Source!A273)</f>
        <v>273</v>
      </c>
      <c r="B683">
        <v>31028412</v>
      </c>
      <c r="C683">
        <v>31030212</v>
      </c>
      <c r="D683">
        <v>29084573</v>
      </c>
      <c r="E683">
        <v>1</v>
      </c>
      <c r="F683">
        <v>1</v>
      </c>
      <c r="G683">
        <v>1</v>
      </c>
      <c r="H683">
        <v>1</v>
      </c>
      <c r="I683" t="s">
        <v>774</v>
      </c>
      <c r="J683" t="s">
        <v>6</v>
      </c>
      <c r="K683" t="s">
        <v>775</v>
      </c>
      <c r="L683">
        <v>608254</v>
      </c>
      <c r="N683">
        <v>1013</v>
      </c>
      <c r="O683" t="s">
        <v>776</v>
      </c>
      <c r="P683" t="s">
        <v>776</v>
      </c>
      <c r="Q683">
        <v>1</v>
      </c>
      <c r="W683">
        <v>0</v>
      </c>
      <c r="X683">
        <v>95408949</v>
      </c>
      <c r="Y683">
        <v>0.45999999999999996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1</v>
      </c>
      <c r="AJ683">
        <v>1</v>
      </c>
      <c r="AK683">
        <v>24.22</v>
      </c>
      <c r="AL683">
        <v>1</v>
      </c>
      <c r="AN683">
        <v>0</v>
      </c>
      <c r="AO683">
        <v>1</v>
      </c>
      <c r="AP683">
        <v>1</v>
      </c>
      <c r="AQ683">
        <v>0</v>
      </c>
      <c r="AR683">
        <v>0</v>
      </c>
      <c r="AS683" t="s">
        <v>6</v>
      </c>
      <c r="AT683">
        <v>0.32</v>
      </c>
      <c r="AU683" t="s">
        <v>126</v>
      </c>
      <c r="AV683">
        <v>2</v>
      </c>
      <c r="AW683">
        <v>2</v>
      </c>
      <c r="AX683">
        <v>31030230</v>
      </c>
      <c r="AY683">
        <v>1</v>
      </c>
      <c r="AZ683">
        <v>0</v>
      </c>
      <c r="BA683">
        <v>714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0</v>
      </c>
      <c r="CX683">
        <f>Y683*Source!I273</f>
        <v>1.1039999999999999</v>
      </c>
      <c r="CY683">
        <f>AD683</f>
        <v>0</v>
      </c>
      <c r="CZ683">
        <f>AH683</f>
        <v>0</v>
      </c>
      <c r="DA683">
        <f>AL683</f>
        <v>1</v>
      </c>
      <c r="DB683">
        <f>ROUND((ROUND(AT683*CZ683,2)*ROUND((1.25*1.15),7)),6)</f>
        <v>0</v>
      </c>
      <c r="DC683">
        <f>ROUND((ROUND(AT683*AG683,2)*ROUND((1.25*1.15),7)),6)</f>
        <v>0</v>
      </c>
    </row>
    <row r="684" spans="1:107">
      <c r="A684">
        <f>ROW(Source!A273)</f>
        <v>273</v>
      </c>
      <c r="B684">
        <v>31028412</v>
      </c>
      <c r="C684">
        <v>31030212</v>
      </c>
      <c r="D684">
        <v>29147732</v>
      </c>
      <c r="E684">
        <v>1</v>
      </c>
      <c r="F684">
        <v>1</v>
      </c>
      <c r="G684">
        <v>1</v>
      </c>
      <c r="H684">
        <v>2</v>
      </c>
      <c r="I684" t="s">
        <v>846</v>
      </c>
      <c r="J684" t="s">
        <v>847</v>
      </c>
      <c r="K684" t="s">
        <v>848</v>
      </c>
      <c r="L684">
        <v>1368</v>
      </c>
      <c r="N684">
        <v>1011</v>
      </c>
      <c r="O684" t="s">
        <v>780</v>
      </c>
      <c r="P684" t="s">
        <v>780</v>
      </c>
      <c r="Q684">
        <v>1</v>
      </c>
      <c r="W684">
        <v>0</v>
      </c>
      <c r="X684">
        <v>-1205898307</v>
      </c>
      <c r="Y684">
        <v>0.45999999999999996</v>
      </c>
      <c r="AA684">
        <v>0</v>
      </c>
      <c r="AB684">
        <v>235.69</v>
      </c>
      <c r="AC684">
        <v>315.58999999999997</v>
      </c>
      <c r="AD684">
        <v>0</v>
      </c>
      <c r="AE684">
        <v>0</v>
      </c>
      <c r="AF684">
        <v>30.85</v>
      </c>
      <c r="AG684">
        <v>13.03</v>
      </c>
      <c r="AH684">
        <v>0</v>
      </c>
      <c r="AI684">
        <v>1</v>
      </c>
      <c r="AJ684">
        <v>7.64</v>
      </c>
      <c r="AK684">
        <v>24.22</v>
      </c>
      <c r="AL684">
        <v>1</v>
      </c>
      <c r="AN684">
        <v>0</v>
      </c>
      <c r="AO684">
        <v>1</v>
      </c>
      <c r="AP684">
        <v>1</v>
      </c>
      <c r="AQ684">
        <v>0</v>
      </c>
      <c r="AR684">
        <v>0</v>
      </c>
      <c r="AS684" t="s">
        <v>6</v>
      </c>
      <c r="AT684">
        <v>0.32</v>
      </c>
      <c r="AU684" t="s">
        <v>126</v>
      </c>
      <c r="AV684">
        <v>0</v>
      </c>
      <c r="AW684">
        <v>2</v>
      </c>
      <c r="AX684">
        <v>31030231</v>
      </c>
      <c r="AY684">
        <v>1</v>
      </c>
      <c r="AZ684">
        <v>0</v>
      </c>
      <c r="BA684">
        <v>715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0</v>
      </c>
      <c r="BW684">
        <v>0</v>
      </c>
      <c r="CX684">
        <f>Y684*Source!I273</f>
        <v>1.1039999999999999</v>
      </c>
      <c r="CY684">
        <f>AB684</f>
        <v>235.69</v>
      </c>
      <c r="CZ684">
        <f>AF684</f>
        <v>30.85</v>
      </c>
      <c r="DA684">
        <f>AJ684</f>
        <v>7.64</v>
      </c>
      <c r="DB684">
        <f>ROUND((ROUND(AT684*CZ684,2)*ROUND((1.25*1.15),7)),6)</f>
        <v>14.188124999999999</v>
      </c>
      <c r="DC684">
        <f>ROUND((ROUND(AT684*AG684,2)*ROUND((1.25*1.15),7)),6)</f>
        <v>5.9943749999999998</v>
      </c>
    </row>
    <row r="685" spans="1:107">
      <c r="A685">
        <f>ROW(Source!A273)</f>
        <v>273</v>
      </c>
      <c r="B685">
        <v>31028412</v>
      </c>
      <c r="C685">
        <v>31030212</v>
      </c>
      <c r="D685">
        <v>29149183</v>
      </c>
      <c r="E685">
        <v>1</v>
      </c>
      <c r="F685">
        <v>1</v>
      </c>
      <c r="G685">
        <v>1</v>
      </c>
      <c r="H685">
        <v>2</v>
      </c>
      <c r="I685" t="s">
        <v>983</v>
      </c>
      <c r="J685" t="s">
        <v>984</v>
      </c>
      <c r="K685" t="s">
        <v>985</v>
      </c>
      <c r="L685">
        <v>1368</v>
      </c>
      <c r="N685">
        <v>1011</v>
      </c>
      <c r="O685" t="s">
        <v>780</v>
      </c>
      <c r="P685" t="s">
        <v>780</v>
      </c>
      <c r="Q685">
        <v>1</v>
      </c>
      <c r="W685">
        <v>0</v>
      </c>
      <c r="X685">
        <v>825056910</v>
      </c>
      <c r="Y685">
        <v>0.28749999999999998</v>
      </c>
      <c r="AA685">
        <v>0</v>
      </c>
      <c r="AB685">
        <v>14.9</v>
      </c>
      <c r="AC685">
        <v>0</v>
      </c>
      <c r="AD685">
        <v>0</v>
      </c>
      <c r="AE685">
        <v>0</v>
      </c>
      <c r="AF685">
        <v>1.95</v>
      </c>
      <c r="AG685">
        <v>0</v>
      </c>
      <c r="AH685">
        <v>0</v>
      </c>
      <c r="AI685">
        <v>1</v>
      </c>
      <c r="AJ685">
        <v>7.64</v>
      </c>
      <c r="AK685">
        <v>24.22</v>
      </c>
      <c r="AL685">
        <v>1</v>
      </c>
      <c r="AN685">
        <v>0</v>
      </c>
      <c r="AO685">
        <v>1</v>
      </c>
      <c r="AP685">
        <v>1</v>
      </c>
      <c r="AQ685">
        <v>0</v>
      </c>
      <c r="AR685">
        <v>0</v>
      </c>
      <c r="AS685" t="s">
        <v>6</v>
      </c>
      <c r="AT685">
        <v>0.2</v>
      </c>
      <c r="AU685" t="s">
        <v>126</v>
      </c>
      <c r="AV685">
        <v>0</v>
      </c>
      <c r="AW685">
        <v>2</v>
      </c>
      <c r="AX685">
        <v>31030232</v>
      </c>
      <c r="AY685">
        <v>1</v>
      </c>
      <c r="AZ685">
        <v>0</v>
      </c>
      <c r="BA685">
        <v>716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0</v>
      </c>
      <c r="BS685">
        <v>0</v>
      </c>
      <c r="BT685">
        <v>0</v>
      </c>
      <c r="BU685">
        <v>0</v>
      </c>
      <c r="BV685">
        <v>0</v>
      </c>
      <c r="BW685">
        <v>0</v>
      </c>
      <c r="CX685">
        <f>Y685*Source!I273</f>
        <v>0.69</v>
      </c>
      <c r="CY685">
        <f>AB685</f>
        <v>14.9</v>
      </c>
      <c r="CZ685">
        <f>AF685</f>
        <v>1.95</v>
      </c>
      <c r="DA685">
        <f>AJ685</f>
        <v>7.64</v>
      </c>
      <c r="DB685">
        <f>ROUND((ROUND(AT685*CZ685,2)*ROUND((1.25*1.15),7)),6)</f>
        <v>0.56062500000000004</v>
      </c>
      <c r="DC685">
        <f>ROUND((ROUND(AT685*AG685,2)*ROUND((1.25*1.15),7)),6)</f>
        <v>0</v>
      </c>
    </row>
    <row r="686" spans="1:107">
      <c r="A686">
        <f>ROW(Source!A273)</f>
        <v>273</v>
      </c>
      <c r="B686">
        <v>31028412</v>
      </c>
      <c r="C686">
        <v>31030212</v>
      </c>
      <c r="D686">
        <v>29149520</v>
      </c>
      <c r="E686">
        <v>1</v>
      </c>
      <c r="F686">
        <v>1</v>
      </c>
      <c r="G686">
        <v>1</v>
      </c>
      <c r="H686">
        <v>2</v>
      </c>
      <c r="I686" t="s">
        <v>790</v>
      </c>
      <c r="J686" t="s">
        <v>791</v>
      </c>
      <c r="K686" t="s">
        <v>792</v>
      </c>
      <c r="L686">
        <v>1368</v>
      </c>
      <c r="N686">
        <v>1011</v>
      </c>
      <c r="O686" t="s">
        <v>780</v>
      </c>
      <c r="P686" t="s">
        <v>780</v>
      </c>
      <c r="Q686">
        <v>1</v>
      </c>
      <c r="W686">
        <v>0</v>
      </c>
      <c r="X686">
        <v>-1931461795</v>
      </c>
      <c r="Y686">
        <v>0.56062500000000004</v>
      </c>
      <c r="AA686">
        <v>0</v>
      </c>
      <c r="AB686">
        <v>699.98</v>
      </c>
      <c r="AC686">
        <v>0</v>
      </c>
      <c r="AD686">
        <v>0</v>
      </c>
      <c r="AE686">
        <v>0</v>
      </c>
      <c r="AF686">
        <v>91.62</v>
      </c>
      <c r="AG686">
        <v>0</v>
      </c>
      <c r="AH686">
        <v>0</v>
      </c>
      <c r="AI686">
        <v>1</v>
      </c>
      <c r="AJ686">
        <v>7.64</v>
      </c>
      <c r="AK686">
        <v>24.22</v>
      </c>
      <c r="AL686">
        <v>1</v>
      </c>
      <c r="AN686">
        <v>0</v>
      </c>
      <c r="AO686">
        <v>1</v>
      </c>
      <c r="AP686">
        <v>1</v>
      </c>
      <c r="AQ686">
        <v>0</v>
      </c>
      <c r="AR686">
        <v>0</v>
      </c>
      <c r="AS686" t="s">
        <v>6</v>
      </c>
      <c r="AT686">
        <v>0.39</v>
      </c>
      <c r="AU686" t="s">
        <v>126</v>
      </c>
      <c r="AV686">
        <v>0</v>
      </c>
      <c r="AW686">
        <v>2</v>
      </c>
      <c r="AX686">
        <v>31030233</v>
      </c>
      <c r="AY686">
        <v>1</v>
      </c>
      <c r="AZ686">
        <v>0</v>
      </c>
      <c r="BA686">
        <v>717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0</v>
      </c>
      <c r="BR686">
        <v>0</v>
      </c>
      <c r="BS686">
        <v>0</v>
      </c>
      <c r="BT686">
        <v>0</v>
      </c>
      <c r="BU686">
        <v>0</v>
      </c>
      <c r="BV686">
        <v>0</v>
      </c>
      <c r="BW686">
        <v>0</v>
      </c>
      <c r="CX686">
        <f>Y686*Source!I273</f>
        <v>1.3455000000000001</v>
      </c>
      <c r="CY686">
        <f>AB686</f>
        <v>699.98</v>
      </c>
      <c r="CZ686">
        <f>AF686</f>
        <v>91.62</v>
      </c>
      <c r="DA686">
        <f>AJ686</f>
        <v>7.64</v>
      </c>
      <c r="DB686">
        <f>ROUND((ROUND(AT686*CZ686,2)*ROUND((1.25*1.15),7)),6)</f>
        <v>51.361874999999998</v>
      </c>
      <c r="DC686">
        <f>ROUND((ROUND(AT686*AG686,2)*ROUND((1.25*1.15),7)),6)</f>
        <v>0</v>
      </c>
    </row>
    <row r="687" spans="1:107">
      <c r="A687">
        <f>ROW(Source!A273)</f>
        <v>273</v>
      </c>
      <c r="B687">
        <v>31028412</v>
      </c>
      <c r="C687">
        <v>31030212</v>
      </c>
      <c r="D687">
        <v>29150669</v>
      </c>
      <c r="E687">
        <v>1</v>
      </c>
      <c r="F687">
        <v>1</v>
      </c>
      <c r="G687">
        <v>1</v>
      </c>
      <c r="H687">
        <v>3</v>
      </c>
      <c r="I687" t="s">
        <v>1246</v>
      </c>
      <c r="J687" t="s">
        <v>1247</v>
      </c>
      <c r="K687" t="s">
        <v>1248</v>
      </c>
      <c r="L687">
        <v>1348</v>
      </c>
      <c r="N687">
        <v>1009</v>
      </c>
      <c r="O687" t="s">
        <v>137</v>
      </c>
      <c r="P687" t="s">
        <v>137</v>
      </c>
      <c r="Q687">
        <v>1000</v>
      </c>
      <c r="W687">
        <v>0</v>
      </c>
      <c r="X687">
        <v>462837542</v>
      </c>
      <c r="Y687">
        <v>1E-3</v>
      </c>
      <c r="AA687">
        <v>79952.77</v>
      </c>
      <c r="AB687">
        <v>0</v>
      </c>
      <c r="AC687">
        <v>0</v>
      </c>
      <c r="AD687">
        <v>0</v>
      </c>
      <c r="AE687">
        <v>12958.31</v>
      </c>
      <c r="AF687">
        <v>0</v>
      </c>
      <c r="AG687">
        <v>0</v>
      </c>
      <c r="AH687">
        <v>0</v>
      </c>
      <c r="AI687">
        <v>6.17</v>
      </c>
      <c r="AJ687">
        <v>1</v>
      </c>
      <c r="AK687">
        <v>1</v>
      </c>
      <c r="AL687">
        <v>1</v>
      </c>
      <c r="AN687">
        <v>0</v>
      </c>
      <c r="AO687">
        <v>1</v>
      </c>
      <c r="AP687">
        <v>0</v>
      </c>
      <c r="AQ687">
        <v>0</v>
      </c>
      <c r="AR687">
        <v>0</v>
      </c>
      <c r="AS687" t="s">
        <v>6</v>
      </c>
      <c r="AT687">
        <v>1E-3</v>
      </c>
      <c r="AU687" t="s">
        <v>6</v>
      </c>
      <c r="AV687">
        <v>0</v>
      </c>
      <c r="AW687">
        <v>2</v>
      </c>
      <c r="AX687">
        <v>31030234</v>
      </c>
      <c r="AY687">
        <v>1</v>
      </c>
      <c r="AZ687">
        <v>0</v>
      </c>
      <c r="BA687">
        <v>718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0</v>
      </c>
      <c r="BP687">
        <v>0</v>
      </c>
      <c r="BQ687">
        <v>0</v>
      </c>
      <c r="BR687">
        <v>0</v>
      </c>
      <c r="BS687">
        <v>0</v>
      </c>
      <c r="BT687">
        <v>0</v>
      </c>
      <c r="BU687">
        <v>0</v>
      </c>
      <c r="BV687">
        <v>0</v>
      </c>
      <c r="BW687">
        <v>0</v>
      </c>
      <c r="CX687">
        <f>Y687*Source!I273</f>
        <v>2.3999999999999998E-3</v>
      </c>
      <c r="CY687">
        <f t="shared" ref="CY687:CY697" si="142">AA687</f>
        <v>79952.77</v>
      </c>
      <c r="CZ687">
        <f t="shared" ref="CZ687:CZ697" si="143">AE687</f>
        <v>12958.31</v>
      </c>
      <c r="DA687">
        <f t="shared" ref="DA687:DA697" si="144">AI687</f>
        <v>6.17</v>
      </c>
      <c r="DB687">
        <f t="shared" ref="DB687:DB697" si="145">ROUND(ROUND(AT687*CZ687,2),6)</f>
        <v>12.96</v>
      </c>
      <c r="DC687">
        <f t="shared" ref="DC687:DC697" si="146">ROUND(ROUND(AT687*AG687,2),6)</f>
        <v>0</v>
      </c>
    </row>
    <row r="688" spans="1:107">
      <c r="A688">
        <f>ROW(Source!A273)</f>
        <v>273</v>
      </c>
      <c r="B688">
        <v>31028412</v>
      </c>
      <c r="C688">
        <v>31030212</v>
      </c>
      <c r="D688">
        <v>29150746</v>
      </c>
      <c r="E688">
        <v>1</v>
      </c>
      <c r="F688">
        <v>1</v>
      </c>
      <c r="G688">
        <v>1</v>
      </c>
      <c r="H688">
        <v>3</v>
      </c>
      <c r="I688" t="s">
        <v>1225</v>
      </c>
      <c r="J688" t="s">
        <v>1226</v>
      </c>
      <c r="K688" t="s">
        <v>1227</v>
      </c>
      <c r="L688">
        <v>1348</v>
      </c>
      <c r="N688">
        <v>1009</v>
      </c>
      <c r="O688" t="s">
        <v>137</v>
      </c>
      <c r="P688" t="s">
        <v>137</v>
      </c>
      <c r="Q688">
        <v>1000</v>
      </c>
      <c r="W688">
        <v>0</v>
      </c>
      <c r="X688">
        <v>-2091594199</v>
      </c>
      <c r="Y688">
        <v>4.0000000000000002E-4</v>
      </c>
      <c r="AA688">
        <v>65402</v>
      </c>
      <c r="AB688">
        <v>0</v>
      </c>
      <c r="AC688">
        <v>0</v>
      </c>
      <c r="AD688">
        <v>0</v>
      </c>
      <c r="AE688">
        <v>10600</v>
      </c>
      <c r="AF688">
        <v>0</v>
      </c>
      <c r="AG688">
        <v>0</v>
      </c>
      <c r="AH688">
        <v>0</v>
      </c>
      <c r="AI688">
        <v>6.17</v>
      </c>
      <c r="AJ688">
        <v>1</v>
      </c>
      <c r="AK688">
        <v>1</v>
      </c>
      <c r="AL688">
        <v>1</v>
      </c>
      <c r="AN688">
        <v>0</v>
      </c>
      <c r="AO688">
        <v>1</v>
      </c>
      <c r="AP688">
        <v>0</v>
      </c>
      <c r="AQ688">
        <v>0</v>
      </c>
      <c r="AR688">
        <v>0</v>
      </c>
      <c r="AS688" t="s">
        <v>6</v>
      </c>
      <c r="AT688">
        <v>4.0000000000000002E-4</v>
      </c>
      <c r="AU688" t="s">
        <v>6</v>
      </c>
      <c r="AV688">
        <v>0</v>
      </c>
      <c r="AW688">
        <v>2</v>
      </c>
      <c r="AX688">
        <v>31030235</v>
      </c>
      <c r="AY688">
        <v>1</v>
      </c>
      <c r="AZ688">
        <v>0</v>
      </c>
      <c r="BA688">
        <v>719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0</v>
      </c>
      <c r="BR688">
        <v>0</v>
      </c>
      <c r="BS688">
        <v>0</v>
      </c>
      <c r="BT688">
        <v>0</v>
      </c>
      <c r="BU688">
        <v>0</v>
      </c>
      <c r="BV688">
        <v>0</v>
      </c>
      <c r="BW688">
        <v>0</v>
      </c>
      <c r="CX688">
        <f>Y688*Source!I273</f>
        <v>9.6000000000000002E-4</v>
      </c>
      <c r="CY688">
        <f t="shared" si="142"/>
        <v>65402</v>
      </c>
      <c r="CZ688">
        <f t="shared" si="143"/>
        <v>10600</v>
      </c>
      <c r="DA688">
        <f t="shared" si="144"/>
        <v>6.17</v>
      </c>
      <c r="DB688">
        <f t="shared" si="145"/>
        <v>4.24</v>
      </c>
      <c r="DC688">
        <f t="shared" si="146"/>
        <v>0</v>
      </c>
    </row>
    <row r="689" spans="1:107">
      <c r="A689">
        <f>ROW(Source!A273)</f>
        <v>273</v>
      </c>
      <c r="B689">
        <v>31028412</v>
      </c>
      <c r="C689">
        <v>31030212</v>
      </c>
      <c r="D689">
        <v>29150988</v>
      </c>
      <c r="E689">
        <v>1</v>
      </c>
      <c r="F689">
        <v>1</v>
      </c>
      <c r="G689">
        <v>1</v>
      </c>
      <c r="H689">
        <v>3</v>
      </c>
      <c r="I689" t="s">
        <v>1228</v>
      </c>
      <c r="J689" t="s">
        <v>1229</v>
      </c>
      <c r="K689" t="s">
        <v>1230</v>
      </c>
      <c r="L689">
        <v>1348</v>
      </c>
      <c r="N689">
        <v>1009</v>
      </c>
      <c r="O689" t="s">
        <v>137</v>
      </c>
      <c r="P689" t="s">
        <v>137</v>
      </c>
      <c r="Q689">
        <v>1000</v>
      </c>
      <c r="W689">
        <v>0</v>
      </c>
      <c r="X689">
        <v>266607550</v>
      </c>
      <c r="Y689">
        <v>2.0000000000000001E-4</v>
      </c>
      <c r="AA689">
        <v>115286.45</v>
      </c>
      <c r="AB689">
        <v>0</v>
      </c>
      <c r="AC689">
        <v>0</v>
      </c>
      <c r="AD689">
        <v>0</v>
      </c>
      <c r="AE689">
        <v>18685</v>
      </c>
      <c r="AF689">
        <v>0</v>
      </c>
      <c r="AG689">
        <v>0</v>
      </c>
      <c r="AH689">
        <v>0</v>
      </c>
      <c r="AI689">
        <v>6.17</v>
      </c>
      <c r="AJ689">
        <v>1</v>
      </c>
      <c r="AK689">
        <v>1</v>
      </c>
      <c r="AL689">
        <v>1</v>
      </c>
      <c r="AN689">
        <v>0</v>
      </c>
      <c r="AO689">
        <v>1</v>
      </c>
      <c r="AP689">
        <v>0</v>
      </c>
      <c r="AQ689">
        <v>0</v>
      </c>
      <c r="AR689">
        <v>0</v>
      </c>
      <c r="AS689" t="s">
        <v>6</v>
      </c>
      <c r="AT689">
        <v>2.0000000000000001E-4</v>
      </c>
      <c r="AU689" t="s">
        <v>6</v>
      </c>
      <c r="AV689">
        <v>0</v>
      </c>
      <c r="AW689">
        <v>2</v>
      </c>
      <c r="AX689">
        <v>31030236</v>
      </c>
      <c r="AY689">
        <v>1</v>
      </c>
      <c r="AZ689">
        <v>0</v>
      </c>
      <c r="BA689">
        <v>720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0</v>
      </c>
      <c r="CX689">
        <f>Y689*Source!I273</f>
        <v>4.8000000000000001E-4</v>
      </c>
      <c r="CY689">
        <f t="shared" si="142"/>
        <v>115286.45</v>
      </c>
      <c r="CZ689">
        <f t="shared" si="143"/>
        <v>18685</v>
      </c>
      <c r="DA689">
        <f t="shared" si="144"/>
        <v>6.17</v>
      </c>
      <c r="DB689">
        <f t="shared" si="145"/>
        <v>3.74</v>
      </c>
      <c r="DC689">
        <f t="shared" si="146"/>
        <v>0</v>
      </c>
    </row>
    <row r="690" spans="1:107">
      <c r="A690">
        <f>ROW(Source!A273)</f>
        <v>273</v>
      </c>
      <c r="B690">
        <v>31028412</v>
      </c>
      <c r="C690">
        <v>31030212</v>
      </c>
      <c r="D690">
        <v>29151188</v>
      </c>
      <c r="E690">
        <v>1</v>
      </c>
      <c r="F690">
        <v>1</v>
      </c>
      <c r="G690">
        <v>1</v>
      </c>
      <c r="H690">
        <v>3</v>
      </c>
      <c r="I690" t="s">
        <v>1249</v>
      </c>
      <c r="J690" t="s">
        <v>1250</v>
      </c>
      <c r="K690" t="s">
        <v>1251</v>
      </c>
      <c r="L690">
        <v>1346</v>
      </c>
      <c r="N690">
        <v>1009</v>
      </c>
      <c r="O690" t="s">
        <v>118</v>
      </c>
      <c r="P690" t="s">
        <v>118</v>
      </c>
      <c r="Q690">
        <v>1</v>
      </c>
      <c r="W690">
        <v>0</v>
      </c>
      <c r="X690">
        <v>-1028415780</v>
      </c>
      <c r="Y690">
        <v>0.8</v>
      </c>
      <c r="AA690">
        <v>91.13</v>
      </c>
      <c r="AB690">
        <v>0</v>
      </c>
      <c r="AC690">
        <v>0</v>
      </c>
      <c r="AD690">
        <v>0</v>
      </c>
      <c r="AE690">
        <v>14.77</v>
      </c>
      <c r="AF690">
        <v>0</v>
      </c>
      <c r="AG690">
        <v>0</v>
      </c>
      <c r="AH690">
        <v>0</v>
      </c>
      <c r="AI690">
        <v>6.17</v>
      </c>
      <c r="AJ690">
        <v>1</v>
      </c>
      <c r="AK690">
        <v>1</v>
      </c>
      <c r="AL690">
        <v>1</v>
      </c>
      <c r="AN690">
        <v>0</v>
      </c>
      <c r="AO690">
        <v>1</v>
      </c>
      <c r="AP690">
        <v>0</v>
      </c>
      <c r="AQ690">
        <v>0</v>
      </c>
      <c r="AR690">
        <v>0</v>
      </c>
      <c r="AS690" t="s">
        <v>6</v>
      </c>
      <c r="AT690">
        <v>0.8</v>
      </c>
      <c r="AU690" t="s">
        <v>6</v>
      </c>
      <c r="AV690">
        <v>0</v>
      </c>
      <c r="AW690">
        <v>2</v>
      </c>
      <c r="AX690">
        <v>31030237</v>
      </c>
      <c r="AY690">
        <v>1</v>
      </c>
      <c r="AZ690">
        <v>0</v>
      </c>
      <c r="BA690">
        <v>721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0</v>
      </c>
      <c r="BQ690">
        <v>0</v>
      </c>
      <c r="BR690">
        <v>0</v>
      </c>
      <c r="BS690">
        <v>0</v>
      </c>
      <c r="BT690">
        <v>0</v>
      </c>
      <c r="BU690">
        <v>0</v>
      </c>
      <c r="BV690">
        <v>0</v>
      </c>
      <c r="BW690">
        <v>0</v>
      </c>
      <c r="CX690">
        <f>Y690*Source!I273</f>
        <v>1.92</v>
      </c>
      <c r="CY690">
        <f t="shared" si="142"/>
        <v>91.13</v>
      </c>
      <c r="CZ690">
        <f t="shared" si="143"/>
        <v>14.77</v>
      </c>
      <c r="DA690">
        <f t="shared" si="144"/>
        <v>6.17</v>
      </c>
      <c r="DB690">
        <f t="shared" si="145"/>
        <v>11.82</v>
      </c>
      <c r="DC690">
        <f t="shared" si="146"/>
        <v>0</v>
      </c>
    </row>
    <row r="691" spans="1:107">
      <c r="A691">
        <f>ROW(Source!A273)</f>
        <v>273</v>
      </c>
      <c r="B691">
        <v>31028412</v>
      </c>
      <c r="C691">
        <v>31030212</v>
      </c>
      <c r="D691">
        <v>29151931</v>
      </c>
      <c r="E691">
        <v>1</v>
      </c>
      <c r="F691">
        <v>1</v>
      </c>
      <c r="G691">
        <v>1</v>
      </c>
      <c r="H691">
        <v>3</v>
      </c>
      <c r="I691" t="s">
        <v>1231</v>
      </c>
      <c r="J691" t="s">
        <v>1232</v>
      </c>
      <c r="K691" t="s">
        <v>1233</v>
      </c>
      <c r="L691">
        <v>1346</v>
      </c>
      <c r="N691">
        <v>1009</v>
      </c>
      <c r="O691" t="s">
        <v>118</v>
      </c>
      <c r="P691" t="s">
        <v>118</v>
      </c>
      <c r="Q691">
        <v>1</v>
      </c>
      <c r="W691">
        <v>0</v>
      </c>
      <c r="X691">
        <v>-1819816298</v>
      </c>
      <c r="Y691">
        <v>0.04</v>
      </c>
      <c r="AA691">
        <v>230.08</v>
      </c>
      <c r="AB691">
        <v>0</v>
      </c>
      <c r="AC691">
        <v>0</v>
      </c>
      <c r="AD691">
        <v>0</v>
      </c>
      <c r="AE691">
        <v>37.29</v>
      </c>
      <c r="AF691">
        <v>0</v>
      </c>
      <c r="AG691">
        <v>0</v>
      </c>
      <c r="AH691">
        <v>0</v>
      </c>
      <c r="AI691">
        <v>6.17</v>
      </c>
      <c r="AJ691">
        <v>1</v>
      </c>
      <c r="AK691">
        <v>1</v>
      </c>
      <c r="AL691">
        <v>1</v>
      </c>
      <c r="AN691">
        <v>0</v>
      </c>
      <c r="AO691">
        <v>1</v>
      </c>
      <c r="AP691">
        <v>0</v>
      </c>
      <c r="AQ691">
        <v>0</v>
      </c>
      <c r="AR691">
        <v>0</v>
      </c>
      <c r="AS691" t="s">
        <v>6</v>
      </c>
      <c r="AT691">
        <v>0.04</v>
      </c>
      <c r="AU691" t="s">
        <v>6</v>
      </c>
      <c r="AV691">
        <v>0</v>
      </c>
      <c r="AW691">
        <v>2</v>
      </c>
      <c r="AX691">
        <v>31030238</v>
      </c>
      <c r="AY691">
        <v>1</v>
      </c>
      <c r="AZ691">
        <v>0</v>
      </c>
      <c r="BA691">
        <v>722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0</v>
      </c>
      <c r="BR691">
        <v>0</v>
      </c>
      <c r="BS691">
        <v>0</v>
      </c>
      <c r="BT691">
        <v>0</v>
      </c>
      <c r="BU691">
        <v>0</v>
      </c>
      <c r="BV691">
        <v>0</v>
      </c>
      <c r="BW691">
        <v>0</v>
      </c>
      <c r="CX691">
        <f>Y691*Source!I273</f>
        <v>9.6000000000000002E-2</v>
      </c>
      <c r="CY691">
        <f t="shared" si="142"/>
        <v>230.08</v>
      </c>
      <c r="CZ691">
        <f t="shared" si="143"/>
        <v>37.29</v>
      </c>
      <c r="DA691">
        <f t="shared" si="144"/>
        <v>6.17</v>
      </c>
      <c r="DB691">
        <f t="shared" si="145"/>
        <v>1.49</v>
      </c>
      <c r="DC691">
        <f t="shared" si="146"/>
        <v>0</v>
      </c>
    </row>
    <row r="692" spans="1:107">
      <c r="A692">
        <f>ROW(Source!A273)</f>
        <v>273</v>
      </c>
      <c r="B692">
        <v>31028412</v>
      </c>
      <c r="C692">
        <v>31030212</v>
      </c>
      <c r="D692">
        <v>29152092</v>
      </c>
      <c r="E692">
        <v>1</v>
      </c>
      <c r="F692">
        <v>1</v>
      </c>
      <c r="G692">
        <v>1</v>
      </c>
      <c r="H692">
        <v>3</v>
      </c>
      <c r="I692" t="s">
        <v>1252</v>
      </c>
      <c r="J692" t="s">
        <v>1253</v>
      </c>
      <c r="K692" t="s">
        <v>1254</v>
      </c>
      <c r="L692">
        <v>1346</v>
      </c>
      <c r="N692">
        <v>1009</v>
      </c>
      <c r="O692" t="s">
        <v>118</v>
      </c>
      <c r="P692" t="s">
        <v>118</v>
      </c>
      <c r="Q692">
        <v>1</v>
      </c>
      <c r="W692">
        <v>0</v>
      </c>
      <c r="X692">
        <v>-1895641875</v>
      </c>
      <c r="Y692">
        <v>4</v>
      </c>
      <c r="AA692">
        <v>63.55</v>
      </c>
      <c r="AB692">
        <v>0</v>
      </c>
      <c r="AC692">
        <v>0</v>
      </c>
      <c r="AD692">
        <v>0</v>
      </c>
      <c r="AE692">
        <v>10.3</v>
      </c>
      <c r="AF692">
        <v>0</v>
      </c>
      <c r="AG692">
        <v>0</v>
      </c>
      <c r="AH692">
        <v>0</v>
      </c>
      <c r="AI692">
        <v>6.17</v>
      </c>
      <c r="AJ692">
        <v>1</v>
      </c>
      <c r="AK692">
        <v>1</v>
      </c>
      <c r="AL692">
        <v>1</v>
      </c>
      <c r="AN692">
        <v>0</v>
      </c>
      <c r="AO692">
        <v>1</v>
      </c>
      <c r="AP692">
        <v>0</v>
      </c>
      <c r="AQ692">
        <v>0</v>
      </c>
      <c r="AR692">
        <v>0</v>
      </c>
      <c r="AS692" t="s">
        <v>6</v>
      </c>
      <c r="AT692">
        <v>4</v>
      </c>
      <c r="AU692" t="s">
        <v>6</v>
      </c>
      <c r="AV692">
        <v>0</v>
      </c>
      <c r="AW692">
        <v>2</v>
      </c>
      <c r="AX692">
        <v>31030239</v>
      </c>
      <c r="AY692">
        <v>1</v>
      </c>
      <c r="AZ692">
        <v>0</v>
      </c>
      <c r="BA692">
        <v>723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0</v>
      </c>
      <c r="BR692">
        <v>0</v>
      </c>
      <c r="BS692">
        <v>0</v>
      </c>
      <c r="BT692">
        <v>0</v>
      </c>
      <c r="BU692">
        <v>0</v>
      </c>
      <c r="BV692">
        <v>0</v>
      </c>
      <c r="BW692">
        <v>0</v>
      </c>
      <c r="CX692">
        <f>Y692*Source!I273</f>
        <v>9.6</v>
      </c>
      <c r="CY692">
        <f t="shared" si="142"/>
        <v>63.55</v>
      </c>
      <c r="CZ692">
        <f t="shared" si="143"/>
        <v>10.3</v>
      </c>
      <c r="DA692">
        <f t="shared" si="144"/>
        <v>6.17</v>
      </c>
      <c r="DB692">
        <f t="shared" si="145"/>
        <v>41.2</v>
      </c>
      <c r="DC692">
        <f t="shared" si="146"/>
        <v>0</v>
      </c>
    </row>
    <row r="693" spans="1:107">
      <c r="A693">
        <f>ROW(Source!A273)</f>
        <v>273</v>
      </c>
      <c r="B693">
        <v>31028412</v>
      </c>
      <c r="C693">
        <v>31030212</v>
      </c>
      <c r="D693">
        <v>29152383</v>
      </c>
      <c r="E693">
        <v>1</v>
      </c>
      <c r="F693">
        <v>1</v>
      </c>
      <c r="G693">
        <v>1</v>
      </c>
      <c r="H693">
        <v>3</v>
      </c>
      <c r="I693" t="s">
        <v>1255</v>
      </c>
      <c r="J693" t="s">
        <v>1256</v>
      </c>
      <c r="K693" t="s">
        <v>1257</v>
      </c>
      <c r="L693">
        <v>1348</v>
      </c>
      <c r="N693">
        <v>1009</v>
      </c>
      <c r="O693" t="s">
        <v>137</v>
      </c>
      <c r="P693" t="s">
        <v>137</v>
      </c>
      <c r="Q693">
        <v>1000</v>
      </c>
      <c r="W693">
        <v>0</v>
      </c>
      <c r="X693">
        <v>-915142653</v>
      </c>
      <c r="Y693">
        <v>5.0000000000000001E-4</v>
      </c>
      <c r="AA693">
        <v>76693.100000000006</v>
      </c>
      <c r="AB693">
        <v>0</v>
      </c>
      <c r="AC693">
        <v>0</v>
      </c>
      <c r="AD693">
        <v>0</v>
      </c>
      <c r="AE693">
        <v>12430</v>
      </c>
      <c r="AF693">
        <v>0</v>
      </c>
      <c r="AG693">
        <v>0</v>
      </c>
      <c r="AH693">
        <v>0</v>
      </c>
      <c r="AI693">
        <v>6.17</v>
      </c>
      <c r="AJ693">
        <v>1</v>
      </c>
      <c r="AK693">
        <v>1</v>
      </c>
      <c r="AL693">
        <v>1</v>
      </c>
      <c r="AN693">
        <v>0</v>
      </c>
      <c r="AO693">
        <v>1</v>
      </c>
      <c r="AP693">
        <v>0</v>
      </c>
      <c r="AQ693">
        <v>0</v>
      </c>
      <c r="AR693">
        <v>0</v>
      </c>
      <c r="AS693" t="s">
        <v>6</v>
      </c>
      <c r="AT693">
        <v>5.0000000000000001E-4</v>
      </c>
      <c r="AU693" t="s">
        <v>6</v>
      </c>
      <c r="AV693">
        <v>0</v>
      </c>
      <c r="AW693">
        <v>2</v>
      </c>
      <c r="AX693">
        <v>31030240</v>
      </c>
      <c r="AY693">
        <v>1</v>
      </c>
      <c r="AZ693">
        <v>0</v>
      </c>
      <c r="BA693">
        <v>724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0</v>
      </c>
      <c r="BR693">
        <v>0</v>
      </c>
      <c r="BS693">
        <v>0</v>
      </c>
      <c r="BT693">
        <v>0</v>
      </c>
      <c r="BU693">
        <v>0</v>
      </c>
      <c r="BV693">
        <v>0</v>
      </c>
      <c r="BW693">
        <v>0</v>
      </c>
      <c r="CX693">
        <f>Y693*Source!I273</f>
        <v>1.1999999999999999E-3</v>
      </c>
      <c r="CY693">
        <f t="shared" si="142"/>
        <v>76693.100000000006</v>
      </c>
      <c r="CZ693">
        <f t="shared" si="143"/>
        <v>12430</v>
      </c>
      <c r="DA693">
        <f t="shared" si="144"/>
        <v>6.17</v>
      </c>
      <c r="DB693">
        <f t="shared" si="145"/>
        <v>6.22</v>
      </c>
      <c r="DC693">
        <f t="shared" si="146"/>
        <v>0</v>
      </c>
    </row>
    <row r="694" spans="1:107">
      <c r="A694">
        <f>ROW(Source!A273)</f>
        <v>273</v>
      </c>
      <c r="B694">
        <v>31028412</v>
      </c>
      <c r="C694">
        <v>31030212</v>
      </c>
      <c r="D694">
        <v>29152402</v>
      </c>
      <c r="E694">
        <v>1</v>
      </c>
      <c r="F694">
        <v>1</v>
      </c>
      <c r="G694">
        <v>1</v>
      </c>
      <c r="H694">
        <v>3</v>
      </c>
      <c r="I694" t="s">
        <v>1258</v>
      </c>
      <c r="J694" t="s">
        <v>1259</v>
      </c>
      <c r="K694" t="s">
        <v>1260</v>
      </c>
      <c r="L694">
        <v>1358</v>
      </c>
      <c r="N694">
        <v>1010</v>
      </c>
      <c r="O694" t="s">
        <v>1261</v>
      </c>
      <c r="P694" t="s">
        <v>1261</v>
      </c>
      <c r="Q694">
        <v>10</v>
      </c>
      <c r="W694">
        <v>0</v>
      </c>
      <c r="X694">
        <v>914090633</v>
      </c>
      <c r="Y694">
        <v>4</v>
      </c>
      <c r="AA694">
        <v>11.11</v>
      </c>
      <c r="AB694">
        <v>0</v>
      </c>
      <c r="AC694">
        <v>0</v>
      </c>
      <c r="AD694">
        <v>0</v>
      </c>
      <c r="AE694">
        <v>1.8</v>
      </c>
      <c r="AF694">
        <v>0</v>
      </c>
      <c r="AG694">
        <v>0</v>
      </c>
      <c r="AH694">
        <v>0</v>
      </c>
      <c r="AI694">
        <v>6.17</v>
      </c>
      <c r="AJ694">
        <v>1</v>
      </c>
      <c r="AK694">
        <v>1</v>
      </c>
      <c r="AL694">
        <v>1</v>
      </c>
      <c r="AN694">
        <v>0</v>
      </c>
      <c r="AO694">
        <v>1</v>
      </c>
      <c r="AP694">
        <v>0</v>
      </c>
      <c r="AQ694">
        <v>0</v>
      </c>
      <c r="AR694">
        <v>0</v>
      </c>
      <c r="AS694" t="s">
        <v>6</v>
      </c>
      <c r="AT694">
        <v>4</v>
      </c>
      <c r="AU694" t="s">
        <v>6</v>
      </c>
      <c r="AV694">
        <v>0</v>
      </c>
      <c r="AW694">
        <v>2</v>
      </c>
      <c r="AX694">
        <v>31030241</v>
      </c>
      <c r="AY694">
        <v>1</v>
      </c>
      <c r="AZ694">
        <v>0</v>
      </c>
      <c r="BA694">
        <v>725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0</v>
      </c>
      <c r="CX694">
        <f>Y694*Source!I273</f>
        <v>9.6</v>
      </c>
      <c r="CY694">
        <f t="shared" si="142"/>
        <v>11.11</v>
      </c>
      <c r="CZ694">
        <f t="shared" si="143"/>
        <v>1.8</v>
      </c>
      <c r="DA694">
        <f t="shared" si="144"/>
        <v>6.17</v>
      </c>
      <c r="DB694">
        <f t="shared" si="145"/>
        <v>7.2</v>
      </c>
      <c r="DC694">
        <f t="shared" si="146"/>
        <v>0</v>
      </c>
    </row>
    <row r="695" spans="1:107">
      <c r="A695">
        <f>ROW(Source!A273)</f>
        <v>273</v>
      </c>
      <c r="B695">
        <v>31028412</v>
      </c>
      <c r="C695">
        <v>31030212</v>
      </c>
      <c r="D695">
        <v>29164664</v>
      </c>
      <c r="E695">
        <v>1</v>
      </c>
      <c r="F695">
        <v>1</v>
      </c>
      <c r="G695">
        <v>1</v>
      </c>
      <c r="H695">
        <v>3</v>
      </c>
      <c r="I695" t="s">
        <v>1262</v>
      </c>
      <c r="J695" t="s">
        <v>1263</v>
      </c>
      <c r="K695" t="s">
        <v>1264</v>
      </c>
      <c r="L695">
        <v>1348</v>
      </c>
      <c r="N695">
        <v>1009</v>
      </c>
      <c r="O695" t="s">
        <v>137</v>
      </c>
      <c r="P695" t="s">
        <v>137</v>
      </c>
      <c r="Q695">
        <v>1000</v>
      </c>
      <c r="W695">
        <v>0</v>
      </c>
      <c r="X695">
        <v>1917553868</v>
      </c>
      <c r="Y695">
        <v>8.0000000000000004E-4</v>
      </c>
      <c r="AA695">
        <v>63871.839999999997</v>
      </c>
      <c r="AB695">
        <v>0</v>
      </c>
      <c r="AC695">
        <v>0</v>
      </c>
      <c r="AD695">
        <v>0</v>
      </c>
      <c r="AE695">
        <v>10352</v>
      </c>
      <c r="AF695">
        <v>0</v>
      </c>
      <c r="AG695">
        <v>0</v>
      </c>
      <c r="AH695">
        <v>0</v>
      </c>
      <c r="AI695">
        <v>6.17</v>
      </c>
      <c r="AJ695">
        <v>1</v>
      </c>
      <c r="AK695">
        <v>1</v>
      </c>
      <c r="AL695">
        <v>1</v>
      </c>
      <c r="AN695">
        <v>0</v>
      </c>
      <c r="AO695">
        <v>1</v>
      </c>
      <c r="AP695">
        <v>0</v>
      </c>
      <c r="AQ695">
        <v>0</v>
      </c>
      <c r="AR695">
        <v>0</v>
      </c>
      <c r="AS695" t="s">
        <v>6</v>
      </c>
      <c r="AT695">
        <v>8.0000000000000004E-4</v>
      </c>
      <c r="AU695" t="s">
        <v>6</v>
      </c>
      <c r="AV695">
        <v>0</v>
      </c>
      <c r="AW695">
        <v>2</v>
      </c>
      <c r="AX695">
        <v>31030242</v>
      </c>
      <c r="AY695">
        <v>1</v>
      </c>
      <c r="AZ695">
        <v>0</v>
      </c>
      <c r="BA695">
        <v>726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0</v>
      </c>
      <c r="BW695">
        <v>0</v>
      </c>
      <c r="CX695">
        <f>Y695*Source!I273</f>
        <v>1.92E-3</v>
      </c>
      <c r="CY695">
        <f t="shared" si="142"/>
        <v>63871.839999999997</v>
      </c>
      <c r="CZ695">
        <f t="shared" si="143"/>
        <v>10352</v>
      </c>
      <c r="DA695">
        <f t="shared" si="144"/>
        <v>6.17</v>
      </c>
      <c r="DB695">
        <f t="shared" si="145"/>
        <v>8.2799999999999994</v>
      </c>
      <c r="DC695">
        <f t="shared" si="146"/>
        <v>0</v>
      </c>
    </row>
    <row r="696" spans="1:107">
      <c r="A696">
        <f>ROW(Source!A273)</f>
        <v>273</v>
      </c>
      <c r="B696">
        <v>31028412</v>
      </c>
      <c r="C696">
        <v>31030212</v>
      </c>
      <c r="D696">
        <v>29176453</v>
      </c>
      <c r="E696">
        <v>1</v>
      </c>
      <c r="F696">
        <v>1</v>
      </c>
      <c r="G696">
        <v>1</v>
      </c>
      <c r="H696">
        <v>3</v>
      </c>
      <c r="I696" t="s">
        <v>1265</v>
      </c>
      <c r="J696" t="s">
        <v>1266</v>
      </c>
      <c r="K696" t="s">
        <v>1267</v>
      </c>
      <c r="L696">
        <v>1035</v>
      </c>
      <c r="N696">
        <v>1013</v>
      </c>
      <c r="O696" t="s">
        <v>292</v>
      </c>
      <c r="P696" t="s">
        <v>292</v>
      </c>
      <c r="Q696">
        <v>1</v>
      </c>
      <c r="W696">
        <v>0</v>
      </c>
      <c r="X696">
        <v>-1565434043</v>
      </c>
      <c r="Y696">
        <v>10</v>
      </c>
      <c r="AA696">
        <v>2133.83</v>
      </c>
      <c r="AB696">
        <v>0</v>
      </c>
      <c r="AC696">
        <v>0</v>
      </c>
      <c r="AD696">
        <v>0</v>
      </c>
      <c r="AE696">
        <v>345.84</v>
      </c>
      <c r="AF696">
        <v>0</v>
      </c>
      <c r="AG696">
        <v>0</v>
      </c>
      <c r="AH696">
        <v>0</v>
      </c>
      <c r="AI696">
        <v>6.17</v>
      </c>
      <c r="AJ696">
        <v>1</v>
      </c>
      <c r="AK696">
        <v>1</v>
      </c>
      <c r="AL696">
        <v>1</v>
      </c>
      <c r="AN696">
        <v>0</v>
      </c>
      <c r="AO696">
        <v>1</v>
      </c>
      <c r="AP696">
        <v>0</v>
      </c>
      <c r="AQ696">
        <v>0</v>
      </c>
      <c r="AR696">
        <v>0</v>
      </c>
      <c r="AS696" t="s">
        <v>6</v>
      </c>
      <c r="AT696">
        <v>10</v>
      </c>
      <c r="AU696" t="s">
        <v>6</v>
      </c>
      <c r="AV696">
        <v>0</v>
      </c>
      <c r="AW696">
        <v>2</v>
      </c>
      <c r="AX696">
        <v>31030243</v>
      </c>
      <c r="AY696">
        <v>1</v>
      </c>
      <c r="AZ696">
        <v>0</v>
      </c>
      <c r="BA696">
        <v>727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0</v>
      </c>
      <c r="BR696">
        <v>0</v>
      </c>
      <c r="BS696">
        <v>0</v>
      </c>
      <c r="BT696">
        <v>0</v>
      </c>
      <c r="BU696">
        <v>0</v>
      </c>
      <c r="BV696">
        <v>0</v>
      </c>
      <c r="BW696">
        <v>0</v>
      </c>
      <c r="CX696">
        <f>Y696*Source!I273</f>
        <v>24</v>
      </c>
      <c r="CY696">
        <f t="shared" si="142"/>
        <v>2133.83</v>
      </c>
      <c r="CZ696">
        <f t="shared" si="143"/>
        <v>345.84</v>
      </c>
      <c r="DA696">
        <f t="shared" si="144"/>
        <v>6.17</v>
      </c>
      <c r="DB696">
        <f t="shared" si="145"/>
        <v>3458.4</v>
      </c>
      <c r="DC696">
        <f t="shared" si="146"/>
        <v>0</v>
      </c>
    </row>
    <row r="697" spans="1:107">
      <c r="A697">
        <f>ROW(Source!A273)</f>
        <v>273</v>
      </c>
      <c r="B697">
        <v>31028412</v>
      </c>
      <c r="C697">
        <v>31030212</v>
      </c>
      <c r="D697">
        <v>29209881</v>
      </c>
      <c r="E697">
        <v>1</v>
      </c>
      <c r="F697">
        <v>1</v>
      </c>
      <c r="G697">
        <v>1</v>
      </c>
      <c r="H697">
        <v>3</v>
      </c>
      <c r="I697" t="s">
        <v>1268</v>
      </c>
      <c r="J697" t="s">
        <v>1269</v>
      </c>
      <c r="K697" t="s">
        <v>1270</v>
      </c>
      <c r="L697">
        <v>1346</v>
      </c>
      <c r="N697">
        <v>1009</v>
      </c>
      <c r="O697" t="s">
        <v>118</v>
      </c>
      <c r="P697" t="s">
        <v>118</v>
      </c>
      <c r="Q697">
        <v>1</v>
      </c>
      <c r="W697">
        <v>0</v>
      </c>
      <c r="X697">
        <v>383656571</v>
      </c>
      <c r="Y697">
        <v>20</v>
      </c>
      <c r="AA697">
        <v>43.75</v>
      </c>
      <c r="AB697">
        <v>0</v>
      </c>
      <c r="AC697">
        <v>0</v>
      </c>
      <c r="AD697">
        <v>0</v>
      </c>
      <c r="AE697">
        <v>7.09</v>
      </c>
      <c r="AF697">
        <v>0</v>
      </c>
      <c r="AG697">
        <v>0</v>
      </c>
      <c r="AH697">
        <v>0</v>
      </c>
      <c r="AI697">
        <v>6.17</v>
      </c>
      <c r="AJ697">
        <v>1</v>
      </c>
      <c r="AK697">
        <v>1</v>
      </c>
      <c r="AL697">
        <v>1</v>
      </c>
      <c r="AN697">
        <v>0</v>
      </c>
      <c r="AO697">
        <v>1</v>
      </c>
      <c r="AP697">
        <v>0</v>
      </c>
      <c r="AQ697">
        <v>0</v>
      </c>
      <c r="AR697">
        <v>0</v>
      </c>
      <c r="AS697" t="s">
        <v>6</v>
      </c>
      <c r="AT697">
        <v>20</v>
      </c>
      <c r="AU697" t="s">
        <v>6</v>
      </c>
      <c r="AV697">
        <v>0</v>
      </c>
      <c r="AW697">
        <v>2</v>
      </c>
      <c r="AX697">
        <v>31030244</v>
      </c>
      <c r="AY697">
        <v>1</v>
      </c>
      <c r="AZ697">
        <v>0</v>
      </c>
      <c r="BA697">
        <v>728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0</v>
      </c>
      <c r="CX697">
        <f>Y697*Source!I273</f>
        <v>48</v>
      </c>
      <c r="CY697">
        <f t="shared" si="142"/>
        <v>43.75</v>
      </c>
      <c r="CZ697">
        <f t="shared" si="143"/>
        <v>7.09</v>
      </c>
      <c r="DA697">
        <f t="shared" si="144"/>
        <v>6.17</v>
      </c>
      <c r="DB697">
        <f t="shared" si="145"/>
        <v>141.80000000000001</v>
      </c>
      <c r="DC697">
        <f t="shared" si="146"/>
        <v>0</v>
      </c>
    </row>
    <row r="698" spans="1:107">
      <c r="A698">
        <f>ROW(Source!A274)</f>
        <v>274</v>
      </c>
      <c r="B698">
        <v>31028412</v>
      </c>
      <c r="C698">
        <v>31030245</v>
      </c>
      <c r="D698">
        <v>29084579</v>
      </c>
      <c r="E698">
        <v>1</v>
      </c>
      <c r="F698">
        <v>1</v>
      </c>
      <c r="G698">
        <v>1</v>
      </c>
      <c r="H698">
        <v>1</v>
      </c>
      <c r="I698" t="s">
        <v>849</v>
      </c>
      <c r="J698" t="s">
        <v>6</v>
      </c>
      <c r="K698" t="s">
        <v>850</v>
      </c>
      <c r="L698">
        <v>1369</v>
      </c>
      <c r="N698">
        <v>1013</v>
      </c>
      <c r="O698" t="s">
        <v>773</v>
      </c>
      <c r="P698" t="s">
        <v>773</v>
      </c>
      <c r="Q698">
        <v>1</v>
      </c>
      <c r="W698">
        <v>0</v>
      </c>
      <c r="X698">
        <v>260198247</v>
      </c>
      <c r="Y698">
        <v>28.632124999999995</v>
      </c>
      <c r="AA698">
        <v>0</v>
      </c>
      <c r="AB698">
        <v>0</v>
      </c>
      <c r="AC698">
        <v>0</v>
      </c>
      <c r="AD698">
        <v>225</v>
      </c>
      <c r="AE698">
        <v>0</v>
      </c>
      <c r="AF698">
        <v>0</v>
      </c>
      <c r="AG698">
        <v>0</v>
      </c>
      <c r="AH698">
        <v>9.2899999999999991</v>
      </c>
      <c r="AI698">
        <v>1</v>
      </c>
      <c r="AJ698">
        <v>1</v>
      </c>
      <c r="AK698">
        <v>1</v>
      </c>
      <c r="AL698">
        <v>24.22</v>
      </c>
      <c r="AN698">
        <v>0</v>
      </c>
      <c r="AO698">
        <v>1</v>
      </c>
      <c r="AP698">
        <v>1</v>
      </c>
      <c r="AQ698">
        <v>0</v>
      </c>
      <c r="AR698">
        <v>0</v>
      </c>
      <c r="AS698" t="s">
        <v>6</v>
      </c>
      <c r="AT698">
        <v>21.65</v>
      </c>
      <c r="AU698" t="s">
        <v>127</v>
      </c>
      <c r="AV698">
        <v>1</v>
      </c>
      <c r="AW698">
        <v>2</v>
      </c>
      <c r="AX698">
        <v>31030259</v>
      </c>
      <c r="AY698">
        <v>1</v>
      </c>
      <c r="AZ698">
        <v>0</v>
      </c>
      <c r="BA698">
        <v>729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CX698">
        <f>Y698*Source!I274</f>
        <v>91.622799999999984</v>
      </c>
      <c r="CY698">
        <f>AD698</f>
        <v>225</v>
      </c>
      <c r="CZ698">
        <f>AH698</f>
        <v>9.2899999999999991</v>
      </c>
      <c r="DA698">
        <f>AL698</f>
        <v>24.22</v>
      </c>
      <c r="DB698">
        <f>ROUND((ROUND(AT698*CZ698,2)*ROUND((1.15*1.15),7)),6)</f>
        <v>265.99442499999998</v>
      </c>
      <c r="DC698">
        <f>ROUND((ROUND(AT698*AG698,2)*ROUND((1.15*1.15),7)),6)</f>
        <v>0</v>
      </c>
    </row>
    <row r="699" spans="1:107">
      <c r="A699">
        <f>ROW(Source!A274)</f>
        <v>274</v>
      </c>
      <c r="B699">
        <v>31028412</v>
      </c>
      <c r="C699">
        <v>31030245</v>
      </c>
      <c r="D699">
        <v>29084573</v>
      </c>
      <c r="E699">
        <v>1</v>
      </c>
      <c r="F699">
        <v>1</v>
      </c>
      <c r="G699">
        <v>1</v>
      </c>
      <c r="H699">
        <v>1</v>
      </c>
      <c r="I699" t="s">
        <v>774</v>
      </c>
      <c r="J699" t="s">
        <v>6</v>
      </c>
      <c r="K699" t="s">
        <v>775</v>
      </c>
      <c r="L699">
        <v>608254</v>
      </c>
      <c r="N699">
        <v>1013</v>
      </c>
      <c r="O699" t="s">
        <v>776</v>
      </c>
      <c r="P699" t="s">
        <v>776</v>
      </c>
      <c r="Q699">
        <v>1</v>
      </c>
      <c r="W699">
        <v>0</v>
      </c>
      <c r="X699">
        <v>95408949</v>
      </c>
      <c r="Y699">
        <v>0.18687499999999999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1</v>
      </c>
      <c r="AJ699">
        <v>1</v>
      </c>
      <c r="AK699">
        <v>24.22</v>
      </c>
      <c r="AL699">
        <v>1</v>
      </c>
      <c r="AN699">
        <v>0</v>
      </c>
      <c r="AO699">
        <v>1</v>
      </c>
      <c r="AP699">
        <v>1</v>
      </c>
      <c r="AQ699">
        <v>0</v>
      </c>
      <c r="AR699">
        <v>0</v>
      </c>
      <c r="AS699" t="s">
        <v>6</v>
      </c>
      <c r="AT699">
        <v>0.13</v>
      </c>
      <c r="AU699" t="s">
        <v>126</v>
      </c>
      <c r="AV699">
        <v>2</v>
      </c>
      <c r="AW699">
        <v>2</v>
      </c>
      <c r="AX699">
        <v>31030260</v>
      </c>
      <c r="AY699">
        <v>1</v>
      </c>
      <c r="AZ699">
        <v>0</v>
      </c>
      <c r="BA699">
        <v>730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0</v>
      </c>
      <c r="BQ699">
        <v>0</v>
      </c>
      <c r="BR699">
        <v>0</v>
      </c>
      <c r="BS699">
        <v>0</v>
      </c>
      <c r="BT699">
        <v>0</v>
      </c>
      <c r="BU699">
        <v>0</v>
      </c>
      <c r="BV699">
        <v>0</v>
      </c>
      <c r="BW699">
        <v>0</v>
      </c>
      <c r="CX699">
        <f>Y699*Source!I274</f>
        <v>0.59799999999999998</v>
      </c>
      <c r="CY699">
        <f>AD699</f>
        <v>0</v>
      </c>
      <c r="CZ699">
        <f>AH699</f>
        <v>0</v>
      </c>
      <c r="DA699">
        <f>AL699</f>
        <v>1</v>
      </c>
      <c r="DB699">
        <f>ROUND((ROUND(AT699*CZ699,2)*ROUND((1.25*1.15),7)),6)</f>
        <v>0</v>
      </c>
      <c r="DC699">
        <f>ROUND((ROUND(AT699*AG699,2)*ROUND((1.25*1.15),7)),6)</f>
        <v>0</v>
      </c>
    </row>
    <row r="700" spans="1:107">
      <c r="A700">
        <f>ROW(Source!A274)</f>
        <v>274</v>
      </c>
      <c r="B700">
        <v>31028412</v>
      </c>
      <c r="C700">
        <v>31030245</v>
      </c>
      <c r="D700">
        <v>29147732</v>
      </c>
      <c r="E700">
        <v>1</v>
      </c>
      <c r="F700">
        <v>1</v>
      </c>
      <c r="G700">
        <v>1</v>
      </c>
      <c r="H700">
        <v>2</v>
      </c>
      <c r="I700" t="s">
        <v>846</v>
      </c>
      <c r="J700" t="s">
        <v>847</v>
      </c>
      <c r="K700" t="s">
        <v>848</v>
      </c>
      <c r="L700">
        <v>1368</v>
      </c>
      <c r="N700">
        <v>1011</v>
      </c>
      <c r="O700" t="s">
        <v>780</v>
      </c>
      <c r="P700" t="s">
        <v>780</v>
      </c>
      <c r="Q700">
        <v>1</v>
      </c>
      <c r="W700">
        <v>0</v>
      </c>
      <c r="X700">
        <v>-1205898307</v>
      </c>
      <c r="Y700">
        <v>0.18687499999999999</v>
      </c>
      <c r="AA700">
        <v>0</v>
      </c>
      <c r="AB700">
        <v>235.69</v>
      </c>
      <c r="AC700">
        <v>315.58999999999997</v>
      </c>
      <c r="AD700">
        <v>0</v>
      </c>
      <c r="AE700">
        <v>0</v>
      </c>
      <c r="AF700">
        <v>30.85</v>
      </c>
      <c r="AG700">
        <v>13.03</v>
      </c>
      <c r="AH700">
        <v>0</v>
      </c>
      <c r="AI700">
        <v>1</v>
      </c>
      <c r="AJ700">
        <v>7.64</v>
      </c>
      <c r="AK700">
        <v>24.22</v>
      </c>
      <c r="AL700">
        <v>1</v>
      </c>
      <c r="AN700">
        <v>0</v>
      </c>
      <c r="AO700">
        <v>1</v>
      </c>
      <c r="AP700">
        <v>1</v>
      </c>
      <c r="AQ700">
        <v>0</v>
      </c>
      <c r="AR700">
        <v>0</v>
      </c>
      <c r="AS700" t="s">
        <v>6</v>
      </c>
      <c r="AT700">
        <v>0.13</v>
      </c>
      <c r="AU700" t="s">
        <v>126</v>
      </c>
      <c r="AV700">
        <v>0</v>
      </c>
      <c r="AW700">
        <v>2</v>
      </c>
      <c r="AX700">
        <v>31030261</v>
      </c>
      <c r="AY700">
        <v>1</v>
      </c>
      <c r="AZ700">
        <v>0</v>
      </c>
      <c r="BA700">
        <v>731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0</v>
      </c>
      <c r="BW700">
        <v>0</v>
      </c>
      <c r="CX700">
        <f>Y700*Source!I274</f>
        <v>0.59799999999999998</v>
      </c>
      <c r="CY700">
        <f>AB700</f>
        <v>235.69</v>
      </c>
      <c r="CZ700">
        <f>AF700</f>
        <v>30.85</v>
      </c>
      <c r="DA700">
        <f>AJ700</f>
        <v>7.64</v>
      </c>
      <c r="DB700">
        <f>ROUND((ROUND(AT700*CZ700,2)*ROUND((1.25*1.15),7)),6)</f>
        <v>5.7643750000000002</v>
      </c>
      <c r="DC700">
        <f>ROUND((ROUND(AT700*AG700,2)*ROUND((1.25*1.15),7)),6)</f>
        <v>2.4293749999999998</v>
      </c>
    </row>
    <row r="701" spans="1:107">
      <c r="A701">
        <f>ROW(Source!A274)</f>
        <v>274</v>
      </c>
      <c r="B701">
        <v>31028412</v>
      </c>
      <c r="C701">
        <v>31030245</v>
      </c>
      <c r="D701">
        <v>29149183</v>
      </c>
      <c r="E701">
        <v>1</v>
      </c>
      <c r="F701">
        <v>1</v>
      </c>
      <c r="G701">
        <v>1</v>
      </c>
      <c r="H701">
        <v>2</v>
      </c>
      <c r="I701" t="s">
        <v>983</v>
      </c>
      <c r="J701" t="s">
        <v>984</v>
      </c>
      <c r="K701" t="s">
        <v>985</v>
      </c>
      <c r="L701">
        <v>1368</v>
      </c>
      <c r="N701">
        <v>1011</v>
      </c>
      <c r="O701" t="s">
        <v>780</v>
      </c>
      <c r="P701" t="s">
        <v>780</v>
      </c>
      <c r="Q701">
        <v>1</v>
      </c>
      <c r="W701">
        <v>0</v>
      </c>
      <c r="X701">
        <v>825056910</v>
      </c>
      <c r="Y701">
        <v>0.28749999999999998</v>
      </c>
      <c r="AA701">
        <v>0</v>
      </c>
      <c r="AB701">
        <v>14.9</v>
      </c>
      <c r="AC701">
        <v>0</v>
      </c>
      <c r="AD701">
        <v>0</v>
      </c>
      <c r="AE701">
        <v>0</v>
      </c>
      <c r="AF701">
        <v>1.95</v>
      </c>
      <c r="AG701">
        <v>0</v>
      </c>
      <c r="AH701">
        <v>0</v>
      </c>
      <c r="AI701">
        <v>1</v>
      </c>
      <c r="AJ701">
        <v>7.64</v>
      </c>
      <c r="AK701">
        <v>24.22</v>
      </c>
      <c r="AL701">
        <v>1</v>
      </c>
      <c r="AN701">
        <v>0</v>
      </c>
      <c r="AO701">
        <v>1</v>
      </c>
      <c r="AP701">
        <v>1</v>
      </c>
      <c r="AQ701">
        <v>0</v>
      </c>
      <c r="AR701">
        <v>0</v>
      </c>
      <c r="AS701" t="s">
        <v>6</v>
      </c>
      <c r="AT701">
        <v>0.2</v>
      </c>
      <c r="AU701" t="s">
        <v>126</v>
      </c>
      <c r="AV701">
        <v>0</v>
      </c>
      <c r="AW701">
        <v>2</v>
      </c>
      <c r="AX701">
        <v>31030262</v>
      </c>
      <c r="AY701">
        <v>1</v>
      </c>
      <c r="AZ701">
        <v>0</v>
      </c>
      <c r="BA701">
        <v>732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0</v>
      </c>
      <c r="BU701">
        <v>0</v>
      </c>
      <c r="BV701">
        <v>0</v>
      </c>
      <c r="BW701">
        <v>0</v>
      </c>
      <c r="CX701">
        <f>Y701*Source!I274</f>
        <v>0.91999999999999993</v>
      </c>
      <c r="CY701">
        <f>AB701</f>
        <v>14.9</v>
      </c>
      <c r="CZ701">
        <f>AF701</f>
        <v>1.95</v>
      </c>
      <c r="DA701">
        <f>AJ701</f>
        <v>7.64</v>
      </c>
      <c r="DB701">
        <f>ROUND((ROUND(AT701*CZ701,2)*ROUND((1.25*1.15),7)),6)</f>
        <v>0.56062500000000004</v>
      </c>
      <c r="DC701">
        <f>ROUND((ROUND(AT701*AG701,2)*ROUND((1.25*1.15),7)),6)</f>
        <v>0</v>
      </c>
    </row>
    <row r="702" spans="1:107">
      <c r="A702">
        <f>ROW(Source!A274)</f>
        <v>274</v>
      </c>
      <c r="B702">
        <v>31028412</v>
      </c>
      <c r="C702">
        <v>31030245</v>
      </c>
      <c r="D702">
        <v>29149520</v>
      </c>
      <c r="E702">
        <v>1</v>
      </c>
      <c r="F702">
        <v>1</v>
      </c>
      <c r="G702">
        <v>1</v>
      </c>
      <c r="H702">
        <v>2</v>
      </c>
      <c r="I702" t="s">
        <v>790</v>
      </c>
      <c r="J702" t="s">
        <v>791</v>
      </c>
      <c r="K702" t="s">
        <v>792</v>
      </c>
      <c r="L702">
        <v>1368</v>
      </c>
      <c r="N702">
        <v>1011</v>
      </c>
      <c r="O702" t="s">
        <v>780</v>
      </c>
      <c r="P702" t="s">
        <v>780</v>
      </c>
      <c r="Q702">
        <v>1</v>
      </c>
      <c r="W702">
        <v>0</v>
      </c>
      <c r="X702">
        <v>-1931461795</v>
      </c>
      <c r="Y702">
        <v>0.31624999999999998</v>
      </c>
      <c r="AA702">
        <v>0</v>
      </c>
      <c r="AB702">
        <v>699.98</v>
      </c>
      <c r="AC702">
        <v>0</v>
      </c>
      <c r="AD702">
        <v>0</v>
      </c>
      <c r="AE702">
        <v>0</v>
      </c>
      <c r="AF702">
        <v>91.62</v>
      </c>
      <c r="AG702">
        <v>0</v>
      </c>
      <c r="AH702">
        <v>0</v>
      </c>
      <c r="AI702">
        <v>1</v>
      </c>
      <c r="AJ702">
        <v>7.64</v>
      </c>
      <c r="AK702">
        <v>24.22</v>
      </c>
      <c r="AL702">
        <v>1</v>
      </c>
      <c r="AN702">
        <v>0</v>
      </c>
      <c r="AO702">
        <v>1</v>
      </c>
      <c r="AP702">
        <v>1</v>
      </c>
      <c r="AQ702">
        <v>0</v>
      </c>
      <c r="AR702">
        <v>0</v>
      </c>
      <c r="AS702" t="s">
        <v>6</v>
      </c>
      <c r="AT702">
        <v>0.22</v>
      </c>
      <c r="AU702" t="s">
        <v>126</v>
      </c>
      <c r="AV702">
        <v>0</v>
      </c>
      <c r="AW702">
        <v>2</v>
      </c>
      <c r="AX702">
        <v>31030263</v>
      </c>
      <c r="AY702">
        <v>1</v>
      </c>
      <c r="AZ702">
        <v>0</v>
      </c>
      <c r="BA702">
        <v>733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0</v>
      </c>
      <c r="CX702">
        <f>Y702*Source!I274</f>
        <v>1.012</v>
      </c>
      <c r="CY702">
        <f>AB702</f>
        <v>699.98</v>
      </c>
      <c r="CZ702">
        <f>AF702</f>
        <v>91.62</v>
      </c>
      <c r="DA702">
        <f>AJ702</f>
        <v>7.64</v>
      </c>
      <c r="DB702">
        <f>ROUND((ROUND(AT702*CZ702,2)*ROUND((1.25*1.15),7)),6)</f>
        <v>28.98</v>
      </c>
      <c r="DC702">
        <f>ROUND((ROUND(AT702*AG702,2)*ROUND((1.25*1.15),7)),6)</f>
        <v>0</v>
      </c>
    </row>
    <row r="703" spans="1:107">
      <c r="A703">
        <f>ROW(Source!A274)</f>
        <v>274</v>
      </c>
      <c r="B703">
        <v>31028412</v>
      </c>
      <c r="C703">
        <v>31030245</v>
      </c>
      <c r="D703">
        <v>29150746</v>
      </c>
      <c r="E703">
        <v>1</v>
      </c>
      <c r="F703">
        <v>1</v>
      </c>
      <c r="G703">
        <v>1</v>
      </c>
      <c r="H703">
        <v>3</v>
      </c>
      <c r="I703" t="s">
        <v>1225</v>
      </c>
      <c r="J703" t="s">
        <v>1226</v>
      </c>
      <c r="K703" t="s">
        <v>1227</v>
      </c>
      <c r="L703">
        <v>1348</v>
      </c>
      <c r="N703">
        <v>1009</v>
      </c>
      <c r="O703" t="s">
        <v>137</v>
      </c>
      <c r="P703" t="s">
        <v>137</v>
      </c>
      <c r="Q703">
        <v>1000</v>
      </c>
      <c r="W703">
        <v>0</v>
      </c>
      <c r="X703">
        <v>-2091594199</v>
      </c>
      <c r="Y703">
        <v>4.0000000000000002E-4</v>
      </c>
      <c r="AA703">
        <v>65402</v>
      </c>
      <c r="AB703">
        <v>0</v>
      </c>
      <c r="AC703">
        <v>0</v>
      </c>
      <c r="AD703">
        <v>0</v>
      </c>
      <c r="AE703">
        <v>10600</v>
      </c>
      <c r="AF703">
        <v>0</v>
      </c>
      <c r="AG703">
        <v>0</v>
      </c>
      <c r="AH703">
        <v>0</v>
      </c>
      <c r="AI703">
        <v>6.17</v>
      </c>
      <c r="AJ703">
        <v>1</v>
      </c>
      <c r="AK703">
        <v>1</v>
      </c>
      <c r="AL703">
        <v>1</v>
      </c>
      <c r="AN703">
        <v>0</v>
      </c>
      <c r="AO703">
        <v>1</v>
      </c>
      <c r="AP703">
        <v>0</v>
      </c>
      <c r="AQ703">
        <v>0</v>
      </c>
      <c r="AR703">
        <v>0</v>
      </c>
      <c r="AS703" t="s">
        <v>6</v>
      </c>
      <c r="AT703">
        <v>4.0000000000000002E-4</v>
      </c>
      <c r="AU703" t="s">
        <v>6</v>
      </c>
      <c r="AV703">
        <v>0</v>
      </c>
      <c r="AW703">
        <v>2</v>
      </c>
      <c r="AX703">
        <v>31030264</v>
      </c>
      <c r="AY703">
        <v>1</v>
      </c>
      <c r="AZ703">
        <v>0</v>
      </c>
      <c r="BA703">
        <v>734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0</v>
      </c>
      <c r="BR703">
        <v>0</v>
      </c>
      <c r="BS703">
        <v>0</v>
      </c>
      <c r="BT703">
        <v>0</v>
      </c>
      <c r="BU703">
        <v>0</v>
      </c>
      <c r="BV703">
        <v>0</v>
      </c>
      <c r="BW703">
        <v>0</v>
      </c>
      <c r="CX703">
        <f>Y703*Source!I274</f>
        <v>1.2800000000000001E-3</v>
      </c>
      <c r="CY703">
        <f t="shared" ref="CY703:CY710" si="147">AA703</f>
        <v>65402</v>
      </c>
      <c r="CZ703">
        <f t="shared" ref="CZ703:CZ710" si="148">AE703</f>
        <v>10600</v>
      </c>
      <c r="DA703">
        <f t="shared" ref="DA703:DA710" si="149">AI703</f>
        <v>6.17</v>
      </c>
      <c r="DB703">
        <f t="shared" ref="DB703:DB710" si="150">ROUND(ROUND(AT703*CZ703,2),6)</f>
        <v>4.24</v>
      </c>
      <c r="DC703">
        <f t="shared" ref="DC703:DC710" si="151">ROUND(ROUND(AT703*AG703,2),6)</f>
        <v>0</v>
      </c>
    </row>
    <row r="704" spans="1:107">
      <c r="A704">
        <f>ROW(Source!A274)</f>
        <v>274</v>
      </c>
      <c r="B704">
        <v>31028412</v>
      </c>
      <c r="C704">
        <v>31030245</v>
      </c>
      <c r="D704">
        <v>29150988</v>
      </c>
      <c r="E704">
        <v>1</v>
      </c>
      <c r="F704">
        <v>1</v>
      </c>
      <c r="G704">
        <v>1</v>
      </c>
      <c r="H704">
        <v>3</v>
      </c>
      <c r="I704" t="s">
        <v>1228</v>
      </c>
      <c r="J704" t="s">
        <v>1229</v>
      </c>
      <c r="K704" t="s">
        <v>1230</v>
      </c>
      <c r="L704">
        <v>1348</v>
      </c>
      <c r="N704">
        <v>1009</v>
      </c>
      <c r="O704" t="s">
        <v>137</v>
      </c>
      <c r="P704" t="s">
        <v>137</v>
      </c>
      <c r="Q704">
        <v>1000</v>
      </c>
      <c r="W704">
        <v>0</v>
      </c>
      <c r="X704">
        <v>266607550</v>
      </c>
      <c r="Y704">
        <v>2.0000000000000001E-4</v>
      </c>
      <c r="AA704">
        <v>115286.45</v>
      </c>
      <c r="AB704">
        <v>0</v>
      </c>
      <c r="AC704">
        <v>0</v>
      </c>
      <c r="AD704">
        <v>0</v>
      </c>
      <c r="AE704">
        <v>18685</v>
      </c>
      <c r="AF704">
        <v>0</v>
      </c>
      <c r="AG704">
        <v>0</v>
      </c>
      <c r="AH704">
        <v>0</v>
      </c>
      <c r="AI704">
        <v>6.17</v>
      </c>
      <c r="AJ704">
        <v>1</v>
      </c>
      <c r="AK704">
        <v>1</v>
      </c>
      <c r="AL704">
        <v>1</v>
      </c>
      <c r="AN704">
        <v>0</v>
      </c>
      <c r="AO704">
        <v>1</v>
      </c>
      <c r="AP704">
        <v>0</v>
      </c>
      <c r="AQ704">
        <v>0</v>
      </c>
      <c r="AR704">
        <v>0</v>
      </c>
      <c r="AS704" t="s">
        <v>6</v>
      </c>
      <c r="AT704">
        <v>2.0000000000000001E-4</v>
      </c>
      <c r="AU704" t="s">
        <v>6</v>
      </c>
      <c r="AV704">
        <v>0</v>
      </c>
      <c r="AW704">
        <v>2</v>
      </c>
      <c r="AX704">
        <v>31030265</v>
      </c>
      <c r="AY704">
        <v>1</v>
      </c>
      <c r="AZ704">
        <v>0</v>
      </c>
      <c r="BA704">
        <v>735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0</v>
      </c>
      <c r="BR704">
        <v>0</v>
      </c>
      <c r="BS704">
        <v>0</v>
      </c>
      <c r="BT704">
        <v>0</v>
      </c>
      <c r="BU704">
        <v>0</v>
      </c>
      <c r="BV704">
        <v>0</v>
      </c>
      <c r="BW704">
        <v>0</v>
      </c>
      <c r="CX704">
        <f>Y704*Source!I274</f>
        <v>6.4000000000000005E-4</v>
      </c>
      <c r="CY704">
        <f t="shared" si="147"/>
        <v>115286.45</v>
      </c>
      <c r="CZ704">
        <f t="shared" si="148"/>
        <v>18685</v>
      </c>
      <c r="DA704">
        <f t="shared" si="149"/>
        <v>6.17</v>
      </c>
      <c r="DB704">
        <f t="shared" si="150"/>
        <v>3.74</v>
      </c>
      <c r="DC704">
        <f t="shared" si="151"/>
        <v>0</v>
      </c>
    </row>
    <row r="705" spans="1:107">
      <c r="A705">
        <f>ROW(Source!A274)</f>
        <v>274</v>
      </c>
      <c r="B705">
        <v>31028412</v>
      </c>
      <c r="C705">
        <v>31030245</v>
      </c>
      <c r="D705">
        <v>29151127</v>
      </c>
      <c r="E705">
        <v>1</v>
      </c>
      <c r="F705">
        <v>1</v>
      </c>
      <c r="G705">
        <v>1</v>
      </c>
      <c r="H705">
        <v>3</v>
      </c>
      <c r="I705" t="s">
        <v>1271</v>
      </c>
      <c r="J705" t="s">
        <v>1272</v>
      </c>
      <c r="K705" t="s">
        <v>1273</v>
      </c>
      <c r="L705">
        <v>1348</v>
      </c>
      <c r="N705">
        <v>1009</v>
      </c>
      <c r="O705" t="s">
        <v>137</v>
      </c>
      <c r="P705" t="s">
        <v>137</v>
      </c>
      <c r="Q705">
        <v>1000</v>
      </c>
      <c r="W705">
        <v>0</v>
      </c>
      <c r="X705">
        <v>-143952731</v>
      </c>
      <c r="Y705">
        <v>3.5999999999999999E-3</v>
      </c>
      <c r="AA705">
        <v>40116.6</v>
      </c>
      <c r="AB705">
        <v>0</v>
      </c>
      <c r="AC705">
        <v>0</v>
      </c>
      <c r="AD705">
        <v>0</v>
      </c>
      <c r="AE705">
        <v>6501.88</v>
      </c>
      <c r="AF705">
        <v>0</v>
      </c>
      <c r="AG705">
        <v>0</v>
      </c>
      <c r="AH705">
        <v>0</v>
      </c>
      <c r="AI705">
        <v>6.17</v>
      </c>
      <c r="AJ705">
        <v>1</v>
      </c>
      <c r="AK705">
        <v>1</v>
      </c>
      <c r="AL705">
        <v>1</v>
      </c>
      <c r="AN705">
        <v>0</v>
      </c>
      <c r="AO705">
        <v>1</v>
      </c>
      <c r="AP705">
        <v>0</v>
      </c>
      <c r="AQ705">
        <v>0</v>
      </c>
      <c r="AR705">
        <v>0</v>
      </c>
      <c r="AS705" t="s">
        <v>6</v>
      </c>
      <c r="AT705">
        <v>3.5999999999999999E-3</v>
      </c>
      <c r="AU705" t="s">
        <v>6</v>
      </c>
      <c r="AV705">
        <v>0</v>
      </c>
      <c r="AW705">
        <v>2</v>
      </c>
      <c r="AX705">
        <v>31030266</v>
      </c>
      <c r="AY705">
        <v>1</v>
      </c>
      <c r="AZ705">
        <v>0</v>
      </c>
      <c r="BA705">
        <v>736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0</v>
      </c>
      <c r="BP705">
        <v>0</v>
      </c>
      <c r="BQ705">
        <v>0</v>
      </c>
      <c r="BR705">
        <v>0</v>
      </c>
      <c r="BS705">
        <v>0</v>
      </c>
      <c r="BT705">
        <v>0</v>
      </c>
      <c r="BU705">
        <v>0</v>
      </c>
      <c r="BV705">
        <v>0</v>
      </c>
      <c r="BW705">
        <v>0</v>
      </c>
      <c r="CX705">
        <f>Y705*Source!I274</f>
        <v>1.1520000000000001E-2</v>
      </c>
      <c r="CY705">
        <f t="shared" si="147"/>
        <v>40116.6</v>
      </c>
      <c r="CZ705">
        <f t="shared" si="148"/>
        <v>6501.88</v>
      </c>
      <c r="DA705">
        <f t="shared" si="149"/>
        <v>6.17</v>
      </c>
      <c r="DB705">
        <f t="shared" si="150"/>
        <v>23.41</v>
      </c>
      <c r="DC705">
        <f t="shared" si="151"/>
        <v>0</v>
      </c>
    </row>
    <row r="706" spans="1:107">
      <c r="A706">
        <f>ROW(Source!A274)</f>
        <v>274</v>
      </c>
      <c r="B706">
        <v>31028412</v>
      </c>
      <c r="C706">
        <v>31030245</v>
      </c>
      <c r="D706">
        <v>29151931</v>
      </c>
      <c r="E706">
        <v>1</v>
      </c>
      <c r="F706">
        <v>1</v>
      </c>
      <c r="G706">
        <v>1</v>
      </c>
      <c r="H706">
        <v>3</v>
      </c>
      <c r="I706" t="s">
        <v>1231</v>
      </c>
      <c r="J706" t="s">
        <v>1232</v>
      </c>
      <c r="K706" t="s">
        <v>1233</v>
      </c>
      <c r="L706">
        <v>1346</v>
      </c>
      <c r="N706">
        <v>1009</v>
      </c>
      <c r="O706" t="s">
        <v>118</v>
      </c>
      <c r="P706" t="s">
        <v>118</v>
      </c>
      <c r="Q706">
        <v>1</v>
      </c>
      <c r="W706">
        <v>0</v>
      </c>
      <c r="X706">
        <v>-1819816298</v>
      </c>
      <c r="Y706">
        <v>0.3</v>
      </c>
      <c r="AA706">
        <v>230.08</v>
      </c>
      <c r="AB706">
        <v>0</v>
      </c>
      <c r="AC706">
        <v>0</v>
      </c>
      <c r="AD706">
        <v>0</v>
      </c>
      <c r="AE706">
        <v>37.29</v>
      </c>
      <c r="AF706">
        <v>0</v>
      </c>
      <c r="AG706">
        <v>0</v>
      </c>
      <c r="AH706">
        <v>0</v>
      </c>
      <c r="AI706">
        <v>6.17</v>
      </c>
      <c r="AJ706">
        <v>1</v>
      </c>
      <c r="AK706">
        <v>1</v>
      </c>
      <c r="AL706">
        <v>1</v>
      </c>
      <c r="AN706">
        <v>0</v>
      </c>
      <c r="AO706">
        <v>1</v>
      </c>
      <c r="AP706">
        <v>0</v>
      </c>
      <c r="AQ706">
        <v>0</v>
      </c>
      <c r="AR706">
        <v>0</v>
      </c>
      <c r="AS706" t="s">
        <v>6</v>
      </c>
      <c r="AT706">
        <v>0.3</v>
      </c>
      <c r="AU706" t="s">
        <v>6</v>
      </c>
      <c r="AV706">
        <v>0</v>
      </c>
      <c r="AW706">
        <v>2</v>
      </c>
      <c r="AX706">
        <v>31030267</v>
      </c>
      <c r="AY706">
        <v>1</v>
      </c>
      <c r="AZ706">
        <v>0</v>
      </c>
      <c r="BA706">
        <v>737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0</v>
      </c>
      <c r="BW706">
        <v>0</v>
      </c>
      <c r="CX706">
        <f>Y706*Source!I274</f>
        <v>0.96</v>
      </c>
      <c r="CY706">
        <f t="shared" si="147"/>
        <v>230.08</v>
      </c>
      <c r="CZ706">
        <f t="shared" si="148"/>
        <v>37.29</v>
      </c>
      <c r="DA706">
        <f t="shared" si="149"/>
        <v>6.17</v>
      </c>
      <c r="DB706">
        <f t="shared" si="150"/>
        <v>11.19</v>
      </c>
      <c r="DC706">
        <f t="shared" si="151"/>
        <v>0</v>
      </c>
    </row>
    <row r="707" spans="1:107">
      <c r="A707">
        <f>ROW(Source!A274)</f>
        <v>274</v>
      </c>
      <c r="B707">
        <v>31028412</v>
      </c>
      <c r="C707">
        <v>31030245</v>
      </c>
      <c r="D707">
        <v>29152092</v>
      </c>
      <c r="E707">
        <v>1</v>
      </c>
      <c r="F707">
        <v>1</v>
      </c>
      <c r="G707">
        <v>1</v>
      </c>
      <c r="H707">
        <v>3</v>
      </c>
      <c r="I707" t="s">
        <v>1252</v>
      </c>
      <c r="J707" t="s">
        <v>1253</v>
      </c>
      <c r="K707" t="s">
        <v>1254</v>
      </c>
      <c r="L707">
        <v>1346</v>
      </c>
      <c r="N707">
        <v>1009</v>
      </c>
      <c r="O707" t="s">
        <v>118</v>
      </c>
      <c r="P707" t="s">
        <v>118</v>
      </c>
      <c r="Q707">
        <v>1</v>
      </c>
      <c r="W707">
        <v>0</v>
      </c>
      <c r="X707">
        <v>-1895641875</v>
      </c>
      <c r="Y707">
        <v>2</v>
      </c>
      <c r="AA707">
        <v>63.55</v>
      </c>
      <c r="AB707">
        <v>0</v>
      </c>
      <c r="AC707">
        <v>0</v>
      </c>
      <c r="AD707">
        <v>0</v>
      </c>
      <c r="AE707">
        <v>10.3</v>
      </c>
      <c r="AF707">
        <v>0</v>
      </c>
      <c r="AG707">
        <v>0</v>
      </c>
      <c r="AH707">
        <v>0</v>
      </c>
      <c r="AI707">
        <v>6.17</v>
      </c>
      <c r="AJ707">
        <v>1</v>
      </c>
      <c r="AK707">
        <v>1</v>
      </c>
      <c r="AL707">
        <v>1</v>
      </c>
      <c r="AN707">
        <v>0</v>
      </c>
      <c r="AO707">
        <v>1</v>
      </c>
      <c r="AP707">
        <v>0</v>
      </c>
      <c r="AQ707">
        <v>0</v>
      </c>
      <c r="AR707">
        <v>0</v>
      </c>
      <c r="AS707" t="s">
        <v>6</v>
      </c>
      <c r="AT707">
        <v>2</v>
      </c>
      <c r="AU707" t="s">
        <v>6</v>
      </c>
      <c r="AV707">
        <v>0</v>
      </c>
      <c r="AW707">
        <v>2</v>
      </c>
      <c r="AX707">
        <v>31030268</v>
      </c>
      <c r="AY707">
        <v>1</v>
      </c>
      <c r="AZ707">
        <v>0</v>
      </c>
      <c r="BA707">
        <v>738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0</v>
      </c>
      <c r="BW707">
        <v>0</v>
      </c>
      <c r="CX707">
        <f>Y707*Source!I274</f>
        <v>6.4</v>
      </c>
      <c r="CY707">
        <f t="shared" si="147"/>
        <v>63.55</v>
      </c>
      <c r="CZ707">
        <f t="shared" si="148"/>
        <v>10.3</v>
      </c>
      <c r="DA707">
        <f t="shared" si="149"/>
        <v>6.17</v>
      </c>
      <c r="DB707">
        <f t="shared" si="150"/>
        <v>20.6</v>
      </c>
      <c r="DC707">
        <f t="shared" si="151"/>
        <v>0</v>
      </c>
    </row>
    <row r="708" spans="1:107">
      <c r="A708">
        <f>ROW(Source!A274)</f>
        <v>274</v>
      </c>
      <c r="B708">
        <v>31028412</v>
      </c>
      <c r="C708">
        <v>31030245</v>
      </c>
      <c r="D708">
        <v>29152385</v>
      </c>
      <c r="E708">
        <v>1</v>
      </c>
      <c r="F708">
        <v>1</v>
      </c>
      <c r="G708">
        <v>1</v>
      </c>
      <c r="H708">
        <v>3</v>
      </c>
      <c r="I708" t="s">
        <v>1274</v>
      </c>
      <c r="J708" t="s">
        <v>1275</v>
      </c>
      <c r="K708" t="s">
        <v>1276</v>
      </c>
      <c r="L708">
        <v>1348</v>
      </c>
      <c r="N708">
        <v>1009</v>
      </c>
      <c r="O708" t="s">
        <v>137</v>
      </c>
      <c r="P708" t="s">
        <v>137</v>
      </c>
      <c r="Q708">
        <v>1000</v>
      </c>
      <c r="W708">
        <v>0</v>
      </c>
      <c r="X708">
        <v>-1727317739</v>
      </c>
      <c r="Y708">
        <v>6.9999999999999999E-4</v>
      </c>
      <c r="AA708">
        <v>70029.5</v>
      </c>
      <c r="AB708">
        <v>0</v>
      </c>
      <c r="AC708">
        <v>0</v>
      </c>
      <c r="AD708">
        <v>0</v>
      </c>
      <c r="AE708">
        <v>11350</v>
      </c>
      <c r="AF708">
        <v>0</v>
      </c>
      <c r="AG708">
        <v>0</v>
      </c>
      <c r="AH708">
        <v>0</v>
      </c>
      <c r="AI708">
        <v>6.17</v>
      </c>
      <c r="AJ708">
        <v>1</v>
      </c>
      <c r="AK708">
        <v>1</v>
      </c>
      <c r="AL708">
        <v>1</v>
      </c>
      <c r="AN708">
        <v>0</v>
      </c>
      <c r="AO708">
        <v>1</v>
      </c>
      <c r="AP708">
        <v>0</v>
      </c>
      <c r="AQ708">
        <v>0</v>
      </c>
      <c r="AR708">
        <v>0</v>
      </c>
      <c r="AS708" t="s">
        <v>6</v>
      </c>
      <c r="AT708">
        <v>6.9999999999999999E-4</v>
      </c>
      <c r="AU708" t="s">
        <v>6</v>
      </c>
      <c r="AV708">
        <v>0</v>
      </c>
      <c r="AW708">
        <v>2</v>
      </c>
      <c r="AX708">
        <v>31030269</v>
      </c>
      <c r="AY708">
        <v>1</v>
      </c>
      <c r="AZ708">
        <v>0</v>
      </c>
      <c r="BA708">
        <v>739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0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0</v>
      </c>
      <c r="BP708">
        <v>0</v>
      </c>
      <c r="BQ708">
        <v>0</v>
      </c>
      <c r="BR708">
        <v>0</v>
      </c>
      <c r="BS708">
        <v>0</v>
      </c>
      <c r="BT708">
        <v>0</v>
      </c>
      <c r="BU708">
        <v>0</v>
      </c>
      <c r="BV708">
        <v>0</v>
      </c>
      <c r="BW708">
        <v>0</v>
      </c>
      <c r="CX708">
        <f>Y708*Source!I274</f>
        <v>2.2400000000000002E-3</v>
      </c>
      <c r="CY708">
        <f t="shared" si="147"/>
        <v>70029.5</v>
      </c>
      <c r="CZ708">
        <f t="shared" si="148"/>
        <v>11350</v>
      </c>
      <c r="DA708">
        <f t="shared" si="149"/>
        <v>6.17</v>
      </c>
      <c r="DB708">
        <f t="shared" si="150"/>
        <v>7.95</v>
      </c>
      <c r="DC708">
        <f t="shared" si="151"/>
        <v>0</v>
      </c>
    </row>
    <row r="709" spans="1:107">
      <c r="A709">
        <f>ROW(Source!A274)</f>
        <v>274</v>
      </c>
      <c r="B709">
        <v>31028412</v>
      </c>
      <c r="C709">
        <v>31030245</v>
      </c>
      <c r="D709">
        <v>29152403</v>
      </c>
      <c r="E709">
        <v>1</v>
      </c>
      <c r="F709">
        <v>1</v>
      </c>
      <c r="G709">
        <v>1</v>
      </c>
      <c r="H709">
        <v>3</v>
      </c>
      <c r="I709" t="s">
        <v>1277</v>
      </c>
      <c r="J709" t="s">
        <v>1278</v>
      </c>
      <c r="K709" t="s">
        <v>1279</v>
      </c>
      <c r="L709">
        <v>1358</v>
      </c>
      <c r="N709">
        <v>1010</v>
      </c>
      <c r="O709" t="s">
        <v>1261</v>
      </c>
      <c r="P709" t="s">
        <v>1261</v>
      </c>
      <c r="Q709">
        <v>10</v>
      </c>
      <c r="W709">
        <v>0</v>
      </c>
      <c r="X709">
        <v>474106364</v>
      </c>
      <c r="Y709">
        <v>4</v>
      </c>
      <c r="AA709">
        <v>12.34</v>
      </c>
      <c r="AB709">
        <v>0</v>
      </c>
      <c r="AC709">
        <v>0</v>
      </c>
      <c r="AD709">
        <v>0</v>
      </c>
      <c r="AE709">
        <v>2</v>
      </c>
      <c r="AF709">
        <v>0</v>
      </c>
      <c r="AG709">
        <v>0</v>
      </c>
      <c r="AH709">
        <v>0</v>
      </c>
      <c r="AI709">
        <v>6.17</v>
      </c>
      <c r="AJ709">
        <v>1</v>
      </c>
      <c r="AK709">
        <v>1</v>
      </c>
      <c r="AL709">
        <v>1</v>
      </c>
      <c r="AN709">
        <v>0</v>
      </c>
      <c r="AO709">
        <v>1</v>
      </c>
      <c r="AP709">
        <v>0</v>
      </c>
      <c r="AQ709">
        <v>0</v>
      </c>
      <c r="AR709">
        <v>0</v>
      </c>
      <c r="AS709" t="s">
        <v>6</v>
      </c>
      <c r="AT709">
        <v>4</v>
      </c>
      <c r="AU709" t="s">
        <v>6</v>
      </c>
      <c r="AV709">
        <v>0</v>
      </c>
      <c r="AW709">
        <v>2</v>
      </c>
      <c r="AX709">
        <v>31030270</v>
      </c>
      <c r="AY709">
        <v>1</v>
      </c>
      <c r="AZ709">
        <v>0</v>
      </c>
      <c r="BA709">
        <v>740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0</v>
      </c>
      <c r="BR709">
        <v>0</v>
      </c>
      <c r="BS709">
        <v>0</v>
      </c>
      <c r="BT709">
        <v>0</v>
      </c>
      <c r="BU709">
        <v>0</v>
      </c>
      <c r="BV709">
        <v>0</v>
      </c>
      <c r="BW709">
        <v>0</v>
      </c>
      <c r="CX709">
        <f>Y709*Source!I274</f>
        <v>12.8</v>
      </c>
      <c r="CY709">
        <f t="shared" si="147"/>
        <v>12.34</v>
      </c>
      <c r="CZ709">
        <f t="shared" si="148"/>
        <v>2</v>
      </c>
      <c r="DA709">
        <f t="shared" si="149"/>
        <v>6.17</v>
      </c>
      <c r="DB709">
        <f t="shared" si="150"/>
        <v>8</v>
      </c>
      <c r="DC709">
        <f t="shared" si="151"/>
        <v>0</v>
      </c>
    </row>
    <row r="710" spans="1:107">
      <c r="A710">
        <f>ROW(Source!A274)</f>
        <v>274</v>
      </c>
      <c r="B710">
        <v>31028412</v>
      </c>
      <c r="C710">
        <v>31030245</v>
      </c>
      <c r="D710">
        <v>29175697</v>
      </c>
      <c r="E710">
        <v>1</v>
      </c>
      <c r="F710">
        <v>1</v>
      </c>
      <c r="G710">
        <v>1</v>
      </c>
      <c r="H710">
        <v>3</v>
      </c>
      <c r="I710" t="s">
        <v>1280</v>
      </c>
      <c r="J710" t="s">
        <v>1281</v>
      </c>
      <c r="K710" t="s">
        <v>1282</v>
      </c>
      <c r="L710">
        <v>1035</v>
      </c>
      <c r="N710">
        <v>1013</v>
      </c>
      <c r="O710" t="s">
        <v>292</v>
      </c>
      <c r="P710" t="s">
        <v>292</v>
      </c>
      <c r="Q710">
        <v>1</v>
      </c>
      <c r="W710">
        <v>0</v>
      </c>
      <c r="X710">
        <v>1199160827</v>
      </c>
      <c r="Y710">
        <v>10</v>
      </c>
      <c r="AA710">
        <v>862.81</v>
      </c>
      <c r="AB710">
        <v>0</v>
      </c>
      <c r="AC710">
        <v>0</v>
      </c>
      <c r="AD710">
        <v>0</v>
      </c>
      <c r="AE710">
        <v>139.84</v>
      </c>
      <c r="AF710">
        <v>0</v>
      </c>
      <c r="AG710">
        <v>0</v>
      </c>
      <c r="AH710">
        <v>0</v>
      </c>
      <c r="AI710">
        <v>6.17</v>
      </c>
      <c r="AJ710">
        <v>1</v>
      </c>
      <c r="AK710">
        <v>1</v>
      </c>
      <c r="AL710">
        <v>1</v>
      </c>
      <c r="AN710">
        <v>0</v>
      </c>
      <c r="AO710">
        <v>1</v>
      </c>
      <c r="AP710">
        <v>0</v>
      </c>
      <c r="AQ710">
        <v>0</v>
      </c>
      <c r="AR710">
        <v>0</v>
      </c>
      <c r="AS710" t="s">
        <v>6</v>
      </c>
      <c r="AT710">
        <v>10</v>
      </c>
      <c r="AU710" t="s">
        <v>6</v>
      </c>
      <c r="AV710">
        <v>0</v>
      </c>
      <c r="AW710">
        <v>2</v>
      </c>
      <c r="AX710">
        <v>31030271</v>
      </c>
      <c r="AY710">
        <v>1</v>
      </c>
      <c r="AZ710">
        <v>0</v>
      </c>
      <c r="BA710">
        <v>741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0</v>
      </c>
      <c r="BQ710">
        <v>0</v>
      </c>
      <c r="BR710">
        <v>0</v>
      </c>
      <c r="BS710">
        <v>0</v>
      </c>
      <c r="BT710">
        <v>0</v>
      </c>
      <c r="BU710">
        <v>0</v>
      </c>
      <c r="BV710">
        <v>0</v>
      </c>
      <c r="BW710">
        <v>0</v>
      </c>
      <c r="CX710">
        <f>Y710*Source!I274</f>
        <v>32</v>
      </c>
      <c r="CY710">
        <f t="shared" si="147"/>
        <v>862.81</v>
      </c>
      <c r="CZ710">
        <f t="shared" si="148"/>
        <v>139.84</v>
      </c>
      <c r="DA710">
        <f t="shared" si="149"/>
        <v>6.17</v>
      </c>
      <c r="DB710">
        <f t="shared" si="150"/>
        <v>1398.4</v>
      </c>
      <c r="DC710">
        <f t="shared" si="151"/>
        <v>0</v>
      </c>
    </row>
    <row r="711" spans="1:107">
      <c r="A711">
        <f>ROW(Source!A276)</f>
        <v>276</v>
      </c>
      <c r="B711">
        <v>31028412</v>
      </c>
      <c r="C711">
        <v>31030273</v>
      </c>
      <c r="D711">
        <v>29084579</v>
      </c>
      <c r="E711">
        <v>1</v>
      </c>
      <c r="F711">
        <v>1</v>
      </c>
      <c r="G711">
        <v>1</v>
      </c>
      <c r="H711">
        <v>1</v>
      </c>
      <c r="I711" t="s">
        <v>849</v>
      </c>
      <c r="J711" t="s">
        <v>6</v>
      </c>
      <c r="K711" t="s">
        <v>850</v>
      </c>
      <c r="L711">
        <v>1369</v>
      </c>
      <c r="N711">
        <v>1013</v>
      </c>
      <c r="O711" t="s">
        <v>773</v>
      </c>
      <c r="P711" t="s">
        <v>773</v>
      </c>
      <c r="Q711">
        <v>1</v>
      </c>
      <c r="W711">
        <v>0</v>
      </c>
      <c r="X711">
        <v>260198247</v>
      </c>
      <c r="Y711">
        <v>80.884099999999975</v>
      </c>
      <c r="AA711">
        <v>0</v>
      </c>
      <c r="AB711">
        <v>0</v>
      </c>
      <c r="AC711">
        <v>0</v>
      </c>
      <c r="AD711">
        <v>225</v>
      </c>
      <c r="AE711">
        <v>0</v>
      </c>
      <c r="AF711">
        <v>0</v>
      </c>
      <c r="AG711">
        <v>0</v>
      </c>
      <c r="AH711">
        <v>9.2899999999999991</v>
      </c>
      <c r="AI711">
        <v>1</v>
      </c>
      <c r="AJ711">
        <v>1</v>
      </c>
      <c r="AK711">
        <v>1</v>
      </c>
      <c r="AL711">
        <v>24.22</v>
      </c>
      <c r="AN711">
        <v>0</v>
      </c>
      <c r="AO711">
        <v>1</v>
      </c>
      <c r="AP711">
        <v>1</v>
      </c>
      <c r="AQ711">
        <v>0</v>
      </c>
      <c r="AR711">
        <v>0</v>
      </c>
      <c r="AS711" t="s">
        <v>6</v>
      </c>
      <c r="AT711">
        <v>61.16</v>
      </c>
      <c r="AU711" t="s">
        <v>127</v>
      </c>
      <c r="AV711">
        <v>1</v>
      </c>
      <c r="AW711">
        <v>2</v>
      </c>
      <c r="AX711">
        <v>31030286</v>
      </c>
      <c r="AY711">
        <v>1</v>
      </c>
      <c r="AZ711">
        <v>0</v>
      </c>
      <c r="BA711">
        <v>742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0</v>
      </c>
      <c r="BR711">
        <v>0</v>
      </c>
      <c r="BS711">
        <v>0</v>
      </c>
      <c r="BT711">
        <v>0</v>
      </c>
      <c r="BU711">
        <v>0</v>
      </c>
      <c r="BV711">
        <v>0</v>
      </c>
      <c r="BW711">
        <v>0</v>
      </c>
      <c r="CX711">
        <f>Y711*Source!I276</f>
        <v>64.707279999999983</v>
      </c>
      <c r="CY711">
        <f>AD711</f>
        <v>225</v>
      </c>
      <c r="CZ711">
        <f>AH711</f>
        <v>9.2899999999999991</v>
      </c>
      <c r="DA711">
        <f>AL711</f>
        <v>24.22</v>
      </c>
      <c r="DB711">
        <f>ROUND((ROUND(AT711*CZ711,2)*ROUND((1.15*1.15),7)),6)</f>
        <v>751.41804999999999</v>
      </c>
      <c r="DC711">
        <f>ROUND((ROUND(AT711*AG711,2)*ROUND((1.15*1.15),7)),6)</f>
        <v>0</v>
      </c>
    </row>
    <row r="712" spans="1:107">
      <c r="A712">
        <f>ROW(Source!A276)</f>
        <v>276</v>
      </c>
      <c r="B712">
        <v>31028412</v>
      </c>
      <c r="C712">
        <v>31030273</v>
      </c>
      <c r="D712">
        <v>29084573</v>
      </c>
      <c r="E712">
        <v>1</v>
      </c>
      <c r="F712">
        <v>1</v>
      </c>
      <c r="G712">
        <v>1</v>
      </c>
      <c r="H712">
        <v>1</v>
      </c>
      <c r="I712" t="s">
        <v>774</v>
      </c>
      <c r="J712" t="s">
        <v>6</v>
      </c>
      <c r="K712" t="s">
        <v>775</v>
      </c>
      <c r="L712">
        <v>608254</v>
      </c>
      <c r="N712">
        <v>1013</v>
      </c>
      <c r="O712" t="s">
        <v>776</v>
      </c>
      <c r="P712" t="s">
        <v>776</v>
      </c>
      <c r="Q712">
        <v>1</v>
      </c>
      <c r="W712">
        <v>0</v>
      </c>
      <c r="X712">
        <v>95408949</v>
      </c>
      <c r="Y712">
        <v>0.87687499999999985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1</v>
      </c>
      <c r="AJ712">
        <v>1</v>
      </c>
      <c r="AK712">
        <v>24.22</v>
      </c>
      <c r="AL712">
        <v>1</v>
      </c>
      <c r="AN712">
        <v>0</v>
      </c>
      <c r="AO712">
        <v>1</v>
      </c>
      <c r="AP712">
        <v>1</v>
      </c>
      <c r="AQ712">
        <v>0</v>
      </c>
      <c r="AR712">
        <v>0</v>
      </c>
      <c r="AS712" t="s">
        <v>6</v>
      </c>
      <c r="AT712">
        <v>0.61</v>
      </c>
      <c r="AU712" t="s">
        <v>126</v>
      </c>
      <c r="AV712">
        <v>2</v>
      </c>
      <c r="AW712">
        <v>2</v>
      </c>
      <c r="AX712">
        <v>31030287</v>
      </c>
      <c r="AY712">
        <v>1</v>
      </c>
      <c r="AZ712">
        <v>0</v>
      </c>
      <c r="BA712">
        <v>743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0</v>
      </c>
      <c r="BW712">
        <v>0</v>
      </c>
      <c r="CX712">
        <f>Y712*Source!I276</f>
        <v>0.7014999999999999</v>
      </c>
      <c r="CY712">
        <f>AD712</f>
        <v>0</v>
      </c>
      <c r="CZ712">
        <f>AH712</f>
        <v>0</v>
      </c>
      <c r="DA712">
        <f>AL712</f>
        <v>1</v>
      </c>
      <c r="DB712">
        <f>ROUND((ROUND(AT712*CZ712,2)*ROUND((1.25*1.15),7)),6)</f>
        <v>0</v>
      </c>
      <c r="DC712">
        <f>ROUND((ROUND(AT712*AG712,2)*ROUND((1.25*1.15),7)),6)</f>
        <v>0</v>
      </c>
    </row>
    <row r="713" spans="1:107">
      <c r="A713">
        <f>ROW(Source!A276)</f>
        <v>276</v>
      </c>
      <c r="B713">
        <v>31028412</v>
      </c>
      <c r="C713">
        <v>31030273</v>
      </c>
      <c r="D713">
        <v>29147601</v>
      </c>
      <c r="E713">
        <v>1</v>
      </c>
      <c r="F713">
        <v>1</v>
      </c>
      <c r="G713">
        <v>1</v>
      </c>
      <c r="H713">
        <v>2</v>
      </c>
      <c r="I713" t="s">
        <v>781</v>
      </c>
      <c r="J713" t="s">
        <v>782</v>
      </c>
      <c r="K713" t="s">
        <v>783</v>
      </c>
      <c r="L713">
        <v>1368</v>
      </c>
      <c r="N713">
        <v>1011</v>
      </c>
      <c r="O713" t="s">
        <v>780</v>
      </c>
      <c r="P713" t="s">
        <v>780</v>
      </c>
      <c r="Q713">
        <v>1</v>
      </c>
      <c r="W713">
        <v>0</v>
      </c>
      <c r="X713">
        <v>1170567961</v>
      </c>
      <c r="Y713">
        <v>0.48875000000000002</v>
      </c>
      <c r="AA713">
        <v>0</v>
      </c>
      <c r="AB713">
        <v>828.56</v>
      </c>
      <c r="AC713">
        <v>315.58999999999997</v>
      </c>
      <c r="AD713">
        <v>0</v>
      </c>
      <c r="AE713">
        <v>0</v>
      </c>
      <c r="AF713">
        <v>108.45</v>
      </c>
      <c r="AG713">
        <v>13.03</v>
      </c>
      <c r="AH713">
        <v>0</v>
      </c>
      <c r="AI713">
        <v>1</v>
      </c>
      <c r="AJ713">
        <v>7.64</v>
      </c>
      <c r="AK713">
        <v>24.22</v>
      </c>
      <c r="AL713">
        <v>1</v>
      </c>
      <c r="AN713">
        <v>0</v>
      </c>
      <c r="AO713">
        <v>1</v>
      </c>
      <c r="AP713">
        <v>1</v>
      </c>
      <c r="AQ713">
        <v>0</v>
      </c>
      <c r="AR713">
        <v>0</v>
      </c>
      <c r="AS713" t="s">
        <v>6</v>
      </c>
      <c r="AT713">
        <v>0.34</v>
      </c>
      <c r="AU713" t="s">
        <v>126</v>
      </c>
      <c r="AV713">
        <v>0</v>
      </c>
      <c r="AW713">
        <v>2</v>
      </c>
      <c r="AX713">
        <v>31030288</v>
      </c>
      <c r="AY713">
        <v>1</v>
      </c>
      <c r="AZ713">
        <v>0</v>
      </c>
      <c r="BA713">
        <v>744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0</v>
      </c>
      <c r="BV713">
        <v>0</v>
      </c>
      <c r="BW713">
        <v>0</v>
      </c>
      <c r="CX713">
        <f>Y713*Source!I276</f>
        <v>0.39100000000000001</v>
      </c>
      <c r="CY713">
        <f>AB713</f>
        <v>828.56</v>
      </c>
      <c r="CZ713">
        <f>AF713</f>
        <v>108.45</v>
      </c>
      <c r="DA713">
        <f>AJ713</f>
        <v>7.64</v>
      </c>
      <c r="DB713">
        <f>ROUND((ROUND(AT713*CZ713,2)*ROUND((1.25*1.15),7)),6)</f>
        <v>53.000624999999999</v>
      </c>
      <c r="DC713">
        <f>ROUND((ROUND(AT713*AG713,2)*ROUND((1.25*1.15),7)),6)</f>
        <v>6.368125</v>
      </c>
    </row>
    <row r="714" spans="1:107">
      <c r="A714">
        <f>ROW(Source!A276)</f>
        <v>276</v>
      </c>
      <c r="B714">
        <v>31028412</v>
      </c>
      <c r="C714">
        <v>31030273</v>
      </c>
      <c r="D714">
        <v>29147732</v>
      </c>
      <c r="E714">
        <v>1</v>
      </c>
      <c r="F714">
        <v>1</v>
      </c>
      <c r="G714">
        <v>1</v>
      </c>
      <c r="H714">
        <v>2</v>
      </c>
      <c r="I714" t="s">
        <v>846</v>
      </c>
      <c r="J714" t="s">
        <v>847</v>
      </c>
      <c r="K714" t="s">
        <v>848</v>
      </c>
      <c r="L714">
        <v>1368</v>
      </c>
      <c r="N714">
        <v>1011</v>
      </c>
      <c r="O714" t="s">
        <v>780</v>
      </c>
      <c r="P714" t="s">
        <v>780</v>
      </c>
      <c r="Q714">
        <v>1</v>
      </c>
      <c r="W714">
        <v>0</v>
      </c>
      <c r="X714">
        <v>-1205898307</v>
      </c>
      <c r="Y714">
        <v>0.388125</v>
      </c>
      <c r="AA714">
        <v>0</v>
      </c>
      <c r="AB714">
        <v>235.69</v>
      </c>
      <c r="AC714">
        <v>315.58999999999997</v>
      </c>
      <c r="AD714">
        <v>0</v>
      </c>
      <c r="AE714">
        <v>0</v>
      </c>
      <c r="AF714">
        <v>30.85</v>
      </c>
      <c r="AG714">
        <v>13.03</v>
      </c>
      <c r="AH714">
        <v>0</v>
      </c>
      <c r="AI714">
        <v>1</v>
      </c>
      <c r="AJ714">
        <v>7.64</v>
      </c>
      <c r="AK714">
        <v>24.22</v>
      </c>
      <c r="AL714">
        <v>1</v>
      </c>
      <c r="AN714">
        <v>0</v>
      </c>
      <c r="AO714">
        <v>1</v>
      </c>
      <c r="AP714">
        <v>1</v>
      </c>
      <c r="AQ714">
        <v>0</v>
      </c>
      <c r="AR714">
        <v>0</v>
      </c>
      <c r="AS714" t="s">
        <v>6</v>
      </c>
      <c r="AT714">
        <v>0.27</v>
      </c>
      <c r="AU714" t="s">
        <v>126</v>
      </c>
      <c r="AV714">
        <v>0</v>
      </c>
      <c r="AW714">
        <v>2</v>
      </c>
      <c r="AX714">
        <v>31030289</v>
      </c>
      <c r="AY714">
        <v>1</v>
      </c>
      <c r="AZ714">
        <v>0</v>
      </c>
      <c r="BA714">
        <v>745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  <c r="CX714">
        <f>Y714*Source!I276</f>
        <v>0.3105</v>
      </c>
      <c r="CY714">
        <f>AB714</f>
        <v>235.69</v>
      </c>
      <c r="CZ714">
        <f>AF714</f>
        <v>30.85</v>
      </c>
      <c r="DA714">
        <f>AJ714</f>
        <v>7.64</v>
      </c>
      <c r="DB714">
        <f>ROUND((ROUND(AT714*CZ714,2)*ROUND((1.25*1.15),7)),6)</f>
        <v>11.974375</v>
      </c>
      <c r="DC714">
        <f>ROUND((ROUND(AT714*AG714,2)*ROUND((1.25*1.15),7)),6)</f>
        <v>5.0599999999999996</v>
      </c>
    </row>
    <row r="715" spans="1:107">
      <c r="A715">
        <f>ROW(Source!A276)</f>
        <v>276</v>
      </c>
      <c r="B715">
        <v>31028412</v>
      </c>
      <c r="C715">
        <v>31030273</v>
      </c>
      <c r="D715">
        <v>29149520</v>
      </c>
      <c r="E715">
        <v>1</v>
      </c>
      <c r="F715">
        <v>1</v>
      </c>
      <c r="G715">
        <v>1</v>
      </c>
      <c r="H715">
        <v>2</v>
      </c>
      <c r="I715" t="s">
        <v>790</v>
      </c>
      <c r="J715" t="s">
        <v>791</v>
      </c>
      <c r="K715" t="s">
        <v>792</v>
      </c>
      <c r="L715">
        <v>1368</v>
      </c>
      <c r="N715">
        <v>1011</v>
      </c>
      <c r="O715" t="s">
        <v>780</v>
      </c>
      <c r="P715" t="s">
        <v>780</v>
      </c>
      <c r="Q715">
        <v>1</v>
      </c>
      <c r="W715">
        <v>0</v>
      </c>
      <c r="X715">
        <v>-1931461795</v>
      </c>
      <c r="Y715">
        <v>0.63249999999999995</v>
      </c>
      <c r="AA715">
        <v>0</v>
      </c>
      <c r="AB715">
        <v>699.98</v>
      </c>
      <c r="AC715">
        <v>0</v>
      </c>
      <c r="AD715">
        <v>0</v>
      </c>
      <c r="AE715">
        <v>0</v>
      </c>
      <c r="AF715">
        <v>91.62</v>
      </c>
      <c r="AG715">
        <v>0</v>
      </c>
      <c r="AH715">
        <v>0</v>
      </c>
      <c r="AI715">
        <v>1</v>
      </c>
      <c r="AJ715">
        <v>7.64</v>
      </c>
      <c r="AK715">
        <v>24.22</v>
      </c>
      <c r="AL715">
        <v>1</v>
      </c>
      <c r="AN715">
        <v>0</v>
      </c>
      <c r="AO715">
        <v>1</v>
      </c>
      <c r="AP715">
        <v>1</v>
      </c>
      <c r="AQ715">
        <v>0</v>
      </c>
      <c r="AR715">
        <v>0</v>
      </c>
      <c r="AS715" t="s">
        <v>6</v>
      </c>
      <c r="AT715">
        <v>0.44</v>
      </c>
      <c r="AU715" t="s">
        <v>126</v>
      </c>
      <c r="AV715">
        <v>0</v>
      </c>
      <c r="AW715">
        <v>2</v>
      </c>
      <c r="AX715">
        <v>31030290</v>
      </c>
      <c r="AY715">
        <v>1</v>
      </c>
      <c r="AZ715">
        <v>0</v>
      </c>
      <c r="BA715">
        <v>746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0</v>
      </c>
      <c r="BW715">
        <v>0</v>
      </c>
      <c r="CX715">
        <f>Y715*Source!I276</f>
        <v>0.50600000000000001</v>
      </c>
      <c r="CY715">
        <f>AB715</f>
        <v>699.98</v>
      </c>
      <c r="CZ715">
        <f>AF715</f>
        <v>91.62</v>
      </c>
      <c r="DA715">
        <f>AJ715</f>
        <v>7.64</v>
      </c>
      <c r="DB715">
        <f>ROUND((ROUND(AT715*CZ715,2)*ROUND((1.25*1.15),7)),6)</f>
        <v>57.945625</v>
      </c>
      <c r="DC715">
        <f>ROUND((ROUND(AT715*AG715,2)*ROUND((1.25*1.15),7)),6)</f>
        <v>0</v>
      </c>
    </row>
    <row r="716" spans="1:107">
      <c r="A716">
        <f>ROW(Source!A276)</f>
        <v>276</v>
      </c>
      <c r="B716">
        <v>31028412</v>
      </c>
      <c r="C716">
        <v>31030273</v>
      </c>
      <c r="D716">
        <v>29150669</v>
      </c>
      <c r="E716">
        <v>1</v>
      </c>
      <c r="F716">
        <v>1</v>
      </c>
      <c r="G716">
        <v>1</v>
      </c>
      <c r="H716">
        <v>3</v>
      </c>
      <c r="I716" t="s">
        <v>1246</v>
      </c>
      <c r="J716" t="s">
        <v>1247</v>
      </c>
      <c r="K716" t="s">
        <v>1248</v>
      </c>
      <c r="L716">
        <v>1348</v>
      </c>
      <c r="N716">
        <v>1009</v>
      </c>
      <c r="O716" t="s">
        <v>137</v>
      </c>
      <c r="P716" t="s">
        <v>137</v>
      </c>
      <c r="Q716">
        <v>1000</v>
      </c>
      <c r="W716">
        <v>0</v>
      </c>
      <c r="X716">
        <v>462837542</v>
      </c>
      <c r="Y716">
        <v>6.9999999999999999E-4</v>
      </c>
      <c r="AA716">
        <v>79952.77</v>
      </c>
      <c r="AB716">
        <v>0</v>
      </c>
      <c r="AC716">
        <v>0</v>
      </c>
      <c r="AD716">
        <v>0</v>
      </c>
      <c r="AE716">
        <v>12958.31</v>
      </c>
      <c r="AF716">
        <v>0</v>
      </c>
      <c r="AG716">
        <v>0</v>
      </c>
      <c r="AH716">
        <v>0</v>
      </c>
      <c r="AI716">
        <v>6.17</v>
      </c>
      <c r="AJ716">
        <v>1</v>
      </c>
      <c r="AK716">
        <v>1</v>
      </c>
      <c r="AL716">
        <v>1</v>
      </c>
      <c r="AN716">
        <v>0</v>
      </c>
      <c r="AO716">
        <v>1</v>
      </c>
      <c r="AP716">
        <v>0</v>
      </c>
      <c r="AQ716">
        <v>0</v>
      </c>
      <c r="AR716">
        <v>0</v>
      </c>
      <c r="AS716" t="s">
        <v>6</v>
      </c>
      <c r="AT716">
        <v>6.9999999999999999E-4</v>
      </c>
      <c r="AU716" t="s">
        <v>6</v>
      </c>
      <c r="AV716">
        <v>0</v>
      </c>
      <c r="AW716">
        <v>2</v>
      </c>
      <c r="AX716">
        <v>31030291</v>
      </c>
      <c r="AY716">
        <v>1</v>
      </c>
      <c r="AZ716">
        <v>0</v>
      </c>
      <c r="BA716">
        <v>747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CX716">
        <f>Y716*Source!I276</f>
        <v>5.6000000000000006E-4</v>
      </c>
      <c r="CY716">
        <f t="shared" ref="CY716:CY722" si="152">AA716</f>
        <v>79952.77</v>
      </c>
      <c r="CZ716">
        <f t="shared" ref="CZ716:CZ722" si="153">AE716</f>
        <v>12958.31</v>
      </c>
      <c r="DA716">
        <f t="shared" ref="DA716:DA722" si="154">AI716</f>
        <v>6.17</v>
      </c>
      <c r="DB716">
        <f t="shared" ref="DB716:DB722" si="155">ROUND(ROUND(AT716*CZ716,2),6)</f>
        <v>9.07</v>
      </c>
      <c r="DC716">
        <f t="shared" ref="DC716:DC722" si="156">ROUND(ROUND(AT716*AG716,2),6)</f>
        <v>0</v>
      </c>
    </row>
    <row r="717" spans="1:107">
      <c r="A717">
        <f>ROW(Source!A276)</f>
        <v>276</v>
      </c>
      <c r="B717">
        <v>31028412</v>
      </c>
      <c r="C717">
        <v>31030273</v>
      </c>
      <c r="D717">
        <v>29150746</v>
      </c>
      <c r="E717">
        <v>1</v>
      </c>
      <c r="F717">
        <v>1</v>
      </c>
      <c r="G717">
        <v>1</v>
      </c>
      <c r="H717">
        <v>3</v>
      </c>
      <c r="I717" t="s">
        <v>1225</v>
      </c>
      <c r="J717" t="s">
        <v>1226</v>
      </c>
      <c r="K717" t="s">
        <v>1227</v>
      </c>
      <c r="L717">
        <v>1348</v>
      </c>
      <c r="N717">
        <v>1009</v>
      </c>
      <c r="O717" t="s">
        <v>137</v>
      </c>
      <c r="P717" t="s">
        <v>137</v>
      </c>
      <c r="Q717">
        <v>1000</v>
      </c>
      <c r="W717">
        <v>0</v>
      </c>
      <c r="X717">
        <v>-2091594199</v>
      </c>
      <c r="Y717">
        <v>1.4E-3</v>
      </c>
      <c r="AA717">
        <v>65402</v>
      </c>
      <c r="AB717">
        <v>0</v>
      </c>
      <c r="AC717">
        <v>0</v>
      </c>
      <c r="AD717">
        <v>0</v>
      </c>
      <c r="AE717">
        <v>10600</v>
      </c>
      <c r="AF717">
        <v>0</v>
      </c>
      <c r="AG717">
        <v>0</v>
      </c>
      <c r="AH717">
        <v>0</v>
      </c>
      <c r="AI717">
        <v>6.17</v>
      </c>
      <c r="AJ717">
        <v>1</v>
      </c>
      <c r="AK717">
        <v>1</v>
      </c>
      <c r="AL717">
        <v>1</v>
      </c>
      <c r="AN717">
        <v>0</v>
      </c>
      <c r="AO717">
        <v>1</v>
      </c>
      <c r="AP717">
        <v>0</v>
      </c>
      <c r="AQ717">
        <v>0</v>
      </c>
      <c r="AR717">
        <v>0</v>
      </c>
      <c r="AS717" t="s">
        <v>6</v>
      </c>
      <c r="AT717">
        <v>1.4E-3</v>
      </c>
      <c r="AU717" t="s">
        <v>6</v>
      </c>
      <c r="AV717">
        <v>0</v>
      </c>
      <c r="AW717">
        <v>2</v>
      </c>
      <c r="AX717">
        <v>31030292</v>
      </c>
      <c r="AY717">
        <v>1</v>
      </c>
      <c r="AZ717">
        <v>0</v>
      </c>
      <c r="BA717">
        <v>748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0</v>
      </c>
      <c r="BW717">
        <v>0</v>
      </c>
      <c r="CX717">
        <f>Y717*Source!I276</f>
        <v>1.1200000000000001E-3</v>
      </c>
      <c r="CY717">
        <f t="shared" si="152"/>
        <v>65402</v>
      </c>
      <c r="CZ717">
        <f t="shared" si="153"/>
        <v>10600</v>
      </c>
      <c r="DA717">
        <f t="shared" si="154"/>
        <v>6.17</v>
      </c>
      <c r="DB717">
        <f t="shared" si="155"/>
        <v>14.84</v>
      </c>
      <c r="DC717">
        <f t="shared" si="156"/>
        <v>0</v>
      </c>
    </row>
    <row r="718" spans="1:107">
      <c r="A718">
        <f>ROW(Source!A276)</f>
        <v>276</v>
      </c>
      <c r="B718">
        <v>31028412</v>
      </c>
      <c r="C718">
        <v>31030273</v>
      </c>
      <c r="D718">
        <v>29150988</v>
      </c>
      <c r="E718">
        <v>1</v>
      </c>
      <c r="F718">
        <v>1</v>
      </c>
      <c r="G718">
        <v>1</v>
      </c>
      <c r="H718">
        <v>3</v>
      </c>
      <c r="I718" t="s">
        <v>1228</v>
      </c>
      <c r="J718" t="s">
        <v>1229</v>
      </c>
      <c r="K718" t="s">
        <v>1230</v>
      </c>
      <c r="L718">
        <v>1348</v>
      </c>
      <c r="N718">
        <v>1009</v>
      </c>
      <c r="O718" t="s">
        <v>137</v>
      </c>
      <c r="P718" t="s">
        <v>137</v>
      </c>
      <c r="Q718">
        <v>1000</v>
      </c>
      <c r="W718">
        <v>0</v>
      </c>
      <c r="X718">
        <v>266607550</v>
      </c>
      <c r="Y718">
        <v>6.9999999999999999E-4</v>
      </c>
      <c r="AA718">
        <v>115286.45</v>
      </c>
      <c r="AB718">
        <v>0</v>
      </c>
      <c r="AC718">
        <v>0</v>
      </c>
      <c r="AD718">
        <v>0</v>
      </c>
      <c r="AE718">
        <v>18685</v>
      </c>
      <c r="AF718">
        <v>0</v>
      </c>
      <c r="AG718">
        <v>0</v>
      </c>
      <c r="AH718">
        <v>0</v>
      </c>
      <c r="AI718">
        <v>6.17</v>
      </c>
      <c r="AJ718">
        <v>1</v>
      </c>
      <c r="AK718">
        <v>1</v>
      </c>
      <c r="AL718">
        <v>1</v>
      </c>
      <c r="AN718">
        <v>0</v>
      </c>
      <c r="AO718">
        <v>1</v>
      </c>
      <c r="AP718">
        <v>0</v>
      </c>
      <c r="AQ718">
        <v>0</v>
      </c>
      <c r="AR718">
        <v>0</v>
      </c>
      <c r="AS718" t="s">
        <v>6</v>
      </c>
      <c r="AT718">
        <v>6.9999999999999999E-4</v>
      </c>
      <c r="AU718" t="s">
        <v>6</v>
      </c>
      <c r="AV718">
        <v>0</v>
      </c>
      <c r="AW718">
        <v>2</v>
      </c>
      <c r="AX718">
        <v>31030293</v>
      </c>
      <c r="AY718">
        <v>1</v>
      </c>
      <c r="AZ718">
        <v>0</v>
      </c>
      <c r="BA718">
        <v>749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0</v>
      </c>
      <c r="BW718">
        <v>0</v>
      </c>
      <c r="CX718">
        <f>Y718*Source!I276</f>
        <v>5.6000000000000006E-4</v>
      </c>
      <c r="CY718">
        <f t="shared" si="152"/>
        <v>115286.45</v>
      </c>
      <c r="CZ718">
        <f t="shared" si="153"/>
        <v>18685</v>
      </c>
      <c r="DA718">
        <f t="shared" si="154"/>
        <v>6.17</v>
      </c>
      <c r="DB718">
        <f t="shared" si="155"/>
        <v>13.08</v>
      </c>
      <c r="DC718">
        <f t="shared" si="156"/>
        <v>0</v>
      </c>
    </row>
    <row r="719" spans="1:107">
      <c r="A719">
        <f>ROW(Source!A276)</f>
        <v>276</v>
      </c>
      <c r="B719">
        <v>31028412</v>
      </c>
      <c r="C719">
        <v>31030273</v>
      </c>
      <c r="D719">
        <v>29151632</v>
      </c>
      <c r="E719">
        <v>1</v>
      </c>
      <c r="F719">
        <v>1</v>
      </c>
      <c r="G719">
        <v>1</v>
      </c>
      <c r="H719">
        <v>3</v>
      </c>
      <c r="I719" t="s">
        <v>1283</v>
      </c>
      <c r="J719" t="s">
        <v>1284</v>
      </c>
      <c r="K719" t="s">
        <v>1285</v>
      </c>
      <c r="L719">
        <v>1348</v>
      </c>
      <c r="N719">
        <v>1009</v>
      </c>
      <c r="O719" t="s">
        <v>137</v>
      </c>
      <c r="P719" t="s">
        <v>137</v>
      </c>
      <c r="Q719">
        <v>1000</v>
      </c>
      <c r="W719">
        <v>0</v>
      </c>
      <c r="X719">
        <v>645638851</v>
      </c>
      <c r="Y719">
        <v>2E-3</v>
      </c>
      <c r="AA719">
        <v>11328.12</v>
      </c>
      <c r="AB719">
        <v>0</v>
      </c>
      <c r="AC719">
        <v>0</v>
      </c>
      <c r="AD719">
        <v>0</v>
      </c>
      <c r="AE719">
        <v>1836</v>
      </c>
      <c r="AF719">
        <v>0</v>
      </c>
      <c r="AG719">
        <v>0</v>
      </c>
      <c r="AH719">
        <v>0</v>
      </c>
      <c r="AI719">
        <v>6.17</v>
      </c>
      <c r="AJ719">
        <v>1</v>
      </c>
      <c r="AK719">
        <v>1</v>
      </c>
      <c r="AL719">
        <v>1</v>
      </c>
      <c r="AN719">
        <v>0</v>
      </c>
      <c r="AO719">
        <v>1</v>
      </c>
      <c r="AP719">
        <v>0</v>
      </c>
      <c r="AQ719">
        <v>0</v>
      </c>
      <c r="AR719">
        <v>0</v>
      </c>
      <c r="AS719" t="s">
        <v>6</v>
      </c>
      <c r="AT719">
        <v>2E-3</v>
      </c>
      <c r="AU719" t="s">
        <v>6</v>
      </c>
      <c r="AV719">
        <v>0</v>
      </c>
      <c r="AW719">
        <v>2</v>
      </c>
      <c r="AX719">
        <v>31030294</v>
      </c>
      <c r="AY719">
        <v>1</v>
      </c>
      <c r="AZ719">
        <v>0</v>
      </c>
      <c r="BA719">
        <v>750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0</v>
      </c>
      <c r="BW719">
        <v>0</v>
      </c>
      <c r="CX719">
        <f>Y719*Source!I276</f>
        <v>1.6000000000000001E-3</v>
      </c>
      <c r="CY719">
        <f t="shared" si="152"/>
        <v>11328.12</v>
      </c>
      <c r="CZ719">
        <f t="shared" si="153"/>
        <v>1836</v>
      </c>
      <c r="DA719">
        <f t="shared" si="154"/>
        <v>6.17</v>
      </c>
      <c r="DB719">
        <f t="shared" si="155"/>
        <v>3.67</v>
      </c>
      <c r="DC719">
        <f t="shared" si="156"/>
        <v>0</v>
      </c>
    </row>
    <row r="720" spans="1:107">
      <c r="A720">
        <f>ROW(Source!A276)</f>
        <v>276</v>
      </c>
      <c r="B720">
        <v>31028412</v>
      </c>
      <c r="C720">
        <v>31030273</v>
      </c>
      <c r="D720">
        <v>29151931</v>
      </c>
      <c r="E720">
        <v>1</v>
      </c>
      <c r="F720">
        <v>1</v>
      </c>
      <c r="G720">
        <v>1</v>
      </c>
      <c r="H720">
        <v>3</v>
      </c>
      <c r="I720" t="s">
        <v>1231</v>
      </c>
      <c r="J720" t="s">
        <v>1232</v>
      </c>
      <c r="K720" t="s">
        <v>1233</v>
      </c>
      <c r="L720">
        <v>1346</v>
      </c>
      <c r="N720">
        <v>1009</v>
      </c>
      <c r="O720" t="s">
        <v>118</v>
      </c>
      <c r="P720" t="s">
        <v>118</v>
      </c>
      <c r="Q720">
        <v>1</v>
      </c>
      <c r="W720">
        <v>0</v>
      </c>
      <c r="X720">
        <v>-1819816298</v>
      </c>
      <c r="Y720">
        <v>0.6</v>
      </c>
      <c r="AA720">
        <v>230.08</v>
      </c>
      <c r="AB720">
        <v>0</v>
      </c>
      <c r="AC720">
        <v>0</v>
      </c>
      <c r="AD720">
        <v>0</v>
      </c>
      <c r="AE720">
        <v>37.29</v>
      </c>
      <c r="AF720">
        <v>0</v>
      </c>
      <c r="AG720">
        <v>0</v>
      </c>
      <c r="AH720">
        <v>0</v>
      </c>
      <c r="AI720">
        <v>6.17</v>
      </c>
      <c r="AJ720">
        <v>1</v>
      </c>
      <c r="AK720">
        <v>1</v>
      </c>
      <c r="AL720">
        <v>1</v>
      </c>
      <c r="AN720">
        <v>0</v>
      </c>
      <c r="AO720">
        <v>1</v>
      </c>
      <c r="AP720">
        <v>0</v>
      </c>
      <c r="AQ720">
        <v>0</v>
      </c>
      <c r="AR720">
        <v>0</v>
      </c>
      <c r="AS720" t="s">
        <v>6</v>
      </c>
      <c r="AT720">
        <v>0.6</v>
      </c>
      <c r="AU720" t="s">
        <v>6</v>
      </c>
      <c r="AV720">
        <v>0</v>
      </c>
      <c r="AW720">
        <v>2</v>
      </c>
      <c r="AX720">
        <v>31030295</v>
      </c>
      <c r="AY720">
        <v>1</v>
      </c>
      <c r="AZ720">
        <v>0</v>
      </c>
      <c r="BA720">
        <v>751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0</v>
      </c>
      <c r="BW720">
        <v>0</v>
      </c>
      <c r="CX720">
        <f>Y720*Source!I276</f>
        <v>0.48</v>
      </c>
      <c r="CY720">
        <f t="shared" si="152"/>
        <v>230.08</v>
      </c>
      <c r="CZ720">
        <f t="shared" si="153"/>
        <v>37.29</v>
      </c>
      <c r="DA720">
        <f t="shared" si="154"/>
        <v>6.17</v>
      </c>
      <c r="DB720">
        <f t="shared" si="155"/>
        <v>22.37</v>
      </c>
      <c r="DC720">
        <f t="shared" si="156"/>
        <v>0</v>
      </c>
    </row>
    <row r="721" spans="1:107">
      <c r="A721">
        <f>ROW(Source!A276)</f>
        <v>276</v>
      </c>
      <c r="B721">
        <v>31028412</v>
      </c>
      <c r="C721">
        <v>31030273</v>
      </c>
      <c r="D721">
        <v>29152801</v>
      </c>
      <c r="E721">
        <v>1</v>
      </c>
      <c r="F721">
        <v>1</v>
      </c>
      <c r="G721">
        <v>1</v>
      </c>
      <c r="H721">
        <v>3</v>
      </c>
      <c r="I721" t="s">
        <v>1286</v>
      </c>
      <c r="J721" t="s">
        <v>1287</v>
      </c>
      <c r="K721" t="s">
        <v>1288</v>
      </c>
      <c r="L721">
        <v>1348</v>
      </c>
      <c r="N721">
        <v>1009</v>
      </c>
      <c r="O721" t="s">
        <v>137</v>
      </c>
      <c r="P721" t="s">
        <v>137</v>
      </c>
      <c r="Q721">
        <v>1000</v>
      </c>
      <c r="W721">
        <v>0</v>
      </c>
      <c r="X721">
        <v>-637477638</v>
      </c>
      <c r="Y721">
        <v>1E-4</v>
      </c>
      <c r="AA721">
        <v>101455.35</v>
      </c>
      <c r="AB721">
        <v>0</v>
      </c>
      <c r="AC721">
        <v>0</v>
      </c>
      <c r="AD721">
        <v>0</v>
      </c>
      <c r="AE721">
        <v>16443.330000000002</v>
      </c>
      <c r="AF721">
        <v>0</v>
      </c>
      <c r="AG721">
        <v>0</v>
      </c>
      <c r="AH721">
        <v>0</v>
      </c>
      <c r="AI721">
        <v>6.17</v>
      </c>
      <c r="AJ721">
        <v>1</v>
      </c>
      <c r="AK721">
        <v>1</v>
      </c>
      <c r="AL721">
        <v>1</v>
      </c>
      <c r="AN721">
        <v>0</v>
      </c>
      <c r="AO721">
        <v>1</v>
      </c>
      <c r="AP721">
        <v>0</v>
      </c>
      <c r="AQ721">
        <v>0</v>
      </c>
      <c r="AR721">
        <v>0</v>
      </c>
      <c r="AS721" t="s">
        <v>6</v>
      </c>
      <c r="AT721">
        <v>1E-4</v>
      </c>
      <c r="AU721" t="s">
        <v>6</v>
      </c>
      <c r="AV721">
        <v>0</v>
      </c>
      <c r="AW721">
        <v>2</v>
      </c>
      <c r="AX721">
        <v>31030296</v>
      </c>
      <c r="AY721">
        <v>1</v>
      </c>
      <c r="AZ721">
        <v>0</v>
      </c>
      <c r="BA721">
        <v>752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0</v>
      </c>
      <c r="BW721">
        <v>0</v>
      </c>
      <c r="CX721">
        <f>Y721*Source!I276</f>
        <v>8.0000000000000007E-5</v>
      </c>
      <c r="CY721">
        <f t="shared" si="152"/>
        <v>101455.35</v>
      </c>
      <c r="CZ721">
        <f t="shared" si="153"/>
        <v>16443.330000000002</v>
      </c>
      <c r="DA721">
        <f t="shared" si="154"/>
        <v>6.17</v>
      </c>
      <c r="DB721">
        <f t="shared" si="155"/>
        <v>1.64</v>
      </c>
      <c r="DC721">
        <f t="shared" si="156"/>
        <v>0</v>
      </c>
    </row>
    <row r="722" spans="1:107">
      <c r="A722">
        <f>ROW(Source!A276)</f>
        <v>276</v>
      </c>
      <c r="B722">
        <v>31028412</v>
      </c>
      <c r="C722">
        <v>31030273</v>
      </c>
      <c r="D722">
        <v>29176464</v>
      </c>
      <c r="E722">
        <v>1</v>
      </c>
      <c r="F722">
        <v>1</v>
      </c>
      <c r="G722">
        <v>1</v>
      </c>
      <c r="H722">
        <v>3</v>
      </c>
      <c r="I722" t="s">
        <v>1289</v>
      </c>
      <c r="J722" t="s">
        <v>1290</v>
      </c>
      <c r="K722" t="s">
        <v>1291</v>
      </c>
      <c r="L722">
        <v>1035</v>
      </c>
      <c r="N722">
        <v>1013</v>
      </c>
      <c r="O722" t="s">
        <v>292</v>
      </c>
      <c r="P722" t="s">
        <v>292</v>
      </c>
      <c r="Q722">
        <v>1</v>
      </c>
      <c r="W722">
        <v>0</v>
      </c>
      <c r="X722">
        <v>-329233437</v>
      </c>
      <c r="Y722">
        <v>10</v>
      </c>
      <c r="AA722">
        <v>34860.5</v>
      </c>
      <c r="AB722">
        <v>0</v>
      </c>
      <c r="AC722">
        <v>0</v>
      </c>
      <c r="AD722">
        <v>0</v>
      </c>
      <c r="AE722">
        <v>5650</v>
      </c>
      <c r="AF722">
        <v>0</v>
      </c>
      <c r="AG722">
        <v>0</v>
      </c>
      <c r="AH722">
        <v>0</v>
      </c>
      <c r="AI722">
        <v>6.17</v>
      </c>
      <c r="AJ722">
        <v>1</v>
      </c>
      <c r="AK722">
        <v>1</v>
      </c>
      <c r="AL722">
        <v>1</v>
      </c>
      <c r="AN722">
        <v>0</v>
      </c>
      <c r="AO722">
        <v>1</v>
      </c>
      <c r="AP722">
        <v>0</v>
      </c>
      <c r="AQ722">
        <v>0</v>
      </c>
      <c r="AR722">
        <v>0</v>
      </c>
      <c r="AS722" t="s">
        <v>6</v>
      </c>
      <c r="AT722">
        <v>10</v>
      </c>
      <c r="AU722" t="s">
        <v>6</v>
      </c>
      <c r="AV722">
        <v>0</v>
      </c>
      <c r="AW722">
        <v>2</v>
      </c>
      <c r="AX722">
        <v>31030297</v>
      </c>
      <c r="AY722">
        <v>1</v>
      </c>
      <c r="AZ722">
        <v>0</v>
      </c>
      <c r="BA722">
        <v>753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0</v>
      </c>
      <c r="BP722">
        <v>0</v>
      </c>
      <c r="BQ722">
        <v>0</v>
      </c>
      <c r="BR722">
        <v>0</v>
      </c>
      <c r="BS722">
        <v>0</v>
      </c>
      <c r="BT722">
        <v>0</v>
      </c>
      <c r="BU722">
        <v>0</v>
      </c>
      <c r="BV722">
        <v>0</v>
      </c>
      <c r="BW722">
        <v>0</v>
      </c>
      <c r="CX722">
        <f>Y722*Source!I276</f>
        <v>8</v>
      </c>
      <c r="CY722">
        <f t="shared" si="152"/>
        <v>34860.5</v>
      </c>
      <c r="CZ722">
        <f t="shared" si="153"/>
        <v>5650</v>
      </c>
      <c r="DA722">
        <f t="shared" si="154"/>
        <v>6.17</v>
      </c>
      <c r="DB722">
        <f t="shared" si="155"/>
        <v>56500</v>
      </c>
      <c r="DC722">
        <f t="shared" si="156"/>
        <v>0</v>
      </c>
    </row>
    <row r="723" spans="1:107">
      <c r="A723">
        <f>ROW(Source!A279)</f>
        <v>279</v>
      </c>
      <c r="B723">
        <v>31028412</v>
      </c>
      <c r="C723">
        <v>31030300</v>
      </c>
      <c r="D723">
        <v>29084611</v>
      </c>
      <c r="E723">
        <v>1</v>
      </c>
      <c r="F723">
        <v>1</v>
      </c>
      <c r="G723">
        <v>1</v>
      </c>
      <c r="H723">
        <v>1</v>
      </c>
      <c r="I723" t="s">
        <v>1292</v>
      </c>
      <c r="J723" t="s">
        <v>6</v>
      </c>
      <c r="K723" t="s">
        <v>1293</v>
      </c>
      <c r="L723">
        <v>1369</v>
      </c>
      <c r="N723">
        <v>1013</v>
      </c>
      <c r="O723" t="s">
        <v>773</v>
      </c>
      <c r="P723" t="s">
        <v>773</v>
      </c>
      <c r="Q723">
        <v>1</v>
      </c>
      <c r="W723">
        <v>0</v>
      </c>
      <c r="X723">
        <v>-1664314294</v>
      </c>
      <c r="Y723">
        <v>18.239999999999998</v>
      </c>
      <c r="AA723">
        <v>0</v>
      </c>
      <c r="AB723">
        <v>0</v>
      </c>
      <c r="AC723">
        <v>0</v>
      </c>
      <c r="AD723">
        <v>219.92</v>
      </c>
      <c r="AE723">
        <v>0</v>
      </c>
      <c r="AF723">
        <v>0</v>
      </c>
      <c r="AG723">
        <v>0</v>
      </c>
      <c r="AH723">
        <v>9.08</v>
      </c>
      <c r="AI723">
        <v>1</v>
      </c>
      <c r="AJ723">
        <v>1</v>
      </c>
      <c r="AK723">
        <v>1</v>
      </c>
      <c r="AL723">
        <v>24.22</v>
      </c>
      <c r="AN723">
        <v>0</v>
      </c>
      <c r="AO723">
        <v>1</v>
      </c>
      <c r="AP723">
        <v>1</v>
      </c>
      <c r="AQ723">
        <v>0</v>
      </c>
      <c r="AR723">
        <v>0</v>
      </c>
      <c r="AS723" t="s">
        <v>6</v>
      </c>
      <c r="AT723">
        <v>15.2</v>
      </c>
      <c r="AU723" t="s">
        <v>669</v>
      </c>
      <c r="AV723">
        <v>1</v>
      </c>
      <c r="AW723">
        <v>2</v>
      </c>
      <c r="AX723">
        <v>31030308</v>
      </c>
      <c r="AY723">
        <v>1</v>
      </c>
      <c r="AZ723">
        <v>0</v>
      </c>
      <c r="BA723">
        <v>754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  <c r="BP723">
        <v>0</v>
      </c>
      <c r="BQ723">
        <v>0</v>
      </c>
      <c r="BR723">
        <v>0</v>
      </c>
      <c r="BS723">
        <v>0</v>
      </c>
      <c r="BT723">
        <v>0</v>
      </c>
      <c r="BU723">
        <v>0</v>
      </c>
      <c r="BV723">
        <v>0</v>
      </c>
      <c r="BW723">
        <v>0</v>
      </c>
      <c r="CX723">
        <f>Y723*Source!I279</f>
        <v>145.91999999999999</v>
      </c>
      <c r="CY723">
        <f>AD723</f>
        <v>219.92</v>
      </c>
      <c r="CZ723">
        <f>AH723</f>
        <v>9.08</v>
      </c>
      <c r="DA723">
        <f>AL723</f>
        <v>24.22</v>
      </c>
      <c r="DB723">
        <f>ROUND((ROUND(AT723*CZ723,2)*ROUND(1.2,7)),6)</f>
        <v>165.624</v>
      </c>
      <c r="DC723">
        <f>ROUND((ROUND(AT723*AG723,2)*ROUND(1.2,7)),6)</f>
        <v>0</v>
      </c>
    </row>
    <row r="724" spans="1:107">
      <c r="A724">
        <f>ROW(Source!A279)</f>
        <v>279</v>
      </c>
      <c r="B724">
        <v>31028412</v>
      </c>
      <c r="C724">
        <v>31030300</v>
      </c>
      <c r="D724">
        <v>29084573</v>
      </c>
      <c r="E724">
        <v>1</v>
      </c>
      <c r="F724">
        <v>1</v>
      </c>
      <c r="G724">
        <v>1</v>
      </c>
      <c r="H724">
        <v>1</v>
      </c>
      <c r="I724" t="s">
        <v>774</v>
      </c>
      <c r="J724" t="s">
        <v>6</v>
      </c>
      <c r="K724" t="s">
        <v>775</v>
      </c>
      <c r="L724">
        <v>608254</v>
      </c>
      <c r="N724">
        <v>1013</v>
      </c>
      <c r="O724" t="s">
        <v>776</v>
      </c>
      <c r="P724" t="s">
        <v>776</v>
      </c>
      <c r="Q724">
        <v>1</v>
      </c>
      <c r="W724">
        <v>0</v>
      </c>
      <c r="X724">
        <v>95408949</v>
      </c>
      <c r="Y724">
        <v>2.4E-2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0</v>
      </c>
      <c r="AI724">
        <v>1</v>
      </c>
      <c r="AJ724">
        <v>1</v>
      </c>
      <c r="AK724">
        <v>24.22</v>
      </c>
      <c r="AL724">
        <v>1</v>
      </c>
      <c r="AN724">
        <v>0</v>
      </c>
      <c r="AO724">
        <v>1</v>
      </c>
      <c r="AP724">
        <v>1</v>
      </c>
      <c r="AQ724">
        <v>0</v>
      </c>
      <c r="AR724">
        <v>0</v>
      </c>
      <c r="AS724" t="s">
        <v>6</v>
      </c>
      <c r="AT724">
        <v>0.02</v>
      </c>
      <c r="AU724" t="s">
        <v>669</v>
      </c>
      <c r="AV724">
        <v>2</v>
      </c>
      <c r="AW724">
        <v>2</v>
      </c>
      <c r="AX724">
        <v>31030309</v>
      </c>
      <c r="AY724">
        <v>1</v>
      </c>
      <c r="AZ724">
        <v>0</v>
      </c>
      <c r="BA724">
        <v>755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0</v>
      </c>
      <c r="BR724">
        <v>0</v>
      </c>
      <c r="BS724">
        <v>0</v>
      </c>
      <c r="BT724">
        <v>0</v>
      </c>
      <c r="BU724">
        <v>0</v>
      </c>
      <c r="BV724">
        <v>0</v>
      </c>
      <c r="BW724">
        <v>0</v>
      </c>
      <c r="CX724">
        <f>Y724*Source!I279</f>
        <v>0.192</v>
      </c>
      <c r="CY724">
        <f>AD724</f>
        <v>0</v>
      </c>
      <c r="CZ724">
        <f>AH724</f>
        <v>0</v>
      </c>
      <c r="DA724">
        <f>AL724</f>
        <v>1</v>
      </c>
      <c r="DB724">
        <f>ROUND((ROUND(AT724*CZ724,2)*ROUND(1.2,7)),6)</f>
        <v>0</v>
      </c>
      <c r="DC724">
        <f>ROUND((ROUND(AT724*AG724,2)*ROUND(1.2,7)),6)</f>
        <v>0</v>
      </c>
    </row>
    <row r="725" spans="1:107">
      <c r="A725">
        <f>ROW(Source!A279)</f>
        <v>279</v>
      </c>
      <c r="B725">
        <v>31028412</v>
      </c>
      <c r="C725">
        <v>31030300</v>
      </c>
      <c r="D725">
        <v>29147590</v>
      </c>
      <c r="E725">
        <v>1</v>
      </c>
      <c r="F725">
        <v>1</v>
      </c>
      <c r="G725">
        <v>1</v>
      </c>
      <c r="H725">
        <v>2</v>
      </c>
      <c r="I725" t="s">
        <v>1294</v>
      </c>
      <c r="J725" t="s">
        <v>1295</v>
      </c>
      <c r="K725" t="s">
        <v>1296</v>
      </c>
      <c r="L725">
        <v>1368</v>
      </c>
      <c r="N725">
        <v>1011</v>
      </c>
      <c r="O725" t="s">
        <v>780</v>
      </c>
      <c r="P725" t="s">
        <v>780</v>
      </c>
      <c r="Q725">
        <v>1</v>
      </c>
      <c r="W725">
        <v>0</v>
      </c>
      <c r="X725">
        <v>858668480</v>
      </c>
      <c r="Y725">
        <v>2.4E-2</v>
      </c>
      <c r="AA725">
        <v>0</v>
      </c>
      <c r="AB725">
        <v>1001.68</v>
      </c>
      <c r="AC725">
        <v>315.58999999999997</v>
      </c>
      <c r="AD725">
        <v>0</v>
      </c>
      <c r="AE725">
        <v>0</v>
      </c>
      <c r="AF725">
        <v>131.11000000000001</v>
      </c>
      <c r="AG725">
        <v>13.03</v>
      </c>
      <c r="AH725">
        <v>0</v>
      </c>
      <c r="AI725">
        <v>1</v>
      </c>
      <c r="AJ725">
        <v>7.64</v>
      </c>
      <c r="AK725">
        <v>24.22</v>
      </c>
      <c r="AL725">
        <v>1</v>
      </c>
      <c r="AN725">
        <v>0</v>
      </c>
      <c r="AO725">
        <v>1</v>
      </c>
      <c r="AP725">
        <v>1</v>
      </c>
      <c r="AQ725">
        <v>0</v>
      </c>
      <c r="AR725">
        <v>0</v>
      </c>
      <c r="AS725" t="s">
        <v>6</v>
      </c>
      <c r="AT725">
        <v>0.02</v>
      </c>
      <c r="AU725" t="s">
        <v>669</v>
      </c>
      <c r="AV725">
        <v>0</v>
      </c>
      <c r="AW725">
        <v>2</v>
      </c>
      <c r="AX725">
        <v>31030310</v>
      </c>
      <c r="AY725">
        <v>1</v>
      </c>
      <c r="AZ725">
        <v>0</v>
      </c>
      <c r="BA725">
        <v>756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  <c r="BP725">
        <v>0</v>
      </c>
      <c r="BQ725">
        <v>0</v>
      </c>
      <c r="BR725">
        <v>0</v>
      </c>
      <c r="BS725">
        <v>0</v>
      </c>
      <c r="BT725">
        <v>0</v>
      </c>
      <c r="BU725">
        <v>0</v>
      </c>
      <c r="BV725">
        <v>0</v>
      </c>
      <c r="BW725">
        <v>0</v>
      </c>
      <c r="CX725">
        <f>Y725*Source!I279</f>
        <v>0.192</v>
      </c>
      <c r="CY725">
        <f>AB725</f>
        <v>1001.68</v>
      </c>
      <c r="CZ725">
        <f>AF725</f>
        <v>131.11000000000001</v>
      </c>
      <c r="DA725">
        <f>AJ725</f>
        <v>7.64</v>
      </c>
      <c r="DB725">
        <f>ROUND((ROUND(AT725*CZ725,2)*ROUND(1.2,7)),6)</f>
        <v>3.1440000000000001</v>
      </c>
      <c r="DC725">
        <f>ROUND((ROUND(AT725*AG725,2)*ROUND(1.2,7)),6)</f>
        <v>0.312</v>
      </c>
    </row>
    <row r="726" spans="1:107">
      <c r="A726">
        <f>ROW(Source!A279)</f>
        <v>279</v>
      </c>
      <c r="B726">
        <v>31028412</v>
      </c>
      <c r="C726">
        <v>31030300</v>
      </c>
      <c r="D726">
        <v>29149520</v>
      </c>
      <c r="E726">
        <v>1</v>
      </c>
      <c r="F726">
        <v>1</v>
      </c>
      <c r="G726">
        <v>1</v>
      </c>
      <c r="H726">
        <v>2</v>
      </c>
      <c r="I726" t="s">
        <v>790</v>
      </c>
      <c r="J726" t="s">
        <v>791</v>
      </c>
      <c r="K726" t="s">
        <v>792</v>
      </c>
      <c r="L726">
        <v>1368</v>
      </c>
      <c r="N726">
        <v>1011</v>
      </c>
      <c r="O726" t="s">
        <v>780</v>
      </c>
      <c r="P726" t="s">
        <v>780</v>
      </c>
      <c r="Q726">
        <v>1</v>
      </c>
      <c r="W726">
        <v>0</v>
      </c>
      <c r="X726">
        <v>-1931461795</v>
      </c>
      <c r="Y726">
        <v>1.2E-2</v>
      </c>
      <c r="AA726">
        <v>0</v>
      </c>
      <c r="AB726">
        <v>699.98</v>
      </c>
      <c r="AC726">
        <v>0</v>
      </c>
      <c r="AD726">
        <v>0</v>
      </c>
      <c r="AE726">
        <v>0</v>
      </c>
      <c r="AF726">
        <v>91.62</v>
      </c>
      <c r="AG726">
        <v>0</v>
      </c>
      <c r="AH726">
        <v>0</v>
      </c>
      <c r="AI726">
        <v>1</v>
      </c>
      <c r="AJ726">
        <v>7.64</v>
      </c>
      <c r="AK726">
        <v>24.22</v>
      </c>
      <c r="AL726">
        <v>1</v>
      </c>
      <c r="AN726">
        <v>0</v>
      </c>
      <c r="AO726">
        <v>1</v>
      </c>
      <c r="AP726">
        <v>1</v>
      </c>
      <c r="AQ726">
        <v>0</v>
      </c>
      <c r="AR726">
        <v>0</v>
      </c>
      <c r="AS726" t="s">
        <v>6</v>
      </c>
      <c r="AT726">
        <v>0.01</v>
      </c>
      <c r="AU726" t="s">
        <v>669</v>
      </c>
      <c r="AV726">
        <v>0</v>
      </c>
      <c r="AW726">
        <v>2</v>
      </c>
      <c r="AX726">
        <v>31030311</v>
      </c>
      <c r="AY726">
        <v>1</v>
      </c>
      <c r="AZ726">
        <v>0</v>
      </c>
      <c r="BA726">
        <v>757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0</v>
      </c>
      <c r="BV726">
        <v>0</v>
      </c>
      <c r="BW726">
        <v>0</v>
      </c>
      <c r="CX726">
        <f>Y726*Source!I279</f>
        <v>9.6000000000000002E-2</v>
      </c>
      <c r="CY726">
        <f>AB726</f>
        <v>699.98</v>
      </c>
      <c r="CZ726">
        <f>AF726</f>
        <v>91.62</v>
      </c>
      <c r="DA726">
        <f>AJ726</f>
        <v>7.64</v>
      </c>
      <c r="DB726">
        <f>ROUND((ROUND(AT726*CZ726,2)*ROUND(1.2,7)),6)</f>
        <v>1.1040000000000001</v>
      </c>
      <c r="DC726">
        <f>ROUND((ROUND(AT726*AG726,2)*ROUND(1.2,7)),6)</f>
        <v>0</v>
      </c>
    </row>
    <row r="727" spans="1:107">
      <c r="A727">
        <f>ROW(Source!A279)</f>
        <v>279</v>
      </c>
      <c r="B727">
        <v>31028412</v>
      </c>
      <c r="C727">
        <v>31030300</v>
      </c>
      <c r="D727">
        <v>29152349</v>
      </c>
      <c r="E727">
        <v>1</v>
      </c>
      <c r="F727">
        <v>1</v>
      </c>
      <c r="G727">
        <v>1</v>
      </c>
      <c r="H727">
        <v>3</v>
      </c>
      <c r="I727" t="s">
        <v>1297</v>
      </c>
      <c r="J727" t="s">
        <v>1298</v>
      </c>
      <c r="K727" t="s">
        <v>1299</v>
      </c>
      <c r="L727">
        <v>1346</v>
      </c>
      <c r="N727">
        <v>1009</v>
      </c>
      <c r="O727" t="s">
        <v>118</v>
      </c>
      <c r="P727" t="s">
        <v>118</v>
      </c>
      <c r="Q727">
        <v>1</v>
      </c>
      <c r="W727">
        <v>0</v>
      </c>
      <c r="X727">
        <v>-444769609</v>
      </c>
      <c r="Y727">
        <v>0.3</v>
      </c>
      <c r="AA727">
        <v>176.46</v>
      </c>
      <c r="AB727">
        <v>0</v>
      </c>
      <c r="AC727">
        <v>0</v>
      </c>
      <c r="AD727">
        <v>0</v>
      </c>
      <c r="AE727">
        <v>28.6</v>
      </c>
      <c r="AF727">
        <v>0</v>
      </c>
      <c r="AG727">
        <v>0</v>
      </c>
      <c r="AH727">
        <v>0</v>
      </c>
      <c r="AI727">
        <v>6.17</v>
      </c>
      <c r="AJ727">
        <v>1</v>
      </c>
      <c r="AK727">
        <v>1</v>
      </c>
      <c r="AL727">
        <v>1</v>
      </c>
      <c r="AN727">
        <v>0</v>
      </c>
      <c r="AO727">
        <v>1</v>
      </c>
      <c r="AP727">
        <v>0</v>
      </c>
      <c r="AQ727">
        <v>0</v>
      </c>
      <c r="AR727">
        <v>0</v>
      </c>
      <c r="AS727" t="s">
        <v>6</v>
      </c>
      <c r="AT727">
        <v>0.3</v>
      </c>
      <c r="AU727" t="s">
        <v>6</v>
      </c>
      <c r="AV727">
        <v>0</v>
      </c>
      <c r="AW727">
        <v>2</v>
      </c>
      <c r="AX727">
        <v>31030312</v>
      </c>
      <c r="AY727">
        <v>1</v>
      </c>
      <c r="AZ727">
        <v>0</v>
      </c>
      <c r="BA727">
        <v>758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  <c r="BP727">
        <v>0</v>
      </c>
      <c r="BQ727">
        <v>0</v>
      </c>
      <c r="BR727">
        <v>0</v>
      </c>
      <c r="BS727">
        <v>0</v>
      </c>
      <c r="BT727">
        <v>0</v>
      </c>
      <c r="BU727">
        <v>0</v>
      </c>
      <c r="BV727">
        <v>0</v>
      </c>
      <c r="BW727">
        <v>0</v>
      </c>
      <c r="CX727">
        <f>Y727*Source!I279</f>
        <v>2.4</v>
      </c>
      <c r="CY727">
        <f>AA727</f>
        <v>176.46</v>
      </c>
      <c r="CZ727">
        <f>AE727</f>
        <v>28.6</v>
      </c>
      <c r="DA727">
        <f>AI727</f>
        <v>6.17</v>
      </c>
      <c r="DB727">
        <f>ROUND(ROUND(AT727*CZ727,2),6)</f>
        <v>8.58</v>
      </c>
      <c r="DC727">
        <f>ROUND(ROUND(AT727*AG727,2),6)</f>
        <v>0</v>
      </c>
    </row>
    <row r="728" spans="1:107">
      <c r="A728">
        <f>ROW(Source!A279)</f>
        <v>279</v>
      </c>
      <c r="B728">
        <v>31028412</v>
      </c>
      <c r="C728">
        <v>31030300</v>
      </c>
      <c r="D728">
        <v>29203123</v>
      </c>
      <c r="E728">
        <v>1</v>
      </c>
      <c r="F728">
        <v>1</v>
      </c>
      <c r="G728">
        <v>1</v>
      </c>
      <c r="H728">
        <v>3</v>
      </c>
      <c r="I728" t="s">
        <v>1300</v>
      </c>
      <c r="J728" t="s">
        <v>1301</v>
      </c>
      <c r="K728" t="s">
        <v>1302</v>
      </c>
      <c r="L728">
        <v>1346</v>
      </c>
      <c r="N728">
        <v>1009</v>
      </c>
      <c r="O728" t="s">
        <v>118</v>
      </c>
      <c r="P728" t="s">
        <v>118</v>
      </c>
      <c r="Q728">
        <v>1</v>
      </c>
      <c r="W728">
        <v>0</v>
      </c>
      <c r="X728">
        <v>-1791592967</v>
      </c>
      <c r="Y728">
        <v>0.53</v>
      </c>
      <c r="AA728">
        <v>280.06</v>
      </c>
      <c r="AB728">
        <v>0</v>
      </c>
      <c r="AC728">
        <v>0</v>
      </c>
      <c r="AD728">
        <v>0</v>
      </c>
      <c r="AE728">
        <v>45.39</v>
      </c>
      <c r="AF728">
        <v>0</v>
      </c>
      <c r="AG728">
        <v>0</v>
      </c>
      <c r="AH728">
        <v>0</v>
      </c>
      <c r="AI728">
        <v>6.17</v>
      </c>
      <c r="AJ728">
        <v>1</v>
      </c>
      <c r="AK728">
        <v>1</v>
      </c>
      <c r="AL728">
        <v>1</v>
      </c>
      <c r="AN728">
        <v>0</v>
      </c>
      <c r="AO728">
        <v>1</v>
      </c>
      <c r="AP728">
        <v>0</v>
      </c>
      <c r="AQ728">
        <v>0</v>
      </c>
      <c r="AR728">
        <v>0</v>
      </c>
      <c r="AS728" t="s">
        <v>6</v>
      </c>
      <c r="AT728">
        <v>0.53</v>
      </c>
      <c r="AU728" t="s">
        <v>6</v>
      </c>
      <c r="AV728">
        <v>0</v>
      </c>
      <c r="AW728">
        <v>2</v>
      </c>
      <c r="AX728">
        <v>31030313</v>
      </c>
      <c r="AY728">
        <v>1</v>
      </c>
      <c r="AZ728">
        <v>0</v>
      </c>
      <c r="BA728">
        <v>759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0</v>
      </c>
      <c r="BW728">
        <v>0</v>
      </c>
      <c r="CX728">
        <f>Y728*Source!I279</f>
        <v>4.24</v>
      </c>
      <c r="CY728">
        <f>AA728</f>
        <v>280.06</v>
      </c>
      <c r="CZ728">
        <f>AE728</f>
        <v>45.39</v>
      </c>
      <c r="DA728">
        <f>AI728</f>
        <v>6.17</v>
      </c>
      <c r="DB728">
        <f>ROUND(ROUND(AT728*CZ728,2),6)</f>
        <v>24.06</v>
      </c>
      <c r="DC728">
        <f>ROUND(ROUND(AT728*AG728,2),6)</f>
        <v>0</v>
      </c>
    </row>
    <row r="729" spans="1:107">
      <c r="A729">
        <f>ROW(Source!A279)</f>
        <v>279</v>
      </c>
      <c r="B729">
        <v>31028412</v>
      </c>
      <c r="C729">
        <v>31030300</v>
      </c>
      <c r="D729">
        <v>29215987</v>
      </c>
      <c r="E729">
        <v>1</v>
      </c>
      <c r="F729">
        <v>1</v>
      </c>
      <c r="G729">
        <v>1</v>
      </c>
      <c r="H729">
        <v>3</v>
      </c>
      <c r="I729" t="s">
        <v>1303</v>
      </c>
      <c r="J729" t="s">
        <v>1304</v>
      </c>
      <c r="K729" t="s">
        <v>1305</v>
      </c>
      <c r="L729">
        <v>1344</v>
      </c>
      <c r="N729">
        <v>1008</v>
      </c>
      <c r="O729" t="s">
        <v>1306</v>
      </c>
      <c r="P729" t="s">
        <v>1306</v>
      </c>
      <c r="Q729">
        <v>1</v>
      </c>
      <c r="W729">
        <v>0</v>
      </c>
      <c r="X729">
        <v>-1930947569</v>
      </c>
      <c r="Y729">
        <v>2.86</v>
      </c>
      <c r="AA729">
        <v>6.17</v>
      </c>
      <c r="AB729">
        <v>0</v>
      </c>
      <c r="AC729">
        <v>0</v>
      </c>
      <c r="AD729">
        <v>0</v>
      </c>
      <c r="AE729">
        <v>1</v>
      </c>
      <c r="AF729">
        <v>0</v>
      </c>
      <c r="AG729">
        <v>0</v>
      </c>
      <c r="AH729">
        <v>0</v>
      </c>
      <c r="AI729">
        <v>6.17</v>
      </c>
      <c r="AJ729">
        <v>1</v>
      </c>
      <c r="AK729">
        <v>1</v>
      </c>
      <c r="AL729">
        <v>1</v>
      </c>
      <c r="AN729">
        <v>0</v>
      </c>
      <c r="AO729">
        <v>1</v>
      </c>
      <c r="AP729">
        <v>0</v>
      </c>
      <c r="AQ729">
        <v>0</v>
      </c>
      <c r="AR729">
        <v>0</v>
      </c>
      <c r="AS729" t="s">
        <v>6</v>
      </c>
      <c r="AT729">
        <v>2.86</v>
      </c>
      <c r="AU729" t="s">
        <v>6</v>
      </c>
      <c r="AV729">
        <v>0</v>
      </c>
      <c r="AW729">
        <v>2</v>
      </c>
      <c r="AX729">
        <v>31030314</v>
      </c>
      <c r="AY729">
        <v>1</v>
      </c>
      <c r="AZ729">
        <v>0</v>
      </c>
      <c r="BA729">
        <v>760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0</v>
      </c>
      <c r="BW729">
        <v>0</v>
      </c>
      <c r="CX729">
        <f>Y729*Source!I279</f>
        <v>22.88</v>
      </c>
      <c r="CY729">
        <f>AA729</f>
        <v>6.17</v>
      </c>
      <c r="CZ729">
        <f>AE729</f>
        <v>1</v>
      </c>
      <c r="DA729">
        <f>AI729</f>
        <v>6.17</v>
      </c>
      <c r="DB729">
        <f>ROUND(ROUND(AT729*CZ729,2),6)</f>
        <v>2.86</v>
      </c>
      <c r="DC729">
        <f>ROUND(ROUND(AT729*AG729,2),6)</f>
        <v>0</v>
      </c>
    </row>
    <row r="730" spans="1:107">
      <c r="A730">
        <f>ROW(Source!A280)</f>
        <v>280</v>
      </c>
      <c r="B730">
        <v>31028412</v>
      </c>
      <c r="C730">
        <v>31030315</v>
      </c>
      <c r="D730">
        <v>29084611</v>
      </c>
      <c r="E730">
        <v>1</v>
      </c>
      <c r="F730">
        <v>1</v>
      </c>
      <c r="G730">
        <v>1</v>
      </c>
      <c r="H730">
        <v>1</v>
      </c>
      <c r="I730" t="s">
        <v>1292</v>
      </c>
      <c r="J730" t="s">
        <v>6</v>
      </c>
      <c r="K730" t="s">
        <v>1293</v>
      </c>
      <c r="L730">
        <v>1369</v>
      </c>
      <c r="N730">
        <v>1013</v>
      </c>
      <c r="O730" t="s">
        <v>773</v>
      </c>
      <c r="P730" t="s">
        <v>773</v>
      </c>
      <c r="Q730">
        <v>1</v>
      </c>
      <c r="W730">
        <v>0</v>
      </c>
      <c r="X730">
        <v>-1664314294</v>
      </c>
      <c r="Y730">
        <v>16.079999999999998</v>
      </c>
      <c r="AA730">
        <v>0</v>
      </c>
      <c r="AB730">
        <v>0</v>
      </c>
      <c r="AC730">
        <v>0</v>
      </c>
      <c r="AD730">
        <v>219.92</v>
      </c>
      <c r="AE730">
        <v>0</v>
      </c>
      <c r="AF730">
        <v>0</v>
      </c>
      <c r="AG730">
        <v>0</v>
      </c>
      <c r="AH730">
        <v>9.08</v>
      </c>
      <c r="AI730">
        <v>1</v>
      </c>
      <c r="AJ730">
        <v>1</v>
      </c>
      <c r="AK730">
        <v>1</v>
      </c>
      <c r="AL730">
        <v>24.22</v>
      </c>
      <c r="AN730">
        <v>0</v>
      </c>
      <c r="AO730">
        <v>1</v>
      </c>
      <c r="AP730">
        <v>1</v>
      </c>
      <c r="AQ730">
        <v>0</v>
      </c>
      <c r="AR730">
        <v>0</v>
      </c>
      <c r="AS730" t="s">
        <v>6</v>
      </c>
      <c r="AT730">
        <v>13.4</v>
      </c>
      <c r="AU730" t="s">
        <v>669</v>
      </c>
      <c r="AV730">
        <v>1</v>
      </c>
      <c r="AW730">
        <v>2</v>
      </c>
      <c r="AX730">
        <v>31030323</v>
      </c>
      <c r="AY730">
        <v>1</v>
      </c>
      <c r="AZ730">
        <v>0</v>
      </c>
      <c r="BA730">
        <v>761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  <c r="BP730">
        <v>0</v>
      </c>
      <c r="BQ730">
        <v>0</v>
      </c>
      <c r="BR730">
        <v>0</v>
      </c>
      <c r="BS730">
        <v>0</v>
      </c>
      <c r="BT730">
        <v>0</v>
      </c>
      <c r="BU730">
        <v>0</v>
      </c>
      <c r="BV730">
        <v>0</v>
      </c>
      <c r="BW730">
        <v>0</v>
      </c>
      <c r="CX730">
        <f>Y730*Source!I280</f>
        <v>64.319999999999993</v>
      </c>
      <c r="CY730">
        <f>AD730</f>
        <v>219.92</v>
      </c>
      <c r="CZ730">
        <f>AH730</f>
        <v>9.08</v>
      </c>
      <c r="DA730">
        <f>AL730</f>
        <v>24.22</v>
      </c>
      <c r="DB730">
        <f>ROUND((ROUND(AT730*CZ730,2)*ROUND(1.2,7)),6)</f>
        <v>146.00399999999999</v>
      </c>
      <c r="DC730">
        <f>ROUND((ROUND(AT730*AG730,2)*ROUND(1.2,7)),6)</f>
        <v>0</v>
      </c>
    </row>
    <row r="731" spans="1:107">
      <c r="A731">
        <f>ROW(Source!A280)</f>
        <v>280</v>
      </c>
      <c r="B731">
        <v>31028412</v>
      </c>
      <c r="C731">
        <v>31030315</v>
      </c>
      <c r="D731">
        <v>29084573</v>
      </c>
      <c r="E731">
        <v>1</v>
      </c>
      <c r="F731">
        <v>1</v>
      </c>
      <c r="G731">
        <v>1</v>
      </c>
      <c r="H731">
        <v>1</v>
      </c>
      <c r="I731" t="s">
        <v>774</v>
      </c>
      <c r="J731" t="s">
        <v>6</v>
      </c>
      <c r="K731" t="s">
        <v>775</v>
      </c>
      <c r="L731">
        <v>608254</v>
      </c>
      <c r="N731">
        <v>1013</v>
      </c>
      <c r="O731" t="s">
        <v>776</v>
      </c>
      <c r="P731" t="s">
        <v>776</v>
      </c>
      <c r="Q731">
        <v>1</v>
      </c>
      <c r="W731">
        <v>0</v>
      </c>
      <c r="X731">
        <v>95408949</v>
      </c>
      <c r="Y731">
        <v>2.4E-2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1</v>
      </c>
      <c r="AJ731">
        <v>1</v>
      </c>
      <c r="AK731">
        <v>24.22</v>
      </c>
      <c r="AL731">
        <v>1</v>
      </c>
      <c r="AN731">
        <v>0</v>
      </c>
      <c r="AO731">
        <v>1</v>
      </c>
      <c r="AP731">
        <v>1</v>
      </c>
      <c r="AQ731">
        <v>0</v>
      </c>
      <c r="AR731">
        <v>0</v>
      </c>
      <c r="AS731" t="s">
        <v>6</v>
      </c>
      <c r="AT731">
        <v>0.02</v>
      </c>
      <c r="AU731" t="s">
        <v>669</v>
      </c>
      <c r="AV731">
        <v>2</v>
      </c>
      <c r="AW731">
        <v>2</v>
      </c>
      <c r="AX731">
        <v>31030324</v>
      </c>
      <c r="AY731">
        <v>1</v>
      </c>
      <c r="AZ731">
        <v>0</v>
      </c>
      <c r="BA731">
        <v>762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0</v>
      </c>
      <c r="BW731">
        <v>0</v>
      </c>
      <c r="CX731">
        <f>Y731*Source!I280</f>
        <v>9.6000000000000002E-2</v>
      </c>
      <c r="CY731">
        <f>AD731</f>
        <v>0</v>
      </c>
      <c r="CZ731">
        <f>AH731</f>
        <v>0</v>
      </c>
      <c r="DA731">
        <f>AL731</f>
        <v>1</v>
      </c>
      <c r="DB731">
        <f>ROUND((ROUND(AT731*CZ731,2)*ROUND(1.2,7)),6)</f>
        <v>0</v>
      </c>
      <c r="DC731">
        <f>ROUND((ROUND(AT731*AG731,2)*ROUND(1.2,7)),6)</f>
        <v>0</v>
      </c>
    </row>
    <row r="732" spans="1:107">
      <c r="A732">
        <f>ROW(Source!A280)</f>
        <v>280</v>
      </c>
      <c r="B732">
        <v>31028412</v>
      </c>
      <c r="C732">
        <v>31030315</v>
      </c>
      <c r="D732">
        <v>29147590</v>
      </c>
      <c r="E732">
        <v>1</v>
      </c>
      <c r="F732">
        <v>1</v>
      </c>
      <c r="G732">
        <v>1</v>
      </c>
      <c r="H732">
        <v>2</v>
      </c>
      <c r="I732" t="s">
        <v>1294</v>
      </c>
      <c r="J732" t="s">
        <v>1295</v>
      </c>
      <c r="K732" t="s">
        <v>1296</v>
      </c>
      <c r="L732">
        <v>1368</v>
      </c>
      <c r="N732">
        <v>1011</v>
      </c>
      <c r="O732" t="s">
        <v>780</v>
      </c>
      <c r="P732" t="s">
        <v>780</v>
      </c>
      <c r="Q732">
        <v>1</v>
      </c>
      <c r="W732">
        <v>0</v>
      </c>
      <c r="X732">
        <v>858668480</v>
      </c>
      <c r="Y732">
        <v>2.4E-2</v>
      </c>
      <c r="AA732">
        <v>0</v>
      </c>
      <c r="AB732">
        <v>1001.68</v>
      </c>
      <c r="AC732">
        <v>315.58999999999997</v>
      </c>
      <c r="AD732">
        <v>0</v>
      </c>
      <c r="AE732">
        <v>0</v>
      </c>
      <c r="AF732">
        <v>131.11000000000001</v>
      </c>
      <c r="AG732">
        <v>13.03</v>
      </c>
      <c r="AH732">
        <v>0</v>
      </c>
      <c r="AI732">
        <v>1</v>
      </c>
      <c r="AJ732">
        <v>7.64</v>
      </c>
      <c r="AK732">
        <v>24.22</v>
      </c>
      <c r="AL732">
        <v>1</v>
      </c>
      <c r="AN732">
        <v>0</v>
      </c>
      <c r="AO732">
        <v>1</v>
      </c>
      <c r="AP732">
        <v>1</v>
      </c>
      <c r="AQ732">
        <v>0</v>
      </c>
      <c r="AR732">
        <v>0</v>
      </c>
      <c r="AS732" t="s">
        <v>6</v>
      </c>
      <c r="AT732">
        <v>0.02</v>
      </c>
      <c r="AU732" t="s">
        <v>669</v>
      </c>
      <c r="AV732">
        <v>0</v>
      </c>
      <c r="AW732">
        <v>2</v>
      </c>
      <c r="AX732">
        <v>31030325</v>
      </c>
      <c r="AY732">
        <v>1</v>
      </c>
      <c r="AZ732">
        <v>0</v>
      </c>
      <c r="BA732">
        <v>763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0</v>
      </c>
      <c r="BR732">
        <v>0</v>
      </c>
      <c r="BS732">
        <v>0</v>
      </c>
      <c r="BT732">
        <v>0</v>
      </c>
      <c r="BU732">
        <v>0</v>
      </c>
      <c r="BV732">
        <v>0</v>
      </c>
      <c r="BW732">
        <v>0</v>
      </c>
      <c r="CX732">
        <f>Y732*Source!I280</f>
        <v>9.6000000000000002E-2</v>
      </c>
      <c r="CY732">
        <f>AB732</f>
        <v>1001.68</v>
      </c>
      <c r="CZ732">
        <f>AF732</f>
        <v>131.11000000000001</v>
      </c>
      <c r="DA732">
        <f>AJ732</f>
        <v>7.64</v>
      </c>
      <c r="DB732">
        <f>ROUND((ROUND(AT732*CZ732,2)*ROUND(1.2,7)),6)</f>
        <v>3.1440000000000001</v>
      </c>
      <c r="DC732">
        <f>ROUND((ROUND(AT732*AG732,2)*ROUND(1.2,7)),6)</f>
        <v>0.312</v>
      </c>
    </row>
    <row r="733" spans="1:107">
      <c r="A733">
        <f>ROW(Source!A280)</f>
        <v>280</v>
      </c>
      <c r="B733">
        <v>31028412</v>
      </c>
      <c r="C733">
        <v>31030315</v>
      </c>
      <c r="D733">
        <v>29149520</v>
      </c>
      <c r="E733">
        <v>1</v>
      </c>
      <c r="F733">
        <v>1</v>
      </c>
      <c r="G733">
        <v>1</v>
      </c>
      <c r="H733">
        <v>2</v>
      </c>
      <c r="I733" t="s">
        <v>790</v>
      </c>
      <c r="J733" t="s">
        <v>791</v>
      </c>
      <c r="K733" t="s">
        <v>792</v>
      </c>
      <c r="L733">
        <v>1368</v>
      </c>
      <c r="N733">
        <v>1011</v>
      </c>
      <c r="O733" t="s">
        <v>780</v>
      </c>
      <c r="P733" t="s">
        <v>780</v>
      </c>
      <c r="Q733">
        <v>1</v>
      </c>
      <c r="W733">
        <v>0</v>
      </c>
      <c r="X733">
        <v>-1931461795</v>
      </c>
      <c r="Y733">
        <v>2.4E-2</v>
      </c>
      <c r="AA733">
        <v>0</v>
      </c>
      <c r="AB733">
        <v>699.98</v>
      </c>
      <c r="AC733">
        <v>0</v>
      </c>
      <c r="AD733">
        <v>0</v>
      </c>
      <c r="AE733">
        <v>0</v>
      </c>
      <c r="AF733">
        <v>91.62</v>
      </c>
      <c r="AG733">
        <v>0</v>
      </c>
      <c r="AH733">
        <v>0</v>
      </c>
      <c r="AI733">
        <v>1</v>
      </c>
      <c r="AJ733">
        <v>7.64</v>
      </c>
      <c r="AK733">
        <v>24.22</v>
      </c>
      <c r="AL733">
        <v>1</v>
      </c>
      <c r="AN733">
        <v>0</v>
      </c>
      <c r="AO733">
        <v>1</v>
      </c>
      <c r="AP733">
        <v>1</v>
      </c>
      <c r="AQ733">
        <v>0</v>
      </c>
      <c r="AR733">
        <v>0</v>
      </c>
      <c r="AS733" t="s">
        <v>6</v>
      </c>
      <c r="AT733">
        <v>0.02</v>
      </c>
      <c r="AU733" t="s">
        <v>669</v>
      </c>
      <c r="AV733">
        <v>0</v>
      </c>
      <c r="AW733">
        <v>2</v>
      </c>
      <c r="AX733">
        <v>31030326</v>
      </c>
      <c r="AY733">
        <v>1</v>
      </c>
      <c r="AZ733">
        <v>0</v>
      </c>
      <c r="BA733">
        <v>764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0</v>
      </c>
      <c r="BS733">
        <v>0</v>
      </c>
      <c r="BT733">
        <v>0</v>
      </c>
      <c r="BU733">
        <v>0</v>
      </c>
      <c r="BV733">
        <v>0</v>
      </c>
      <c r="BW733">
        <v>0</v>
      </c>
      <c r="CX733">
        <f>Y733*Source!I280</f>
        <v>9.6000000000000002E-2</v>
      </c>
      <c r="CY733">
        <f>AB733</f>
        <v>699.98</v>
      </c>
      <c r="CZ733">
        <f>AF733</f>
        <v>91.62</v>
      </c>
      <c r="DA733">
        <f>AJ733</f>
        <v>7.64</v>
      </c>
      <c r="DB733">
        <f>ROUND((ROUND(AT733*CZ733,2)*ROUND(1.2,7)),6)</f>
        <v>2.1960000000000002</v>
      </c>
      <c r="DC733">
        <f>ROUND((ROUND(AT733*AG733,2)*ROUND(1.2,7)),6)</f>
        <v>0</v>
      </c>
    </row>
    <row r="734" spans="1:107">
      <c r="A734">
        <f>ROW(Source!A280)</f>
        <v>280</v>
      </c>
      <c r="B734">
        <v>31028412</v>
      </c>
      <c r="C734">
        <v>31030315</v>
      </c>
      <c r="D734">
        <v>29152349</v>
      </c>
      <c r="E734">
        <v>1</v>
      </c>
      <c r="F734">
        <v>1</v>
      </c>
      <c r="G734">
        <v>1</v>
      </c>
      <c r="H734">
        <v>3</v>
      </c>
      <c r="I734" t="s">
        <v>1297</v>
      </c>
      <c r="J734" t="s">
        <v>1298</v>
      </c>
      <c r="K734" t="s">
        <v>1299</v>
      </c>
      <c r="L734">
        <v>1346</v>
      </c>
      <c r="N734">
        <v>1009</v>
      </c>
      <c r="O734" t="s">
        <v>118</v>
      </c>
      <c r="P734" t="s">
        <v>118</v>
      </c>
      <c r="Q734">
        <v>1</v>
      </c>
      <c r="W734">
        <v>0</v>
      </c>
      <c r="X734">
        <v>-444769609</v>
      </c>
      <c r="Y734">
        <v>0.3</v>
      </c>
      <c r="AA734">
        <v>176.46</v>
      </c>
      <c r="AB734">
        <v>0</v>
      </c>
      <c r="AC734">
        <v>0</v>
      </c>
      <c r="AD734">
        <v>0</v>
      </c>
      <c r="AE734">
        <v>28.6</v>
      </c>
      <c r="AF734">
        <v>0</v>
      </c>
      <c r="AG734">
        <v>0</v>
      </c>
      <c r="AH734">
        <v>0</v>
      </c>
      <c r="AI734">
        <v>6.17</v>
      </c>
      <c r="AJ734">
        <v>1</v>
      </c>
      <c r="AK734">
        <v>1</v>
      </c>
      <c r="AL734">
        <v>1</v>
      </c>
      <c r="AN734">
        <v>0</v>
      </c>
      <c r="AO734">
        <v>1</v>
      </c>
      <c r="AP734">
        <v>0</v>
      </c>
      <c r="AQ734">
        <v>0</v>
      </c>
      <c r="AR734">
        <v>0</v>
      </c>
      <c r="AS734" t="s">
        <v>6</v>
      </c>
      <c r="AT734">
        <v>0.3</v>
      </c>
      <c r="AU734" t="s">
        <v>6</v>
      </c>
      <c r="AV734">
        <v>0</v>
      </c>
      <c r="AW734">
        <v>2</v>
      </c>
      <c r="AX734">
        <v>31030327</v>
      </c>
      <c r="AY734">
        <v>1</v>
      </c>
      <c r="AZ734">
        <v>0</v>
      </c>
      <c r="BA734">
        <v>765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0</v>
      </c>
      <c r="BW734">
        <v>0</v>
      </c>
      <c r="CX734">
        <f>Y734*Source!I280</f>
        <v>1.2</v>
      </c>
      <c r="CY734">
        <f>AA734</f>
        <v>176.46</v>
      </c>
      <c r="CZ734">
        <f>AE734</f>
        <v>28.6</v>
      </c>
      <c r="DA734">
        <f>AI734</f>
        <v>6.17</v>
      </c>
      <c r="DB734">
        <f>ROUND(ROUND(AT734*CZ734,2),6)</f>
        <v>8.58</v>
      </c>
      <c r="DC734">
        <f>ROUND(ROUND(AT734*AG734,2),6)</f>
        <v>0</v>
      </c>
    </row>
    <row r="735" spans="1:107">
      <c r="A735">
        <f>ROW(Source!A280)</f>
        <v>280</v>
      </c>
      <c r="B735">
        <v>31028412</v>
      </c>
      <c r="C735">
        <v>31030315</v>
      </c>
      <c r="D735">
        <v>29203123</v>
      </c>
      <c r="E735">
        <v>1</v>
      </c>
      <c r="F735">
        <v>1</v>
      </c>
      <c r="G735">
        <v>1</v>
      </c>
      <c r="H735">
        <v>3</v>
      </c>
      <c r="I735" t="s">
        <v>1300</v>
      </c>
      <c r="J735" t="s">
        <v>1301</v>
      </c>
      <c r="K735" t="s">
        <v>1302</v>
      </c>
      <c r="L735">
        <v>1346</v>
      </c>
      <c r="N735">
        <v>1009</v>
      </c>
      <c r="O735" t="s">
        <v>118</v>
      </c>
      <c r="P735" t="s">
        <v>118</v>
      </c>
      <c r="Q735">
        <v>1</v>
      </c>
      <c r="W735">
        <v>0</v>
      </c>
      <c r="X735">
        <v>-1791592967</v>
      </c>
      <c r="Y735">
        <v>0.53</v>
      </c>
      <c r="AA735">
        <v>280.06</v>
      </c>
      <c r="AB735">
        <v>0</v>
      </c>
      <c r="AC735">
        <v>0</v>
      </c>
      <c r="AD735">
        <v>0</v>
      </c>
      <c r="AE735">
        <v>45.39</v>
      </c>
      <c r="AF735">
        <v>0</v>
      </c>
      <c r="AG735">
        <v>0</v>
      </c>
      <c r="AH735">
        <v>0</v>
      </c>
      <c r="AI735">
        <v>6.17</v>
      </c>
      <c r="AJ735">
        <v>1</v>
      </c>
      <c r="AK735">
        <v>1</v>
      </c>
      <c r="AL735">
        <v>1</v>
      </c>
      <c r="AN735">
        <v>0</v>
      </c>
      <c r="AO735">
        <v>1</v>
      </c>
      <c r="AP735">
        <v>0</v>
      </c>
      <c r="AQ735">
        <v>0</v>
      </c>
      <c r="AR735">
        <v>0</v>
      </c>
      <c r="AS735" t="s">
        <v>6</v>
      </c>
      <c r="AT735">
        <v>0.53</v>
      </c>
      <c r="AU735" t="s">
        <v>6</v>
      </c>
      <c r="AV735">
        <v>0</v>
      </c>
      <c r="AW735">
        <v>2</v>
      </c>
      <c r="AX735">
        <v>31030328</v>
      </c>
      <c r="AY735">
        <v>1</v>
      </c>
      <c r="AZ735">
        <v>0</v>
      </c>
      <c r="BA735">
        <v>766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0</v>
      </c>
      <c r="BW735">
        <v>0</v>
      </c>
      <c r="CX735">
        <f>Y735*Source!I280</f>
        <v>2.12</v>
      </c>
      <c r="CY735">
        <f>AA735</f>
        <v>280.06</v>
      </c>
      <c r="CZ735">
        <f>AE735</f>
        <v>45.39</v>
      </c>
      <c r="DA735">
        <f>AI735</f>
        <v>6.17</v>
      </c>
      <c r="DB735">
        <f>ROUND(ROUND(AT735*CZ735,2),6)</f>
        <v>24.06</v>
      </c>
      <c r="DC735">
        <f>ROUND(ROUND(AT735*AG735,2),6)</f>
        <v>0</v>
      </c>
    </row>
    <row r="736" spans="1:107">
      <c r="A736">
        <f>ROW(Source!A280)</f>
        <v>280</v>
      </c>
      <c r="B736">
        <v>31028412</v>
      </c>
      <c r="C736">
        <v>31030315</v>
      </c>
      <c r="D736">
        <v>29215987</v>
      </c>
      <c r="E736">
        <v>1</v>
      </c>
      <c r="F736">
        <v>1</v>
      </c>
      <c r="G736">
        <v>1</v>
      </c>
      <c r="H736">
        <v>3</v>
      </c>
      <c r="I736" t="s">
        <v>1303</v>
      </c>
      <c r="J736" t="s">
        <v>1304</v>
      </c>
      <c r="K736" t="s">
        <v>1305</v>
      </c>
      <c r="L736">
        <v>1344</v>
      </c>
      <c r="N736">
        <v>1008</v>
      </c>
      <c r="O736" t="s">
        <v>1306</v>
      </c>
      <c r="P736" t="s">
        <v>1306</v>
      </c>
      <c r="Q736">
        <v>1</v>
      </c>
      <c r="W736">
        <v>0</v>
      </c>
      <c r="X736">
        <v>-1930947569</v>
      </c>
      <c r="Y736">
        <v>2.52</v>
      </c>
      <c r="AA736">
        <v>6.17</v>
      </c>
      <c r="AB736">
        <v>0</v>
      </c>
      <c r="AC736">
        <v>0</v>
      </c>
      <c r="AD736">
        <v>0</v>
      </c>
      <c r="AE736">
        <v>1</v>
      </c>
      <c r="AF736">
        <v>0</v>
      </c>
      <c r="AG736">
        <v>0</v>
      </c>
      <c r="AH736">
        <v>0</v>
      </c>
      <c r="AI736">
        <v>6.17</v>
      </c>
      <c r="AJ736">
        <v>1</v>
      </c>
      <c r="AK736">
        <v>1</v>
      </c>
      <c r="AL736">
        <v>1</v>
      </c>
      <c r="AN736">
        <v>0</v>
      </c>
      <c r="AO736">
        <v>1</v>
      </c>
      <c r="AP736">
        <v>0</v>
      </c>
      <c r="AQ736">
        <v>0</v>
      </c>
      <c r="AR736">
        <v>0</v>
      </c>
      <c r="AS736" t="s">
        <v>6</v>
      </c>
      <c r="AT736">
        <v>2.52</v>
      </c>
      <c r="AU736" t="s">
        <v>6</v>
      </c>
      <c r="AV736">
        <v>0</v>
      </c>
      <c r="AW736">
        <v>2</v>
      </c>
      <c r="AX736">
        <v>31030329</v>
      </c>
      <c r="AY736">
        <v>1</v>
      </c>
      <c r="AZ736">
        <v>0</v>
      </c>
      <c r="BA736">
        <v>767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0</v>
      </c>
      <c r="BR736">
        <v>0</v>
      </c>
      <c r="BS736">
        <v>0</v>
      </c>
      <c r="BT736">
        <v>0</v>
      </c>
      <c r="BU736">
        <v>0</v>
      </c>
      <c r="BV736">
        <v>0</v>
      </c>
      <c r="BW736">
        <v>0</v>
      </c>
      <c r="CX736">
        <f>Y736*Source!I280</f>
        <v>10.08</v>
      </c>
      <c r="CY736">
        <f>AA736</f>
        <v>6.17</v>
      </c>
      <c r="CZ736">
        <f>AE736</f>
        <v>1</v>
      </c>
      <c r="DA736">
        <f>AI736</f>
        <v>6.17</v>
      </c>
      <c r="DB736">
        <f>ROUND(ROUND(AT736*CZ736,2),6)</f>
        <v>2.52</v>
      </c>
      <c r="DC736">
        <f>ROUND(ROUND(AT736*AG736,2),6)</f>
        <v>0</v>
      </c>
    </row>
    <row r="737" spans="1:107">
      <c r="A737">
        <f>ROW(Source!A281)</f>
        <v>281</v>
      </c>
      <c r="B737">
        <v>31028412</v>
      </c>
      <c r="C737">
        <v>31030330</v>
      </c>
      <c r="D737">
        <v>29084618</v>
      </c>
      <c r="E737">
        <v>1</v>
      </c>
      <c r="F737">
        <v>1</v>
      </c>
      <c r="G737">
        <v>1</v>
      </c>
      <c r="H737">
        <v>1</v>
      </c>
      <c r="I737" t="s">
        <v>1307</v>
      </c>
      <c r="J737" t="s">
        <v>6</v>
      </c>
      <c r="K737" t="s">
        <v>1308</v>
      </c>
      <c r="L737">
        <v>1369</v>
      </c>
      <c r="N737">
        <v>1013</v>
      </c>
      <c r="O737" t="s">
        <v>773</v>
      </c>
      <c r="P737" t="s">
        <v>773</v>
      </c>
      <c r="Q737">
        <v>1</v>
      </c>
      <c r="W737">
        <v>0</v>
      </c>
      <c r="X737">
        <v>-1944110474</v>
      </c>
      <c r="Y737">
        <v>84.768000000000001</v>
      </c>
      <c r="AA737">
        <v>0</v>
      </c>
      <c r="AB737">
        <v>0</v>
      </c>
      <c r="AC737">
        <v>0</v>
      </c>
      <c r="AD737">
        <v>231.79</v>
      </c>
      <c r="AE737">
        <v>0</v>
      </c>
      <c r="AF737">
        <v>0</v>
      </c>
      <c r="AG737">
        <v>0</v>
      </c>
      <c r="AH737">
        <v>9.57</v>
      </c>
      <c r="AI737">
        <v>1</v>
      </c>
      <c r="AJ737">
        <v>1</v>
      </c>
      <c r="AK737">
        <v>1</v>
      </c>
      <c r="AL737">
        <v>24.22</v>
      </c>
      <c r="AN737">
        <v>0</v>
      </c>
      <c r="AO737">
        <v>1</v>
      </c>
      <c r="AP737">
        <v>1</v>
      </c>
      <c r="AQ737">
        <v>0</v>
      </c>
      <c r="AR737">
        <v>0</v>
      </c>
      <c r="AS737" t="s">
        <v>6</v>
      </c>
      <c r="AT737">
        <v>70.64</v>
      </c>
      <c r="AU737" t="s">
        <v>669</v>
      </c>
      <c r="AV737">
        <v>1</v>
      </c>
      <c r="AW737">
        <v>2</v>
      </c>
      <c r="AX737">
        <v>31030341</v>
      </c>
      <c r="AY737">
        <v>1</v>
      </c>
      <c r="AZ737">
        <v>0</v>
      </c>
      <c r="BA737">
        <v>768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0</v>
      </c>
      <c r="BR737">
        <v>0</v>
      </c>
      <c r="BS737">
        <v>0</v>
      </c>
      <c r="BT737">
        <v>0</v>
      </c>
      <c r="BU737">
        <v>0</v>
      </c>
      <c r="BV737">
        <v>0</v>
      </c>
      <c r="BW737">
        <v>0</v>
      </c>
      <c r="CX737">
        <f>Y737*Source!I281</f>
        <v>20.34432</v>
      </c>
      <c r="CY737">
        <f>AD737</f>
        <v>231.79</v>
      </c>
      <c r="CZ737">
        <f>AH737</f>
        <v>9.57</v>
      </c>
      <c r="DA737">
        <f>AL737</f>
        <v>24.22</v>
      </c>
      <c r="DB737">
        <f>ROUND((ROUND(AT737*CZ737,2)*ROUND(1.2,7)),6)</f>
        <v>811.22400000000005</v>
      </c>
      <c r="DC737">
        <f>ROUND((ROUND(AT737*AG737,2)*ROUND(1.2,7)),6)</f>
        <v>0</v>
      </c>
    </row>
    <row r="738" spans="1:107">
      <c r="A738">
        <f>ROW(Source!A281)</f>
        <v>281</v>
      </c>
      <c r="B738">
        <v>31028412</v>
      </c>
      <c r="C738">
        <v>31030330</v>
      </c>
      <c r="D738">
        <v>29084573</v>
      </c>
      <c r="E738">
        <v>1</v>
      </c>
      <c r="F738">
        <v>1</v>
      </c>
      <c r="G738">
        <v>1</v>
      </c>
      <c r="H738">
        <v>1</v>
      </c>
      <c r="I738" t="s">
        <v>774</v>
      </c>
      <c r="J738" t="s">
        <v>6</v>
      </c>
      <c r="K738" t="s">
        <v>775</v>
      </c>
      <c r="L738">
        <v>608254</v>
      </c>
      <c r="N738">
        <v>1013</v>
      </c>
      <c r="O738" t="s">
        <v>776</v>
      </c>
      <c r="P738" t="s">
        <v>776</v>
      </c>
      <c r="Q738">
        <v>1</v>
      </c>
      <c r="W738">
        <v>0</v>
      </c>
      <c r="X738">
        <v>95408949</v>
      </c>
      <c r="Y738">
        <v>1.056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1</v>
      </c>
      <c r="AJ738">
        <v>1</v>
      </c>
      <c r="AK738">
        <v>24.22</v>
      </c>
      <c r="AL738">
        <v>1</v>
      </c>
      <c r="AN738">
        <v>0</v>
      </c>
      <c r="AO738">
        <v>1</v>
      </c>
      <c r="AP738">
        <v>1</v>
      </c>
      <c r="AQ738">
        <v>0</v>
      </c>
      <c r="AR738">
        <v>0</v>
      </c>
      <c r="AS738" t="s">
        <v>6</v>
      </c>
      <c r="AT738">
        <v>0.88</v>
      </c>
      <c r="AU738" t="s">
        <v>669</v>
      </c>
      <c r="AV738">
        <v>2</v>
      </c>
      <c r="AW738">
        <v>2</v>
      </c>
      <c r="AX738">
        <v>31030342</v>
      </c>
      <c r="AY738">
        <v>1</v>
      </c>
      <c r="AZ738">
        <v>0</v>
      </c>
      <c r="BA738">
        <v>769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0</v>
      </c>
      <c r="BQ738">
        <v>0</v>
      </c>
      <c r="BR738">
        <v>0</v>
      </c>
      <c r="BS738">
        <v>0</v>
      </c>
      <c r="BT738">
        <v>0</v>
      </c>
      <c r="BU738">
        <v>0</v>
      </c>
      <c r="BV738">
        <v>0</v>
      </c>
      <c r="BW738">
        <v>0</v>
      </c>
      <c r="CX738">
        <f>Y738*Source!I281</f>
        <v>0.25344</v>
      </c>
      <c r="CY738">
        <f>AD738</f>
        <v>0</v>
      </c>
      <c r="CZ738">
        <f>AH738</f>
        <v>0</v>
      </c>
      <c r="DA738">
        <f>AL738</f>
        <v>1</v>
      </c>
      <c r="DB738">
        <f>ROUND((ROUND(AT738*CZ738,2)*ROUND(1.2,7)),6)</f>
        <v>0</v>
      </c>
      <c r="DC738">
        <f>ROUND((ROUND(AT738*AG738,2)*ROUND(1.2,7)),6)</f>
        <v>0</v>
      </c>
    </row>
    <row r="739" spans="1:107">
      <c r="A739">
        <f>ROW(Source!A281)</f>
        <v>281</v>
      </c>
      <c r="B739">
        <v>31028412</v>
      </c>
      <c r="C739">
        <v>31030330</v>
      </c>
      <c r="D739">
        <v>29147590</v>
      </c>
      <c r="E739">
        <v>1</v>
      </c>
      <c r="F739">
        <v>1</v>
      </c>
      <c r="G739">
        <v>1</v>
      </c>
      <c r="H739">
        <v>2</v>
      </c>
      <c r="I739" t="s">
        <v>1294</v>
      </c>
      <c r="J739" t="s">
        <v>1295</v>
      </c>
      <c r="K739" t="s">
        <v>1296</v>
      </c>
      <c r="L739">
        <v>1368</v>
      </c>
      <c r="N739">
        <v>1011</v>
      </c>
      <c r="O739" t="s">
        <v>780</v>
      </c>
      <c r="P739" t="s">
        <v>780</v>
      </c>
      <c r="Q739">
        <v>1</v>
      </c>
      <c r="W739">
        <v>0</v>
      </c>
      <c r="X739">
        <v>858668480</v>
      </c>
      <c r="Y739">
        <v>1.056</v>
      </c>
      <c r="AA739">
        <v>0</v>
      </c>
      <c r="AB739">
        <v>1001.68</v>
      </c>
      <c r="AC739">
        <v>315.58999999999997</v>
      </c>
      <c r="AD739">
        <v>0</v>
      </c>
      <c r="AE739">
        <v>0</v>
      </c>
      <c r="AF739">
        <v>131.11000000000001</v>
      </c>
      <c r="AG739">
        <v>13.03</v>
      </c>
      <c r="AH739">
        <v>0</v>
      </c>
      <c r="AI739">
        <v>1</v>
      </c>
      <c r="AJ739">
        <v>7.64</v>
      </c>
      <c r="AK739">
        <v>24.22</v>
      </c>
      <c r="AL739">
        <v>1</v>
      </c>
      <c r="AN739">
        <v>0</v>
      </c>
      <c r="AO739">
        <v>1</v>
      </c>
      <c r="AP739">
        <v>1</v>
      </c>
      <c r="AQ739">
        <v>0</v>
      </c>
      <c r="AR739">
        <v>0</v>
      </c>
      <c r="AS739" t="s">
        <v>6</v>
      </c>
      <c r="AT739">
        <v>0.88</v>
      </c>
      <c r="AU739" t="s">
        <v>669</v>
      </c>
      <c r="AV739">
        <v>0</v>
      </c>
      <c r="AW739">
        <v>2</v>
      </c>
      <c r="AX739">
        <v>31030343</v>
      </c>
      <c r="AY739">
        <v>1</v>
      </c>
      <c r="AZ739">
        <v>0</v>
      </c>
      <c r="BA739">
        <v>770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0</v>
      </c>
      <c r="CX739">
        <f>Y739*Source!I281</f>
        <v>0.25344</v>
      </c>
      <c r="CY739">
        <f>AB739</f>
        <v>1001.68</v>
      </c>
      <c r="CZ739">
        <f>AF739</f>
        <v>131.11000000000001</v>
      </c>
      <c r="DA739">
        <f>AJ739</f>
        <v>7.64</v>
      </c>
      <c r="DB739">
        <f>ROUND((ROUND(AT739*CZ739,2)*ROUND(1.2,7)),6)</f>
        <v>138.45599999999999</v>
      </c>
      <c r="DC739">
        <f>ROUND((ROUND(AT739*AG739,2)*ROUND(1.2,7)),6)</f>
        <v>13.763999999999999</v>
      </c>
    </row>
    <row r="740" spans="1:107">
      <c r="A740">
        <f>ROW(Source!A281)</f>
        <v>281</v>
      </c>
      <c r="B740">
        <v>31028412</v>
      </c>
      <c r="C740">
        <v>31030330</v>
      </c>
      <c r="D740">
        <v>29149183</v>
      </c>
      <c r="E740">
        <v>1</v>
      </c>
      <c r="F740">
        <v>1</v>
      </c>
      <c r="G740">
        <v>1</v>
      </c>
      <c r="H740">
        <v>2</v>
      </c>
      <c r="I740" t="s">
        <v>983</v>
      </c>
      <c r="J740" t="s">
        <v>984</v>
      </c>
      <c r="K740" t="s">
        <v>985</v>
      </c>
      <c r="L740">
        <v>1368</v>
      </c>
      <c r="N740">
        <v>1011</v>
      </c>
      <c r="O740" t="s">
        <v>780</v>
      </c>
      <c r="P740" t="s">
        <v>780</v>
      </c>
      <c r="Q740">
        <v>1</v>
      </c>
      <c r="W740">
        <v>0</v>
      </c>
      <c r="X740">
        <v>825056910</v>
      </c>
      <c r="Y740">
        <v>19.655999999999999</v>
      </c>
      <c r="AA740">
        <v>0</v>
      </c>
      <c r="AB740">
        <v>14.9</v>
      </c>
      <c r="AC740">
        <v>0</v>
      </c>
      <c r="AD740">
        <v>0</v>
      </c>
      <c r="AE740">
        <v>0</v>
      </c>
      <c r="AF740">
        <v>1.95</v>
      </c>
      <c r="AG740">
        <v>0</v>
      </c>
      <c r="AH740">
        <v>0</v>
      </c>
      <c r="AI740">
        <v>1</v>
      </c>
      <c r="AJ740">
        <v>7.64</v>
      </c>
      <c r="AK740">
        <v>24.22</v>
      </c>
      <c r="AL740">
        <v>1</v>
      </c>
      <c r="AN740">
        <v>0</v>
      </c>
      <c r="AO740">
        <v>1</v>
      </c>
      <c r="AP740">
        <v>1</v>
      </c>
      <c r="AQ740">
        <v>0</v>
      </c>
      <c r="AR740">
        <v>0</v>
      </c>
      <c r="AS740" t="s">
        <v>6</v>
      </c>
      <c r="AT740">
        <v>16.38</v>
      </c>
      <c r="AU740" t="s">
        <v>669</v>
      </c>
      <c r="AV740">
        <v>0</v>
      </c>
      <c r="AW740">
        <v>2</v>
      </c>
      <c r="AX740">
        <v>31030344</v>
      </c>
      <c r="AY740">
        <v>1</v>
      </c>
      <c r="AZ740">
        <v>0</v>
      </c>
      <c r="BA740">
        <v>771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  <c r="BR740">
        <v>0</v>
      </c>
      <c r="BS740">
        <v>0</v>
      </c>
      <c r="BT740">
        <v>0</v>
      </c>
      <c r="BU740">
        <v>0</v>
      </c>
      <c r="BV740">
        <v>0</v>
      </c>
      <c r="BW740">
        <v>0</v>
      </c>
      <c r="CX740">
        <f>Y740*Source!I281</f>
        <v>4.7174399999999999</v>
      </c>
      <c r="CY740">
        <f>AB740</f>
        <v>14.9</v>
      </c>
      <c r="CZ740">
        <f>AF740</f>
        <v>1.95</v>
      </c>
      <c r="DA740">
        <f>AJ740</f>
        <v>7.64</v>
      </c>
      <c r="DB740">
        <f>ROUND((ROUND(AT740*CZ740,2)*ROUND(1.2,7)),6)</f>
        <v>38.328000000000003</v>
      </c>
      <c r="DC740">
        <f>ROUND((ROUND(AT740*AG740,2)*ROUND(1.2,7)),6)</f>
        <v>0</v>
      </c>
    </row>
    <row r="741" spans="1:107">
      <c r="A741">
        <f>ROW(Source!A281)</f>
        <v>281</v>
      </c>
      <c r="B741">
        <v>31028412</v>
      </c>
      <c r="C741">
        <v>31030330</v>
      </c>
      <c r="D741">
        <v>29149520</v>
      </c>
      <c r="E741">
        <v>1</v>
      </c>
      <c r="F741">
        <v>1</v>
      </c>
      <c r="G741">
        <v>1</v>
      </c>
      <c r="H741">
        <v>2</v>
      </c>
      <c r="I741" t="s">
        <v>790</v>
      </c>
      <c r="J741" t="s">
        <v>791</v>
      </c>
      <c r="K741" t="s">
        <v>792</v>
      </c>
      <c r="L741">
        <v>1368</v>
      </c>
      <c r="N741">
        <v>1011</v>
      </c>
      <c r="O741" t="s">
        <v>780</v>
      </c>
      <c r="P741" t="s">
        <v>780</v>
      </c>
      <c r="Q741">
        <v>1</v>
      </c>
      <c r="W741">
        <v>0</v>
      </c>
      <c r="X741">
        <v>-1931461795</v>
      </c>
      <c r="Y741">
        <v>1.044</v>
      </c>
      <c r="AA741">
        <v>0</v>
      </c>
      <c r="AB741">
        <v>699.98</v>
      </c>
      <c r="AC741">
        <v>0</v>
      </c>
      <c r="AD741">
        <v>0</v>
      </c>
      <c r="AE741">
        <v>0</v>
      </c>
      <c r="AF741">
        <v>91.62</v>
      </c>
      <c r="AG741">
        <v>0</v>
      </c>
      <c r="AH741">
        <v>0</v>
      </c>
      <c r="AI741">
        <v>1</v>
      </c>
      <c r="AJ741">
        <v>7.64</v>
      </c>
      <c r="AK741">
        <v>24.22</v>
      </c>
      <c r="AL741">
        <v>1</v>
      </c>
      <c r="AN741">
        <v>0</v>
      </c>
      <c r="AO741">
        <v>1</v>
      </c>
      <c r="AP741">
        <v>1</v>
      </c>
      <c r="AQ741">
        <v>0</v>
      </c>
      <c r="AR741">
        <v>0</v>
      </c>
      <c r="AS741" t="s">
        <v>6</v>
      </c>
      <c r="AT741">
        <v>0.87</v>
      </c>
      <c r="AU741" t="s">
        <v>669</v>
      </c>
      <c r="AV741">
        <v>0</v>
      </c>
      <c r="AW741">
        <v>2</v>
      </c>
      <c r="AX741">
        <v>31030345</v>
      </c>
      <c r="AY741">
        <v>1</v>
      </c>
      <c r="AZ741">
        <v>0</v>
      </c>
      <c r="BA741">
        <v>772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0</v>
      </c>
      <c r="BR741">
        <v>0</v>
      </c>
      <c r="BS741">
        <v>0</v>
      </c>
      <c r="BT741">
        <v>0</v>
      </c>
      <c r="BU741">
        <v>0</v>
      </c>
      <c r="BV741">
        <v>0</v>
      </c>
      <c r="BW741">
        <v>0</v>
      </c>
      <c r="CX741">
        <f>Y741*Source!I281</f>
        <v>0.25056</v>
      </c>
      <c r="CY741">
        <f>AB741</f>
        <v>699.98</v>
      </c>
      <c r="CZ741">
        <f>AF741</f>
        <v>91.62</v>
      </c>
      <c r="DA741">
        <f>AJ741</f>
        <v>7.64</v>
      </c>
      <c r="DB741">
        <f>ROUND((ROUND(AT741*CZ741,2)*ROUND(1.2,7)),6)</f>
        <v>95.652000000000001</v>
      </c>
      <c r="DC741">
        <f>ROUND((ROUND(AT741*AG741,2)*ROUND(1.2,7)),6)</f>
        <v>0</v>
      </c>
    </row>
    <row r="742" spans="1:107">
      <c r="A742">
        <f>ROW(Source!A281)</f>
        <v>281</v>
      </c>
      <c r="B742">
        <v>31028412</v>
      </c>
      <c r="C742">
        <v>31030330</v>
      </c>
      <c r="D742">
        <v>29150481</v>
      </c>
      <c r="E742">
        <v>1</v>
      </c>
      <c r="F742">
        <v>1</v>
      </c>
      <c r="G742">
        <v>1</v>
      </c>
      <c r="H742">
        <v>3</v>
      </c>
      <c r="I742" t="s">
        <v>1309</v>
      </c>
      <c r="J742" t="s">
        <v>1310</v>
      </c>
      <c r="K742" t="s">
        <v>1311</v>
      </c>
      <c r="L742">
        <v>1348</v>
      </c>
      <c r="N742">
        <v>1009</v>
      </c>
      <c r="O742" t="s">
        <v>137</v>
      </c>
      <c r="P742" t="s">
        <v>137</v>
      </c>
      <c r="Q742">
        <v>1000</v>
      </c>
      <c r="W742">
        <v>0</v>
      </c>
      <c r="X742">
        <v>1799985425</v>
      </c>
      <c r="Y742">
        <v>3.0599999999999998E-3</v>
      </c>
      <c r="AA742">
        <v>83325.850000000006</v>
      </c>
      <c r="AB742">
        <v>0</v>
      </c>
      <c r="AC742">
        <v>0</v>
      </c>
      <c r="AD742">
        <v>0</v>
      </c>
      <c r="AE742">
        <v>13505</v>
      </c>
      <c r="AF742">
        <v>0</v>
      </c>
      <c r="AG742">
        <v>0</v>
      </c>
      <c r="AH742">
        <v>0</v>
      </c>
      <c r="AI742">
        <v>6.17</v>
      </c>
      <c r="AJ742">
        <v>1</v>
      </c>
      <c r="AK742">
        <v>1</v>
      </c>
      <c r="AL742">
        <v>1</v>
      </c>
      <c r="AN742">
        <v>0</v>
      </c>
      <c r="AO742">
        <v>1</v>
      </c>
      <c r="AP742">
        <v>0</v>
      </c>
      <c r="AQ742">
        <v>0</v>
      </c>
      <c r="AR742">
        <v>0</v>
      </c>
      <c r="AS742" t="s">
        <v>6</v>
      </c>
      <c r="AT742">
        <v>3.0599999999999998E-3</v>
      </c>
      <c r="AU742" t="s">
        <v>6</v>
      </c>
      <c r="AV742">
        <v>0</v>
      </c>
      <c r="AW742">
        <v>2</v>
      </c>
      <c r="AX742">
        <v>31030346</v>
      </c>
      <c r="AY742">
        <v>1</v>
      </c>
      <c r="AZ742">
        <v>0</v>
      </c>
      <c r="BA742">
        <v>773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0</v>
      </c>
      <c r="BR742">
        <v>0</v>
      </c>
      <c r="BS742">
        <v>0</v>
      </c>
      <c r="BT742">
        <v>0</v>
      </c>
      <c r="BU742">
        <v>0</v>
      </c>
      <c r="BV742">
        <v>0</v>
      </c>
      <c r="BW742">
        <v>0</v>
      </c>
      <c r="CX742">
        <f>Y742*Source!I281</f>
        <v>7.3439999999999996E-4</v>
      </c>
      <c r="CY742">
        <f>AA742</f>
        <v>83325.850000000006</v>
      </c>
      <c r="CZ742">
        <f>AE742</f>
        <v>13505</v>
      </c>
      <c r="DA742">
        <f>AI742</f>
        <v>6.17</v>
      </c>
      <c r="DB742">
        <f>ROUND(ROUND(AT742*CZ742,2),6)</f>
        <v>41.33</v>
      </c>
      <c r="DC742">
        <f>ROUND(ROUND(AT742*AG742,2),6)</f>
        <v>0</v>
      </c>
    </row>
    <row r="743" spans="1:107">
      <c r="A743">
        <f>ROW(Source!A281)</f>
        <v>281</v>
      </c>
      <c r="B743">
        <v>31028412</v>
      </c>
      <c r="C743">
        <v>31030330</v>
      </c>
      <c r="D743">
        <v>29152725</v>
      </c>
      <c r="E743">
        <v>1</v>
      </c>
      <c r="F743">
        <v>1</v>
      </c>
      <c r="G743">
        <v>1</v>
      </c>
      <c r="H743">
        <v>3</v>
      </c>
      <c r="I743" t="s">
        <v>1312</v>
      </c>
      <c r="J743" t="s">
        <v>1313</v>
      </c>
      <c r="K743" t="s">
        <v>1314</v>
      </c>
      <c r="L743">
        <v>1346</v>
      </c>
      <c r="N743">
        <v>1009</v>
      </c>
      <c r="O743" t="s">
        <v>118</v>
      </c>
      <c r="P743" t="s">
        <v>118</v>
      </c>
      <c r="Q743">
        <v>1</v>
      </c>
      <c r="W743">
        <v>0</v>
      </c>
      <c r="X743">
        <v>846161246</v>
      </c>
      <c r="Y743">
        <v>0.31</v>
      </c>
      <c r="AA743">
        <v>204.04</v>
      </c>
      <c r="AB743">
        <v>0</v>
      </c>
      <c r="AC743">
        <v>0</v>
      </c>
      <c r="AD743">
        <v>0</v>
      </c>
      <c r="AE743">
        <v>33.07</v>
      </c>
      <c r="AF743">
        <v>0</v>
      </c>
      <c r="AG743">
        <v>0</v>
      </c>
      <c r="AH743">
        <v>0</v>
      </c>
      <c r="AI743">
        <v>6.17</v>
      </c>
      <c r="AJ743">
        <v>1</v>
      </c>
      <c r="AK743">
        <v>1</v>
      </c>
      <c r="AL743">
        <v>1</v>
      </c>
      <c r="AN743">
        <v>0</v>
      </c>
      <c r="AO743">
        <v>1</v>
      </c>
      <c r="AP743">
        <v>0</v>
      </c>
      <c r="AQ743">
        <v>0</v>
      </c>
      <c r="AR743">
        <v>0</v>
      </c>
      <c r="AS743" t="s">
        <v>6</v>
      </c>
      <c r="AT743">
        <v>0.31</v>
      </c>
      <c r="AU743" t="s">
        <v>6</v>
      </c>
      <c r="AV743">
        <v>0</v>
      </c>
      <c r="AW743">
        <v>2</v>
      </c>
      <c r="AX743">
        <v>31030347</v>
      </c>
      <c r="AY743">
        <v>1</v>
      </c>
      <c r="AZ743">
        <v>0</v>
      </c>
      <c r="BA743">
        <v>774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0</v>
      </c>
      <c r="BR743">
        <v>0</v>
      </c>
      <c r="BS743">
        <v>0</v>
      </c>
      <c r="BT743">
        <v>0</v>
      </c>
      <c r="BU743">
        <v>0</v>
      </c>
      <c r="BV743">
        <v>0</v>
      </c>
      <c r="BW743">
        <v>0</v>
      </c>
      <c r="CX743">
        <f>Y743*Source!I281</f>
        <v>7.4399999999999994E-2</v>
      </c>
      <c r="CY743">
        <f>AA743</f>
        <v>204.04</v>
      </c>
      <c r="CZ743">
        <f>AE743</f>
        <v>33.07</v>
      </c>
      <c r="DA743">
        <f>AI743</f>
        <v>6.17</v>
      </c>
      <c r="DB743">
        <f>ROUND(ROUND(AT743*CZ743,2),6)</f>
        <v>10.25</v>
      </c>
      <c r="DC743">
        <f>ROUND(ROUND(AT743*AG743,2),6)</f>
        <v>0</v>
      </c>
    </row>
    <row r="744" spans="1:107">
      <c r="A744">
        <f>ROW(Source!A281)</f>
        <v>281</v>
      </c>
      <c r="B744">
        <v>31028412</v>
      </c>
      <c r="C744">
        <v>31030330</v>
      </c>
      <c r="D744">
        <v>29154100</v>
      </c>
      <c r="E744">
        <v>1</v>
      </c>
      <c r="F744">
        <v>1</v>
      </c>
      <c r="G744">
        <v>1</v>
      </c>
      <c r="H744">
        <v>3</v>
      </c>
      <c r="I744" t="s">
        <v>1315</v>
      </c>
      <c r="J744" t="s">
        <v>1316</v>
      </c>
      <c r="K744" t="s">
        <v>1317</v>
      </c>
      <c r="L744">
        <v>1355</v>
      </c>
      <c r="N744">
        <v>1010</v>
      </c>
      <c r="O744" t="s">
        <v>680</v>
      </c>
      <c r="P744" t="s">
        <v>680</v>
      </c>
      <c r="Q744">
        <v>100</v>
      </c>
      <c r="W744">
        <v>0</v>
      </c>
      <c r="X744">
        <v>-271362456</v>
      </c>
      <c r="Y744">
        <v>4.08</v>
      </c>
      <c r="AA744">
        <v>577.45000000000005</v>
      </c>
      <c r="AB744">
        <v>0</v>
      </c>
      <c r="AC744">
        <v>0</v>
      </c>
      <c r="AD744">
        <v>0</v>
      </c>
      <c r="AE744">
        <v>93.59</v>
      </c>
      <c r="AF744">
        <v>0</v>
      </c>
      <c r="AG744">
        <v>0</v>
      </c>
      <c r="AH744">
        <v>0</v>
      </c>
      <c r="AI744">
        <v>6.17</v>
      </c>
      <c r="AJ744">
        <v>1</v>
      </c>
      <c r="AK744">
        <v>1</v>
      </c>
      <c r="AL744">
        <v>1</v>
      </c>
      <c r="AN744">
        <v>0</v>
      </c>
      <c r="AO744">
        <v>1</v>
      </c>
      <c r="AP744">
        <v>0</v>
      </c>
      <c r="AQ744">
        <v>0</v>
      </c>
      <c r="AR744">
        <v>0</v>
      </c>
      <c r="AS744" t="s">
        <v>6</v>
      </c>
      <c r="AT744">
        <v>4.08</v>
      </c>
      <c r="AU744" t="s">
        <v>6</v>
      </c>
      <c r="AV744">
        <v>0</v>
      </c>
      <c r="AW744">
        <v>2</v>
      </c>
      <c r="AX744">
        <v>31030348</v>
      </c>
      <c r="AY744">
        <v>1</v>
      </c>
      <c r="AZ744">
        <v>0</v>
      </c>
      <c r="BA744">
        <v>775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0</v>
      </c>
      <c r="BR744">
        <v>0</v>
      </c>
      <c r="BS744">
        <v>0</v>
      </c>
      <c r="BT744">
        <v>0</v>
      </c>
      <c r="BU744">
        <v>0</v>
      </c>
      <c r="BV744">
        <v>0</v>
      </c>
      <c r="BW744">
        <v>0</v>
      </c>
      <c r="CX744">
        <f>Y744*Source!I281</f>
        <v>0.97919999999999996</v>
      </c>
      <c r="CY744">
        <f>AA744</f>
        <v>577.45000000000005</v>
      </c>
      <c r="CZ744">
        <f>AE744</f>
        <v>93.59</v>
      </c>
      <c r="DA744">
        <f>AI744</f>
        <v>6.17</v>
      </c>
      <c r="DB744">
        <f>ROUND(ROUND(AT744*CZ744,2),6)</f>
        <v>381.85</v>
      </c>
      <c r="DC744">
        <f>ROUND(ROUND(AT744*AG744,2),6)</f>
        <v>0</v>
      </c>
    </row>
    <row r="745" spans="1:107">
      <c r="A745">
        <f>ROW(Source!A281)</f>
        <v>281</v>
      </c>
      <c r="B745">
        <v>31028412</v>
      </c>
      <c r="C745">
        <v>31030330</v>
      </c>
      <c r="D745">
        <v>29208232</v>
      </c>
      <c r="E745">
        <v>1</v>
      </c>
      <c r="F745">
        <v>1</v>
      </c>
      <c r="G745">
        <v>1</v>
      </c>
      <c r="H745">
        <v>3</v>
      </c>
      <c r="I745" t="s">
        <v>1318</v>
      </c>
      <c r="J745" t="s">
        <v>1319</v>
      </c>
      <c r="K745" t="s">
        <v>1320</v>
      </c>
      <c r="L745">
        <v>1355</v>
      </c>
      <c r="N745">
        <v>1010</v>
      </c>
      <c r="O745" t="s">
        <v>680</v>
      </c>
      <c r="P745" t="s">
        <v>680</v>
      </c>
      <c r="Q745">
        <v>100</v>
      </c>
      <c r="W745">
        <v>0</v>
      </c>
      <c r="X745">
        <v>-29675743</v>
      </c>
      <c r="Y745">
        <v>1.02</v>
      </c>
      <c r="AA745">
        <v>670</v>
      </c>
      <c r="AB745">
        <v>0</v>
      </c>
      <c r="AC745">
        <v>0</v>
      </c>
      <c r="AD745">
        <v>0</v>
      </c>
      <c r="AE745">
        <v>108.59</v>
      </c>
      <c r="AF745">
        <v>0</v>
      </c>
      <c r="AG745">
        <v>0</v>
      </c>
      <c r="AH745">
        <v>0</v>
      </c>
      <c r="AI745">
        <v>6.17</v>
      </c>
      <c r="AJ745">
        <v>1</v>
      </c>
      <c r="AK745">
        <v>1</v>
      </c>
      <c r="AL745">
        <v>1</v>
      </c>
      <c r="AN745">
        <v>0</v>
      </c>
      <c r="AO745">
        <v>1</v>
      </c>
      <c r="AP745">
        <v>0</v>
      </c>
      <c r="AQ745">
        <v>0</v>
      </c>
      <c r="AR745">
        <v>0</v>
      </c>
      <c r="AS745" t="s">
        <v>6</v>
      </c>
      <c r="AT745">
        <v>1.02</v>
      </c>
      <c r="AU745" t="s">
        <v>6</v>
      </c>
      <c r="AV745">
        <v>0</v>
      </c>
      <c r="AW745">
        <v>2</v>
      </c>
      <c r="AX745">
        <v>31030349</v>
      </c>
      <c r="AY745">
        <v>1</v>
      </c>
      <c r="AZ745">
        <v>0</v>
      </c>
      <c r="BA745">
        <v>776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  <c r="CX745">
        <f>Y745*Source!I281</f>
        <v>0.24479999999999999</v>
      </c>
      <c r="CY745">
        <f>AA745</f>
        <v>670</v>
      </c>
      <c r="CZ745">
        <f>AE745</f>
        <v>108.59</v>
      </c>
      <c r="DA745">
        <f>AI745</f>
        <v>6.17</v>
      </c>
      <c r="DB745">
        <f>ROUND(ROUND(AT745*CZ745,2),6)</f>
        <v>110.76</v>
      </c>
      <c r="DC745">
        <f>ROUND(ROUND(AT745*AG745,2),6)</f>
        <v>0</v>
      </c>
    </row>
    <row r="746" spans="1:107">
      <c r="A746">
        <f>ROW(Source!A281)</f>
        <v>281</v>
      </c>
      <c r="B746">
        <v>31028412</v>
      </c>
      <c r="C746">
        <v>31030330</v>
      </c>
      <c r="D746">
        <v>29215987</v>
      </c>
      <c r="E746">
        <v>1</v>
      </c>
      <c r="F746">
        <v>1</v>
      </c>
      <c r="G746">
        <v>1</v>
      </c>
      <c r="H746">
        <v>3</v>
      </c>
      <c r="I746" t="s">
        <v>1303</v>
      </c>
      <c r="J746" t="s">
        <v>1304</v>
      </c>
      <c r="K746" t="s">
        <v>1305</v>
      </c>
      <c r="L746">
        <v>1344</v>
      </c>
      <c r="N746">
        <v>1008</v>
      </c>
      <c r="O746" t="s">
        <v>1306</v>
      </c>
      <c r="P746" t="s">
        <v>1306</v>
      </c>
      <c r="Q746">
        <v>1</v>
      </c>
      <c r="W746">
        <v>0</v>
      </c>
      <c r="X746">
        <v>-1930947569</v>
      </c>
      <c r="Y746">
        <v>14.01</v>
      </c>
      <c r="AA746">
        <v>6.17</v>
      </c>
      <c r="AB746">
        <v>0</v>
      </c>
      <c r="AC746">
        <v>0</v>
      </c>
      <c r="AD746">
        <v>0</v>
      </c>
      <c r="AE746">
        <v>1</v>
      </c>
      <c r="AF746">
        <v>0</v>
      </c>
      <c r="AG746">
        <v>0</v>
      </c>
      <c r="AH746">
        <v>0</v>
      </c>
      <c r="AI746">
        <v>6.17</v>
      </c>
      <c r="AJ746">
        <v>1</v>
      </c>
      <c r="AK746">
        <v>1</v>
      </c>
      <c r="AL746">
        <v>1</v>
      </c>
      <c r="AN746">
        <v>0</v>
      </c>
      <c r="AO746">
        <v>1</v>
      </c>
      <c r="AP746">
        <v>0</v>
      </c>
      <c r="AQ746">
        <v>0</v>
      </c>
      <c r="AR746">
        <v>0</v>
      </c>
      <c r="AS746" t="s">
        <v>6</v>
      </c>
      <c r="AT746">
        <v>14.01</v>
      </c>
      <c r="AU746" t="s">
        <v>6</v>
      </c>
      <c r="AV746">
        <v>0</v>
      </c>
      <c r="AW746">
        <v>2</v>
      </c>
      <c r="AX746">
        <v>31030350</v>
      </c>
      <c r="AY746">
        <v>1</v>
      </c>
      <c r="AZ746">
        <v>0</v>
      </c>
      <c r="BA746">
        <v>777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0</v>
      </c>
      <c r="BW746">
        <v>0</v>
      </c>
      <c r="CX746">
        <f>Y746*Source!I281</f>
        <v>3.3623999999999996</v>
      </c>
      <c r="CY746">
        <f>AA746</f>
        <v>6.17</v>
      </c>
      <c r="CZ746">
        <f>AE746</f>
        <v>1</v>
      </c>
      <c r="DA746">
        <f>AI746</f>
        <v>6.17</v>
      </c>
      <c r="DB746">
        <f>ROUND(ROUND(AT746*CZ746,2),6)</f>
        <v>14.01</v>
      </c>
      <c r="DC746">
        <f>ROUND(ROUND(AT746*AG746,2),6)</f>
        <v>0</v>
      </c>
    </row>
    <row r="747" spans="1:107">
      <c r="A747">
        <f>ROW(Source!A282)</f>
        <v>282</v>
      </c>
      <c r="B747">
        <v>31028412</v>
      </c>
      <c r="C747">
        <v>31030351</v>
      </c>
      <c r="D747">
        <v>29084618</v>
      </c>
      <c r="E747">
        <v>1</v>
      </c>
      <c r="F747">
        <v>1</v>
      </c>
      <c r="G747">
        <v>1</v>
      </c>
      <c r="H747">
        <v>1</v>
      </c>
      <c r="I747" t="s">
        <v>1307</v>
      </c>
      <c r="J747" t="s">
        <v>6</v>
      </c>
      <c r="K747" t="s">
        <v>1308</v>
      </c>
      <c r="L747">
        <v>1369</v>
      </c>
      <c r="N747">
        <v>1013</v>
      </c>
      <c r="O747" t="s">
        <v>773</v>
      </c>
      <c r="P747" t="s">
        <v>773</v>
      </c>
      <c r="Q747">
        <v>1</v>
      </c>
      <c r="W747">
        <v>0</v>
      </c>
      <c r="X747">
        <v>-1944110474</v>
      </c>
      <c r="Y747">
        <v>37.92</v>
      </c>
      <c r="AA747">
        <v>0</v>
      </c>
      <c r="AB747">
        <v>0</v>
      </c>
      <c r="AC747">
        <v>0</v>
      </c>
      <c r="AD747">
        <v>231.79</v>
      </c>
      <c r="AE747">
        <v>0</v>
      </c>
      <c r="AF747">
        <v>0</v>
      </c>
      <c r="AG747">
        <v>0</v>
      </c>
      <c r="AH747">
        <v>9.57</v>
      </c>
      <c r="AI747">
        <v>1</v>
      </c>
      <c r="AJ747">
        <v>1</v>
      </c>
      <c r="AK747">
        <v>1</v>
      </c>
      <c r="AL747">
        <v>24.22</v>
      </c>
      <c r="AN747">
        <v>0</v>
      </c>
      <c r="AO747">
        <v>1</v>
      </c>
      <c r="AP747">
        <v>1</v>
      </c>
      <c r="AQ747">
        <v>0</v>
      </c>
      <c r="AR747">
        <v>0</v>
      </c>
      <c r="AS747" t="s">
        <v>6</v>
      </c>
      <c r="AT747">
        <v>31.6</v>
      </c>
      <c r="AU747" t="s">
        <v>669</v>
      </c>
      <c r="AV747">
        <v>1</v>
      </c>
      <c r="AW747">
        <v>2</v>
      </c>
      <c r="AX747">
        <v>31030362</v>
      </c>
      <c r="AY747">
        <v>1</v>
      </c>
      <c r="AZ747">
        <v>0</v>
      </c>
      <c r="BA747">
        <v>778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0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0</v>
      </c>
      <c r="BW747">
        <v>0</v>
      </c>
      <c r="CX747">
        <f>Y747*Source!I282</f>
        <v>4.5503999999999998</v>
      </c>
      <c r="CY747">
        <f>AD747</f>
        <v>231.79</v>
      </c>
      <c r="CZ747">
        <f>AH747</f>
        <v>9.57</v>
      </c>
      <c r="DA747">
        <f>AL747</f>
        <v>24.22</v>
      </c>
      <c r="DB747">
        <f>ROUND((ROUND(AT747*CZ747,2)*ROUND(1.2,7)),6)</f>
        <v>362.892</v>
      </c>
      <c r="DC747">
        <f>ROUND((ROUND(AT747*AG747,2)*ROUND(1.2,7)),6)</f>
        <v>0</v>
      </c>
    </row>
    <row r="748" spans="1:107">
      <c r="A748">
        <f>ROW(Source!A282)</f>
        <v>282</v>
      </c>
      <c r="B748">
        <v>31028412</v>
      </c>
      <c r="C748">
        <v>31030351</v>
      </c>
      <c r="D748">
        <v>29084573</v>
      </c>
      <c r="E748">
        <v>1</v>
      </c>
      <c r="F748">
        <v>1</v>
      </c>
      <c r="G748">
        <v>1</v>
      </c>
      <c r="H748">
        <v>1</v>
      </c>
      <c r="I748" t="s">
        <v>774</v>
      </c>
      <c r="J748" t="s">
        <v>6</v>
      </c>
      <c r="K748" t="s">
        <v>775</v>
      </c>
      <c r="L748">
        <v>608254</v>
      </c>
      <c r="N748">
        <v>1013</v>
      </c>
      <c r="O748" t="s">
        <v>776</v>
      </c>
      <c r="P748" t="s">
        <v>776</v>
      </c>
      <c r="Q748">
        <v>1</v>
      </c>
      <c r="W748">
        <v>0</v>
      </c>
      <c r="X748">
        <v>95408949</v>
      </c>
      <c r="Y748">
        <v>3.5999999999999997E-2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1</v>
      </c>
      <c r="AJ748">
        <v>1</v>
      </c>
      <c r="AK748">
        <v>24.22</v>
      </c>
      <c r="AL748">
        <v>1</v>
      </c>
      <c r="AN748">
        <v>0</v>
      </c>
      <c r="AO748">
        <v>1</v>
      </c>
      <c r="AP748">
        <v>1</v>
      </c>
      <c r="AQ748">
        <v>0</v>
      </c>
      <c r="AR748">
        <v>0</v>
      </c>
      <c r="AS748" t="s">
        <v>6</v>
      </c>
      <c r="AT748">
        <v>0.03</v>
      </c>
      <c r="AU748" t="s">
        <v>669</v>
      </c>
      <c r="AV748">
        <v>2</v>
      </c>
      <c r="AW748">
        <v>2</v>
      </c>
      <c r="AX748">
        <v>31030363</v>
      </c>
      <c r="AY748">
        <v>1</v>
      </c>
      <c r="AZ748">
        <v>0</v>
      </c>
      <c r="BA748">
        <v>779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0</v>
      </c>
      <c r="BW748">
        <v>0</v>
      </c>
      <c r="CX748">
        <f>Y748*Source!I282</f>
        <v>4.3199999999999992E-3</v>
      </c>
      <c r="CY748">
        <f>AD748</f>
        <v>0</v>
      </c>
      <c r="CZ748">
        <f>AH748</f>
        <v>0</v>
      </c>
      <c r="DA748">
        <f>AL748</f>
        <v>1</v>
      </c>
      <c r="DB748">
        <f>ROUND((ROUND(AT748*CZ748,2)*ROUND(1.2,7)),6)</f>
        <v>0</v>
      </c>
      <c r="DC748">
        <f>ROUND((ROUND(AT748*AG748,2)*ROUND(1.2,7)),6)</f>
        <v>0</v>
      </c>
    </row>
    <row r="749" spans="1:107">
      <c r="A749">
        <f>ROW(Source!A282)</f>
        <v>282</v>
      </c>
      <c r="B749">
        <v>31028412</v>
      </c>
      <c r="C749">
        <v>31030351</v>
      </c>
      <c r="D749">
        <v>29147590</v>
      </c>
      <c r="E749">
        <v>1</v>
      </c>
      <c r="F749">
        <v>1</v>
      </c>
      <c r="G749">
        <v>1</v>
      </c>
      <c r="H749">
        <v>2</v>
      </c>
      <c r="I749" t="s">
        <v>1294</v>
      </c>
      <c r="J749" t="s">
        <v>1295</v>
      </c>
      <c r="K749" t="s">
        <v>1296</v>
      </c>
      <c r="L749">
        <v>1368</v>
      </c>
      <c r="N749">
        <v>1011</v>
      </c>
      <c r="O749" t="s">
        <v>780</v>
      </c>
      <c r="P749" t="s">
        <v>780</v>
      </c>
      <c r="Q749">
        <v>1</v>
      </c>
      <c r="W749">
        <v>0</v>
      </c>
      <c r="X749">
        <v>858668480</v>
      </c>
      <c r="Y749">
        <v>3.5999999999999997E-2</v>
      </c>
      <c r="AA749">
        <v>0</v>
      </c>
      <c r="AB749">
        <v>1001.68</v>
      </c>
      <c r="AC749">
        <v>315.58999999999997</v>
      </c>
      <c r="AD749">
        <v>0</v>
      </c>
      <c r="AE749">
        <v>0</v>
      </c>
      <c r="AF749">
        <v>131.11000000000001</v>
      </c>
      <c r="AG749">
        <v>13.03</v>
      </c>
      <c r="AH749">
        <v>0</v>
      </c>
      <c r="AI749">
        <v>1</v>
      </c>
      <c r="AJ749">
        <v>7.64</v>
      </c>
      <c r="AK749">
        <v>24.22</v>
      </c>
      <c r="AL749">
        <v>1</v>
      </c>
      <c r="AN749">
        <v>0</v>
      </c>
      <c r="AO749">
        <v>1</v>
      </c>
      <c r="AP749">
        <v>1</v>
      </c>
      <c r="AQ749">
        <v>0</v>
      </c>
      <c r="AR749">
        <v>0</v>
      </c>
      <c r="AS749" t="s">
        <v>6</v>
      </c>
      <c r="AT749">
        <v>0.03</v>
      </c>
      <c r="AU749" t="s">
        <v>669</v>
      </c>
      <c r="AV749">
        <v>0</v>
      </c>
      <c r="AW749">
        <v>2</v>
      </c>
      <c r="AX749">
        <v>31030364</v>
      </c>
      <c r="AY749">
        <v>1</v>
      </c>
      <c r="AZ749">
        <v>0</v>
      </c>
      <c r="BA749">
        <v>780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0</v>
      </c>
      <c r="BP749">
        <v>0</v>
      </c>
      <c r="BQ749">
        <v>0</v>
      </c>
      <c r="BR749">
        <v>0</v>
      </c>
      <c r="BS749">
        <v>0</v>
      </c>
      <c r="BT749">
        <v>0</v>
      </c>
      <c r="BU749">
        <v>0</v>
      </c>
      <c r="BV749">
        <v>0</v>
      </c>
      <c r="BW749">
        <v>0</v>
      </c>
      <c r="CX749">
        <f>Y749*Source!I282</f>
        <v>4.3199999999999992E-3</v>
      </c>
      <c r="CY749">
        <f>AB749</f>
        <v>1001.68</v>
      </c>
      <c r="CZ749">
        <f>AF749</f>
        <v>131.11000000000001</v>
      </c>
      <c r="DA749">
        <f>AJ749</f>
        <v>7.64</v>
      </c>
      <c r="DB749">
        <f>ROUND((ROUND(AT749*CZ749,2)*ROUND(1.2,7)),6)</f>
        <v>4.7160000000000002</v>
      </c>
      <c r="DC749">
        <f>ROUND((ROUND(AT749*AG749,2)*ROUND(1.2,7)),6)</f>
        <v>0.46800000000000003</v>
      </c>
    </row>
    <row r="750" spans="1:107">
      <c r="A750">
        <f>ROW(Source!A282)</f>
        <v>282</v>
      </c>
      <c r="B750">
        <v>31028412</v>
      </c>
      <c r="C750">
        <v>31030351</v>
      </c>
      <c r="D750">
        <v>29149183</v>
      </c>
      <c r="E750">
        <v>1</v>
      </c>
      <c r="F750">
        <v>1</v>
      </c>
      <c r="G750">
        <v>1</v>
      </c>
      <c r="H750">
        <v>2</v>
      </c>
      <c r="I750" t="s">
        <v>983</v>
      </c>
      <c r="J750" t="s">
        <v>984</v>
      </c>
      <c r="K750" t="s">
        <v>985</v>
      </c>
      <c r="L750">
        <v>1368</v>
      </c>
      <c r="N750">
        <v>1011</v>
      </c>
      <c r="O750" t="s">
        <v>780</v>
      </c>
      <c r="P750" t="s">
        <v>780</v>
      </c>
      <c r="Q750">
        <v>1</v>
      </c>
      <c r="W750">
        <v>0</v>
      </c>
      <c r="X750">
        <v>825056910</v>
      </c>
      <c r="Y750">
        <v>4.919999999999999</v>
      </c>
      <c r="AA750">
        <v>0</v>
      </c>
      <c r="AB750">
        <v>14.9</v>
      </c>
      <c r="AC750">
        <v>0</v>
      </c>
      <c r="AD750">
        <v>0</v>
      </c>
      <c r="AE750">
        <v>0</v>
      </c>
      <c r="AF750">
        <v>1.95</v>
      </c>
      <c r="AG750">
        <v>0</v>
      </c>
      <c r="AH750">
        <v>0</v>
      </c>
      <c r="AI750">
        <v>1</v>
      </c>
      <c r="AJ750">
        <v>7.64</v>
      </c>
      <c r="AK750">
        <v>24.22</v>
      </c>
      <c r="AL750">
        <v>1</v>
      </c>
      <c r="AN750">
        <v>0</v>
      </c>
      <c r="AO750">
        <v>1</v>
      </c>
      <c r="AP750">
        <v>1</v>
      </c>
      <c r="AQ750">
        <v>0</v>
      </c>
      <c r="AR750">
        <v>0</v>
      </c>
      <c r="AS750" t="s">
        <v>6</v>
      </c>
      <c r="AT750">
        <v>4.0999999999999996</v>
      </c>
      <c r="AU750" t="s">
        <v>669</v>
      </c>
      <c r="AV750">
        <v>0</v>
      </c>
      <c r="AW750">
        <v>2</v>
      </c>
      <c r="AX750">
        <v>31030365</v>
      </c>
      <c r="AY750">
        <v>1</v>
      </c>
      <c r="AZ750">
        <v>0</v>
      </c>
      <c r="BA750">
        <v>781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0</v>
      </c>
      <c r="BR750">
        <v>0</v>
      </c>
      <c r="BS750">
        <v>0</v>
      </c>
      <c r="BT750">
        <v>0</v>
      </c>
      <c r="BU750">
        <v>0</v>
      </c>
      <c r="BV750">
        <v>0</v>
      </c>
      <c r="BW750">
        <v>0</v>
      </c>
      <c r="CX750">
        <f>Y750*Source!I282</f>
        <v>0.59039999999999981</v>
      </c>
      <c r="CY750">
        <f>AB750</f>
        <v>14.9</v>
      </c>
      <c r="CZ750">
        <f>AF750</f>
        <v>1.95</v>
      </c>
      <c r="DA750">
        <f>AJ750</f>
        <v>7.64</v>
      </c>
      <c r="DB750">
        <f>ROUND((ROUND(AT750*CZ750,2)*ROUND(1.2,7)),6)</f>
        <v>9.6</v>
      </c>
      <c r="DC750">
        <f>ROUND((ROUND(AT750*AG750,2)*ROUND(1.2,7)),6)</f>
        <v>0</v>
      </c>
    </row>
    <row r="751" spans="1:107">
      <c r="A751">
        <f>ROW(Source!A282)</f>
        <v>282</v>
      </c>
      <c r="B751">
        <v>31028412</v>
      </c>
      <c r="C751">
        <v>31030351</v>
      </c>
      <c r="D751">
        <v>29149520</v>
      </c>
      <c r="E751">
        <v>1</v>
      </c>
      <c r="F751">
        <v>1</v>
      </c>
      <c r="G751">
        <v>1</v>
      </c>
      <c r="H751">
        <v>2</v>
      </c>
      <c r="I751" t="s">
        <v>790</v>
      </c>
      <c r="J751" t="s">
        <v>791</v>
      </c>
      <c r="K751" t="s">
        <v>792</v>
      </c>
      <c r="L751">
        <v>1368</v>
      </c>
      <c r="N751">
        <v>1011</v>
      </c>
      <c r="O751" t="s">
        <v>780</v>
      </c>
      <c r="P751" t="s">
        <v>780</v>
      </c>
      <c r="Q751">
        <v>1</v>
      </c>
      <c r="W751">
        <v>0</v>
      </c>
      <c r="X751">
        <v>-1931461795</v>
      </c>
      <c r="Y751">
        <v>2.4E-2</v>
      </c>
      <c r="AA751">
        <v>0</v>
      </c>
      <c r="AB751">
        <v>699.98</v>
      </c>
      <c r="AC751">
        <v>0</v>
      </c>
      <c r="AD751">
        <v>0</v>
      </c>
      <c r="AE751">
        <v>0</v>
      </c>
      <c r="AF751">
        <v>91.62</v>
      </c>
      <c r="AG751">
        <v>0</v>
      </c>
      <c r="AH751">
        <v>0</v>
      </c>
      <c r="AI751">
        <v>1</v>
      </c>
      <c r="AJ751">
        <v>7.64</v>
      </c>
      <c r="AK751">
        <v>24.22</v>
      </c>
      <c r="AL751">
        <v>1</v>
      </c>
      <c r="AN751">
        <v>0</v>
      </c>
      <c r="AO751">
        <v>1</v>
      </c>
      <c r="AP751">
        <v>1</v>
      </c>
      <c r="AQ751">
        <v>0</v>
      </c>
      <c r="AR751">
        <v>0</v>
      </c>
      <c r="AS751" t="s">
        <v>6</v>
      </c>
      <c r="AT751">
        <v>0.02</v>
      </c>
      <c r="AU751" t="s">
        <v>669</v>
      </c>
      <c r="AV751">
        <v>0</v>
      </c>
      <c r="AW751">
        <v>2</v>
      </c>
      <c r="AX751">
        <v>31030366</v>
      </c>
      <c r="AY751">
        <v>1</v>
      </c>
      <c r="AZ751">
        <v>0</v>
      </c>
      <c r="BA751">
        <v>782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0</v>
      </c>
      <c r="BW751">
        <v>0</v>
      </c>
      <c r="CX751">
        <f>Y751*Source!I282</f>
        <v>2.8799999999999997E-3</v>
      </c>
      <c r="CY751">
        <f>AB751</f>
        <v>699.98</v>
      </c>
      <c r="CZ751">
        <f>AF751</f>
        <v>91.62</v>
      </c>
      <c r="DA751">
        <f>AJ751</f>
        <v>7.64</v>
      </c>
      <c r="DB751">
        <f>ROUND((ROUND(AT751*CZ751,2)*ROUND(1.2,7)),6)</f>
        <v>2.1960000000000002</v>
      </c>
      <c r="DC751">
        <f>ROUND((ROUND(AT751*AG751,2)*ROUND(1.2,7)),6)</f>
        <v>0</v>
      </c>
    </row>
    <row r="752" spans="1:107">
      <c r="A752">
        <f>ROW(Source!A282)</f>
        <v>282</v>
      </c>
      <c r="B752">
        <v>31028412</v>
      </c>
      <c r="C752">
        <v>31030351</v>
      </c>
      <c r="D752">
        <v>29151754</v>
      </c>
      <c r="E752">
        <v>1</v>
      </c>
      <c r="F752">
        <v>1</v>
      </c>
      <c r="G752">
        <v>1</v>
      </c>
      <c r="H752">
        <v>3</v>
      </c>
      <c r="I752" t="s">
        <v>1321</v>
      </c>
      <c r="J752" t="s">
        <v>1322</v>
      </c>
      <c r="K752" t="s">
        <v>1323</v>
      </c>
      <c r="L752">
        <v>1348</v>
      </c>
      <c r="N752">
        <v>1009</v>
      </c>
      <c r="O752" t="s">
        <v>137</v>
      </c>
      <c r="P752" t="s">
        <v>137</v>
      </c>
      <c r="Q752">
        <v>1000</v>
      </c>
      <c r="W752">
        <v>0</v>
      </c>
      <c r="X752">
        <v>866209814</v>
      </c>
      <c r="Y752">
        <v>1.6000000000000001E-4</v>
      </c>
      <c r="AA752">
        <v>112059.54</v>
      </c>
      <c r="AB752">
        <v>0</v>
      </c>
      <c r="AC752">
        <v>0</v>
      </c>
      <c r="AD752">
        <v>0</v>
      </c>
      <c r="AE752">
        <v>18162</v>
      </c>
      <c r="AF752">
        <v>0</v>
      </c>
      <c r="AG752">
        <v>0</v>
      </c>
      <c r="AH752">
        <v>0</v>
      </c>
      <c r="AI752">
        <v>6.17</v>
      </c>
      <c r="AJ752">
        <v>1</v>
      </c>
      <c r="AK752">
        <v>1</v>
      </c>
      <c r="AL752">
        <v>1</v>
      </c>
      <c r="AN752">
        <v>0</v>
      </c>
      <c r="AO752">
        <v>1</v>
      </c>
      <c r="AP752">
        <v>0</v>
      </c>
      <c r="AQ752">
        <v>0</v>
      </c>
      <c r="AR752">
        <v>0</v>
      </c>
      <c r="AS752" t="s">
        <v>6</v>
      </c>
      <c r="AT752">
        <v>1.6000000000000001E-4</v>
      </c>
      <c r="AU752" t="s">
        <v>6</v>
      </c>
      <c r="AV752">
        <v>0</v>
      </c>
      <c r="AW752">
        <v>2</v>
      </c>
      <c r="AX752">
        <v>31030367</v>
      </c>
      <c r="AY752">
        <v>1</v>
      </c>
      <c r="AZ752">
        <v>0</v>
      </c>
      <c r="BA752">
        <v>783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0</v>
      </c>
      <c r="BW752">
        <v>0</v>
      </c>
      <c r="CX752">
        <f>Y752*Source!I282</f>
        <v>1.9200000000000003E-5</v>
      </c>
      <c r="CY752">
        <f>AA752</f>
        <v>112059.54</v>
      </c>
      <c r="CZ752">
        <f>AE752</f>
        <v>18162</v>
      </c>
      <c r="DA752">
        <f>AI752</f>
        <v>6.17</v>
      </c>
      <c r="DB752">
        <f>ROUND(ROUND(AT752*CZ752,2),6)</f>
        <v>2.91</v>
      </c>
      <c r="DC752">
        <f>ROUND(ROUND(AT752*AG752,2),6)</f>
        <v>0</v>
      </c>
    </row>
    <row r="753" spans="1:107">
      <c r="A753">
        <f>ROW(Source!A282)</f>
        <v>282</v>
      </c>
      <c r="B753">
        <v>31028412</v>
      </c>
      <c r="C753">
        <v>31030351</v>
      </c>
      <c r="D753">
        <v>29151758</v>
      </c>
      <c r="E753">
        <v>1</v>
      </c>
      <c r="F753">
        <v>1</v>
      </c>
      <c r="G753">
        <v>1</v>
      </c>
      <c r="H753">
        <v>3</v>
      </c>
      <c r="I753" t="s">
        <v>1324</v>
      </c>
      <c r="J753" t="s">
        <v>1325</v>
      </c>
      <c r="K753" t="s">
        <v>1326</v>
      </c>
      <c r="L753">
        <v>1348</v>
      </c>
      <c r="N753">
        <v>1009</v>
      </c>
      <c r="O753" t="s">
        <v>137</v>
      </c>
      <c r="P753" t="s">
        <v>137</v>
      </c>
      <c r="Q753">
        <v>1000</v>
      </c>
      <c r="W753">
        <v>0</v>
      </c>
      <c r="X753">
        <v>-1607691118</v>
      </c>
      <c r="Y753">
        <v>2.9999999999999997E-4</v>
      </c>
      <c r="AA753">
        <v>62977.19</v>
      </c>
      <c r="AB753">
        <v>0</v>
      </c>
      <c r="AC753">
        <v>0</v>
      </c>
      <c r="AD753">
        <v>0</v>
      </c>
      <c r="AE753">
        <v>10207</v>
      </c>
      <c r="AF753">
        <v>0</v>
      </c>
      <c r="AG753">
        <v>0</v>
      </c>
      <c r="AH753">
        <v>0</v>
      </c>
      <c r="AI753">
        <v>6.17</v>
      </c>
      <c r="AJ753">
        <v>1</v>
      </c>
      <c r="AK753">
        <v>1</v>
      </c>
      <c r="AL753">
        <v>1</v>
      </c>
      <c r="AN753">
        <v>0</v>
      </c>
      <c r="AO753">
        <v>1</v>
      </c>
      <c r="AP753">
        <v>0</v>
      </c>
      <c r="AQ753">
        <v>0</v>
      </c>
      <c r="AR753">
        <v>0</v>
      </c>
      <c r="AS753" t="s">
        <v>6</v>
      </c>
      <c r="AT753">
        <v>2.9999999999999997E-4</v>
      </c>
      <c r="AU753" t="s">
        <v>6</v>
      </c>
      <c r="AV753">
        <v>0</v>
      </c>
      <c r="AW753">
        <v>2</v>
      </c>
      <c r="AX753">
        <v>31030368</v>
      </c>
      <c r="AY753">
        <v>1</v>
      </c>
      <c r="AZ753">
        <v>0</v>
      </c>
      <c r="BA753">
        <v>784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0</v>
      </c>
      <c r="BW753">
        <v>0</v>
      </c>
      <c r="CX753">
        <f>Y753*Source!I282</f>
        <v>3.5999999999999994E-5</v>
      </c>
      <c r="CY753">
        <f>AA753</f>
        <v>62977.19</v>
      </c>
      <c r="CZ753">
        <f>AE753</f>
        <v>10207</v>
      </c>
      <c r="DA753">
        <f>AI753</f>
        <v>6.17</v>
      </c>
      <c r="DB753">
        <f>ROUND(ROUND(AT753*CZ753,2),6)</f>
        <v>3.06</v>
      </c>
      <c r="DC753">
        <f>ROUND(ROUND(AT753*AG753,2),6)</f>
        <v>0</v>
      </c>
    </row>
    <row r="754" spans="1:107">
      <c r="A754">
        <f>ROW(Source!A282)</f>
        <v>282</v>
      </c>
      <c r="B754">
        <v>31028412</v>
      </c>
      <c r="C754">
        <v>31030351</v>
      </c>
      <c r="D754">
        <v>29152725</v>
      </c>
      <c r="E754">
        <v>1</v>
      </c>
      <c r="F754">
        <v>1</v>
      </c>
      <c r="G754">
        <v>1</v>
      </c>
      <c r="H754">
        <v>3</v>
      </c>
      <c r="I754" t="s">
        <v>1312</v>
      </c>
      <c r="J754" t="s">
        <v>1313</v>
      </c>
      <c r="K754" t="s">
        <v>1314</v>
      </c>
      <c r="L754">
        <v>1346</v>
      </c>
      <c r="N754">
        <v>1009</v>
      </c>
      <c r="O754" t="s">
        <v>118</v>
      </c>
      <c r="P754" t="s">
        <v>118</v>
      </c>
      <c r="Q754">
        <v>1</v>
      </c>
      <c r="W754">
        <v>0</v>
      </c>
      <c r="X754">
        <v>846161246</v>
      </c>
      <c r="Y754">
        <v>0.11</v>
      </c>
      <c r="AA754">
        <v>204.04</v>
      </c>
      <c r="AB754">
        <v>0</v>
      </c>
      <c r="AC754">
        <v>0</v>
      </c>
      <c r="AD754">
        <v>0</v>
      </c>
      <c r="AE754">
        <v>33.07</v>
      </c>
      <c r="AF754">
        <v>0</v>
      </c>
      <c r="AG754">
        <v>0</v>
      </c>
      <c r="AH754">
        <v>0</v>
      </c>
      <c r="AI754">
        <v>6.17</v>
      </c>
      <c r="AJ754">
        <v>1</v>
      </c>
      <c r="AK754">
        <v>1</v>
      </c>
      <c r="AL754">
        <v>1</v>
      </c>
      <c r="AN754">
        <v>0</v>
      </c>
      <c r="AO754">
        <v>1</v>
      </c>
      <c r="AP754">
        <v>0</v>
      </c>
      <c r="AQ754">
        <v>0</v>
      </c>
      <c r="AR754">
        <v>0</v>
      </c>
      <c r="AS754" t="s">
        <v>6</v>
      </c>
      <c r="AT754">
        <v>0.11</v>
      </c>
      <c r="AU754" t="s">
        <v>6</v>
      </c>
      <c r="AV754">
        <v>0</v>
      </c>
      <c r="AW754">
        <v>2</v>
      </c>
      <c r="AX754">
        <v>31030369</v>
      </c>
      <c r="AY754">
        <v>1</v>
      </c>
      <c r="AZ754">
        <v>0</v>
      </c>
      <c r="BA754">
        <v>785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0</v>
      </c>
      <c r="BR754">
        <v>0</v>
      </c>
      <c r="BS754">
        <v>0</v>
      </c>
      <c r="BT754">
        <v>0</v>
      </c>
      <c r="BU754">
        <v>0</v>
      </c>
      <c r="BV754">
        <v>0</v>
      </c>
      <c r="BW754">
        <v>0</v>
      </c>
      <c r="CX754">
        <f>Y754*Source!I282</f>
        <v>1.32E-2</v>
      </c>
      <c r="CY754">
        <f>AA754</f>
        <v>204.04</v>
      </c>
      <c r="CZ754">
        <f>AE754</f>
        <v>33.07</v>
      </c>
      <c r="DA754">
        <f>AI754</f>
        <v>6.17</v>
      </c>
      <c r="DB754">
        <f>ROUND(ROUND(AT754*CZ754,2),6)</f>
        <v>3.64</v>
      </c>
      <c r="DC754">
        <f>ROUND(ROUND(AT754*AG754,2),6)</f>
        <v>0</v>
      </c>
    </row>
    <row r="755" spans="1:107">
      <c r="A755">
        <f>ROW(Source!A282)</f>
        <v>282</v>
      </c>
      <c r="B755">
        <v>31028412</v>
      </c>
      <c r="C755">
        <v>31030351</v>
      </c>
      <c r="D755">
        <v>29154100</v>
      </c>
      <c r="E755">
        <v>1</v>
      </c>
      <c r="F755">
        <v>1</v>
      </c>
      <c r="G755">
        <v>1</v>
      </c>
      <c r="H755">
        <v>3</v>
      </c>
      <c r="I755" t="s">
        <v>1315</v>
      </c>
      <c r="J755" t="s">
        <v>1316</v>
      </c>
      <c r="K755" t="s">
        <v>1317</v>
      </c>
      <c r="L755">
        <v>1355</v>
      </c>
      <c r="N755">
        <v>1010</v>
      </c>
      <c r="O755" t="s">
        <v>680</v>
      </c>
      <c r="P755" t="s">
        <v>680</v>
      </c>
      <c r="Q755">
        <v>100</v>
      </c>
      <c r="W755">
        <v>0</v>
      </c>
      <c r="X755">
        <v>-271362456</v>
      </c>
      <c r="Y755">
        <v>1.02</v>
      </c>
      <c r="AA755">
        <v>577.45000000000005</v>
      </c>
      <c r="AB755">
        <v>0</v>
      </c>
      <c r="AC755">
        <v>0</v>
      </c>
      <c r="AD755">
        <v>0</v>
      </c>
      <c r="AE755">
        <v>93.59</v>
      </c>
      <c r="AF755">
        <v>0</v>
      </c>
      <c r="AG755">
        <v>0</v>
      </c>
      <c r="AH755">
        <v>0</v>
      </c>
      <c r="AI755">
        <v>6.17</v>
      </c>
      <c r="AJ755">
        <v>1</v>
      </c>
      <c r="AK755">
        <v>1</v>
      </c>
      <c r="AL755">
        <v>1</v>
      </c>
      <c r="AN755">
        <v>0</v>
      </c>
      <c r="AO755">
        <v>1</v>
      </c>
      <c r="AP755">
        <v>0</v>
      </c>
      <c r="AQ755">
        <v>0</v>
      </c>
      <c r="AR755">
        <v>0</v>
      </c>
      <c r="AS755" t="s">
        <v>6</v>
      </c>
      <c r="AT755">
        <v>1.02</v>
      </c>
      <c r="AU755" t="s">
        <v>6</v>
      </c>
      <c r="AV755">
        <v>0</v>
      </c>
      <c r="AW755">
        <v>2</v>
      </c>
      <c r="AX755">
        <v>31030370</v>
      </c>
      <c r="AY755">
        <v>1</v>
      </c>
      <c r="AZ755">
        <v>0</v>
      </c>
      <c r="BA755">
        <v>786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0</v>
      </c>
      <c r="BW755">
        <v>0</v>
      </c>
      <c r="CX755">
        <f>Y755*Source!I282</f>
        <v>0.12239999999999999</v>
      </c>
      <c r="CY755">
        <f>AA755</f>
        <v>577.45000000000005</v>
      </c>
      <c r="CZ755">
        <f>AE755</f>
        <v>93.59</v>
      </c>
      <c r="DA755">
        <f>AI755</f>
        <v>6.17</v>
      </c>
      <c r="DB755">
        <f>ROUND(ROUND(AT755*CZ755,2),6)</f>
        <v>95.46</v>
      </c>
      <c r="DC755">
        <f>ROUND(ROUND(AT755*AG755,2),6)</f>
        <v>0</v>
      </c>
    </row>
    <row r="756" spans="1:107">
      <c r="A756">
        <f>ROW(Source!A282)</f>
        <v>282</v>
      </c>
      <c r="B756">
        <v>31028412</v>
      </c>
      <c r="C756">
        <v>31030351</v>
      </c>
      <c r="D756">
        <v>29215987</v>
      </c>
      <c r="E756">
        <v>1</v>
      </c>
      <c r="F756">
        <v>1</v>
      </c>
      <c r="G756">
        <v>1</v>
      </c>
      <c r="H756">
        <v>3</v>
      </c>
      <c r="I756" t="s">
        <v>1303</v>
      </c>
      <c r="J756" t="s">
        <v>1304</v>
      </c>
      <c r="K756" t="s">
        <v>1305</v>
      </c>
      <c r="L756">
        <v>1344</v>
      </c>
      <c r="N756">
        <v>1008</v>
      </c>
      <c r="O756" t="s">
        <v>1306</v>
      </c>
      <c r="P756" t="s">
        <v>1306</v>
      </c>
      <c r="Q756">
        <v>1</v>
      </c>
      <c r="W756">
        <v>0</v>
      </c>
      <c r="X756">
        <v>-1930947569</v>
      </c>
      <c r="Y756">
        <v>6.27</v>
      </c>
      <c r="AA756">
        <v>6.17</v>
      </c>
      <c r="AB756">
        <v>0</v>
      </c>
      <c r="AC756">
        <v>0</v>
      </c>
      <c r="AD756">
        <v>0</v>
      </c>
      <c r="AE756">
        <v>1</v>
      </c>
      <c r="AF756">
        <v>0</v>
      </c>
      <c r="AG756">
        <v>0</v>
      </c>
      <c r="AH756">
        <v>0</v>
      </c>
      <c r="AI756">
        <v>6.17</v>
      </c>
      <c r="AJ756">
        <v>1</v>
      </c>
      <c r="AK756">
        <v>1</v>
      </c>
      <c r="AL756">
        <v>1</v>
      </c>
      <c r="AN756">
        <v>0</v>
      </c>
      <c r="AO756">
        <v>1</v>
      </c>
      <c r="AP756">
        <v>0</v>
      </c>
      <c r="AQ756">
        <v>0</v>
      </c>
      <c r="AR756">
        <v>0</v>
      </c>
      <c r="AS756" t="s">
        <v>6</v>
      </c>
      <c r="AT756">
        <v>6.27</v>
      </c>
      <c r="AU756" t="s">
        <v>6</v>
      </c>
      <c r="AV756">
        <v>0</v>
      </c>
      <c r="AW756">
        <v>2</v>
      </c>
      <c r="AX756">
        <v>31030371</v>
      </c>
      <c r="AY756">
        <v>1</v>
      </c>
      <c r="AZ756">
        <v>0</v>
      </c>
      <c r="BA756">
        <v>787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0</v>
      </c>
      <c r="BW756">
        <v>0</v>
      </c>
      <c r="CX756">
        <f>Y756*Source!I282</f>
        <v>0.75239999999999996</v>
      </c>
      <c r="CY756">
        <f>AA756</f>
        <v>6.17</v>
      </c>
      <c r="CZ756">
        <f>AE756</f>
        <v>1</v>
      </c>
      <c r="DA756">
        <f>AI756</f>
        <v>6.17</v>
      </c>
      <c r="DB756">
        <f>ROUND(ROUND(AT756*CZ756,2),6)</f>
        <v>6.27</v>
      </c>
      <c r="DC756">
        <f>ROUND(ROUND(AT756*AG756,2),6)</f>
        <v>0</v>
      </c>
    </row>
    <row r="757" spans="1:107">
      <c r="A757">
        <f>ROW(Source!A283)</f>
        <v>283</v>
      </c>
      <c r="B757">
        <v>31028412</v>
      </c>
      <c r="C757">
        <v>31030372</v>
      </c>
      <c r="D757">
        <v>29084618</v>
      </c>
      <c r="E757">
        <v>1</v>
      </c>
      <c r="F757">
        <v>1</v>
      </c>
      <c r="G757">
        <v>1</v>
      </c>
      <c r="H757">
        <v>1</v>
      </c>
      <c r="I757" t="s">
        <v>1307</v>
      </c>
      <c r="J757" t="s">
        <v>6</v>
      </c>
      <c r="K757" t="s">
        <v>1308</v>
      </c>
      <c r="L757">
        <v>1369</v>
      </c>
      <c r="N757">
        <v>1013</v>
      </c>
      <c r="O757" t="s">
        <v>773</v>
      </c>
      <c r="P757" t="s">
        <v>773</v>
      </c>
      <c r="Q757">
        <v>1</v>
      </c>
      <c r="W757">
        <v>0</v>
      </c>
      <c r="X757">
        <v>-1944110474</v>
      </c>
      <c r="Y757">
        <v>41.472000000000001</v>
      </c>
      <c r="AA757">
        <v>0</v>
      </c>
      <c r="AB757">
        <v>0</v>
      </c>
      <c r="AC757">
        <v>0</v>
      </c>
      <c r="AD757">
        <v>231.79</v>
      </c>
      <c r="AE757">
        <v>0</v>
      </c>
      <c r="AF757">
        <v>0</v>
      </c>
      <c r="AG757">
        <v>0</v>
      </c>
      <c r="AH757">
        <v>9.57</v>
      </c>
      <c r="AI757">
        <v>1</v>
      </c>
      <c r="AJ757">
        <v>1</v>
      </c>
      <c r="AK757">
        <v>1</v>
      </c>
      <c r="AL757">
        <v>24.22</v>
      </c>
      <c r="AN757">
        <v>0</v>
      </c>
      <c r="AO757">
        <v>1</v>
      </c>
      <c r="AP757">
        <v>1</v>
      </c>
      <c r="AQ757">
        <v>0</v>
      </c>
      <c r="AR757">
        <v>0</v>
      </c>
      <c r="AS757" t="s">
        <v>6</v>
      </c>
      <c r="AT757">
        <v>34.56</v>
      </c>
      <c r="AU757" t="s">
        <v>669</v>
      </c>
      <c r="AV757">
        <v>1</v>
      </c>
      <c r="AW757">
        <v>2</v>
      </c>
      <c r="AX757">
        <v>31030383</v>
      </c>
      <c r="AY757">
        <v>1</v>
      </c>
      <c r="AZ757">
        <v>0</v>
      </c>
      <c r="BA757">
        <v>788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0</v>
      </c>
      <c r="BW757">
        <v>0</v>
      </c>
      <c r="CX757">
        <f>Y757*Source!I283</f>
        <v>9.9532799999999995</v>
      </c>
      <c r="CY757">
        <f>AD757</f>
        <v>231.79</v>
      </c>
      <c r="CZ757">
        <f>AH757</f>
        <v>9.57</v>
      </c>
      <c r="DA757">
        <f>AL757</f>
        <v>24.22</v>
      </c>
      <c r="DB757">
        <f>ROUND((ROUND(AT757*CZ757,2)*ROUND(1.2,7)),6)</f>
        <v>396.88799999999998</v>
      </c>
      <c r="DC757">
        <f>ROUND((ROUND(AT757*AG757,2)*ROUND(1.2,7)),6)</f>
        <v>0</v>
      </c>
    </row>
    <row r="758" spans="1:107">
      <c r="A758">
        <f>ROW(Source!A283)</f>
        <v>283</v>
      </c>
      <c r="B758">
        <v>31028412</v>
      </c>
      <c r="C758">
        <v>31030372</v>
      </c>
      <c r="D758">
        <v>29084573</v>
      </c>
      <c r="E758">
        <v>1</v>
      </c>
      <c r="F758">
        <v>1</v>
      </c>
      <c r="G758">
        <v>1</v>
      </c>
      <c r="H758">
        <v>1</v>
      </c>
      <c r="I758" t="s">
        <v>774</v>
      </c>
      <c r="J758" t="s">
        <v>6</v>
      </c>
      <c r="K758" t="s">
        <v>775</v>
      </c>
      <c r="L758">
        <v>608254</v>
      </c>
      <c r="N758">
        <v>1013</v>
      </c>
      <c r="O758" t="s">
        <v>776</v>
      </c>
      <c r="P758" t="s">
        <v>776</v>
      </c>
      <c r="Q758">
        <v>1</v>
      </c>
      <c r="W758">
        <v>0</v>
      </c>
      <c r="X758">
        <v>95408949</v>
      </c>
      <c r="Y758">
        <v>3.5999999999999997E-2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0</v>
      </c>
      <c r="AI758">
        <v>1</v>
      </c>
      <c r="AJ758">
        <v>1</v>
      </c>
      <c r="AK758">
        <v>24.22</v>
      </c>
      <c r="AL758">
        <v>1</v>
      </c>
      <c r="AN758">
        <v>0</v>
      </c>
      <c r="AO758">
        <v>1</v>
      </c>
      <c r="AP758">
        <v>1</v>
      </c>
      <c r="AQ758">
        <v>0</v>
      </c>
      <c r="AR758">
        <v>0</v>
      </c>
      <c r="AS758" t="s">
        <v>6</v>
      </c>
      <c r="AT758">
        <v>0.03</v>
      </c>
      <c r="AU758" t="s">
        <v>669</v>
      </c>
      <c r="AV758">
        <v>2</v>
      </c>
      <c r="AW758">
        <v>2</v>
      </c>
      <c r="AX758">
        <v>31030384</v>
      </c>
      <c r="AY758">
        <v>1</v>
      </c>
      <c r="AZ758">
        <v>0</v>
      </c>
      <c r="BA758">
        <v>789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0</v>
      </c>
      <c r="CX758">
        <f>Y758*Source!I283</f>
        <v>8.6399999999999984E-3</v>
      </c>
      <c r="CY758">
        <f>AD758</f>
        <v>0</v>
      </c>
      <c r="CZ758">
        <f>AH758</f>
        <v>0</v>
      </c>
      <c r="DA758">
        <f>AL758</f>
        <v>1</v>
      </c>
      <c r="DB758">
        <f>ROUND((ROUND(AT758*CZ758,2)*ROUND(1.2,7)),6)</f>
        <v>0</v>
      </c>
      <c r="DC758">
        <f>ROUND((ROUND(AT758*AG758,2)*ROUND(1.2,7)),6)</f>
        <v>0</v>
      </c>
    </row>
    <row r="759" spans="1:107">
      <c r="A759">
        <f>ROW(Source!A283)</f>
        <v>283</v>
      </c>
      <c r="B759">
        <v>31028412</v>
      </c>
      <c r="C759">
        <v>31030372</v>
      </c>
      <c r="D759">
        <v>29147590</v>
      </c>
      <c r="E759">
        <v>1</v>
      </c>
      <c r="F759">
        <v>1</v>
      </c>
      <c r="G759">
        <v>1</v>
      </c>
      <c r="H759">
        <v>2</v>
      </c>
      <c r="I759" t="s">
        <v>1294</v>
      </c>
      <c r="J759" t="s">
        <v>1295</v>
      </c>
      <c r="K759" t="s">
        <v>1296</v>
      </c>
      <c r="L759">
        <v>1368</v>
      </c>
      <c r="N759">
        <v>1011</v>
      </c>
      <c r="O759" t="s">
        <v>780</v>
      </c>
      <c r="P759" t="s">
        <v>780</v>
      </c>
      <c r="Q759">
        <v>1</v>
      </c>
      <c r="W759">
        <v>0</v>
      </c>
      <c r="X759">
        <v>858668480</v>
      </c>
      <c r="Y759">
        <v>3.5999999999999997E-2</v>
      </c>
      <c r="AA759">
        <v>0</v>
      </c>
      <c r="AB759">
        <v>1001.68</v>
      </c>
      <c r="AC759">
        <v>315.58999999999997</v>
      </c>
      <c r="AD759">
        <v>0</v>
      </c>
      <c r="AE759">
        <v>0</v>
      </c>
      <c r="AF759">
        <v>131.11000000000001</v>
      </c>
      <c r="AG759">
        <v>13.03</v>
      </c>
      <c r="AH759">
        <v>0</v>
      </c>
      <c r="AI759">
        <v>1</v>
      </c>
      <c r="AJ759">
        <v>7.64</v>
      </c>
      <c r="AK759">
        <v>24.22</v>
      </c>
      <c r="AL759">
        <v>1</v>
      </c>
      <c r="AN759">
        <v>0</v>
      </c>
      <c r="AO759">
        <v>1</v>
      </c>
      <c r="AP759">
        <v>1</v>
      </c>
      <c r="AQ759">
        <v>0</v>
      </c>
      <c r="AR759">
        <v>0</v>
      </c>
      <c r="AS759" t="s">
        <v>6</v>
      </c>
      <c r="AT759">
        <v>0.03</v>
      </c>
      <c r="AU759" t="s">
        <v>669</v>
      </c>
      <c r="AV759">
        <v>0</v>
      </c>
      <c r="AW759">
        <v>2</v>
      </c>
      <c r="AX759">
        <v>31030385</v>
      </c>
      <c r="AY759">
        <v>1</v>
      </c>
      <c r="AZ759">
        <v>0</v>
      </c>
      <c r="BA759">
        <v>790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0</v>
      </c>
      <c r="BW759">
        <v>0</v>
      </c>
      <c r="CX759">
        <f>Y759*Source!I283</f>
        <v>8.6399999999999984E-3</v>
      </c>
      <c r="CY759">
        <f>AB759</f>
        <v>1001.68</v>
      </c>
      <c r="CZ759">
        <f>AF759</f>
        <v>131.11000000000001</v>
      </c>
      <c r="DA759">
        <f>AJ759</f>
        <v>7.64</v>
      </c>
      <c r="DB759">
        <f>ROUND((ROUND(AT759*CZ759,2)*ROUND(1.2,7)),6)</f>
        <v>4.7160000000000002</v>
      </c>
      <c r="DC759">
        <f>ROUND((ROUND(AT759*AG759,2)*ROUND(1.2,7)),6)</f>
        <v>0.46800000000000003</v>
      </c>
    </row>
    <row r="760" spans="1:107">
      <c r="A760">
        <f>ROW(Source!A283)</f>
        <v>283</v>
      </c>
      <c r="B760">
        <v>31028412</v>
      </c>
      <c r="C760">
        <v>31030372</v>
      </c>
      <c r="D760">
        <v>29149183</v>
      </c>
      <c r="E760">
        <v>1</v>
      </c>
      <c r="F760">
        <v>1</v>
      </c>
      <c r="G760">
        <v>1</v>
      </c>
      <c r="H760">
        <v>2</v>
      </c>
      <c r="I760" t="s">
        <v>983</v>
      </c>
      <c r="J760" t="s">
        <v>984</v>
      </c>
      <c r="K760" t="s">
        <v>985</v>
      </c>
      <c r="L760">
        <v>1368</v>
      </c>
      <c r="N760">
        <v>1011</v>
      </c>
      <c r="O760" t="s">
        <v>780</v>
      </c>
      <c r="P760" t="s">
        <v>780</v>
      </c>
      <c r="Q760">
        <v>1</v>
      </c>
      <c r="W760">
        <v>0</v>
      </c>
      <c r="X760">
        <v>825056910</v>
      </c>
      <c r="Y760">
        <v>4.919999999999999</v>
      </c>
      <c r="AA760">
        <v>0</v>
      </c>
      <c r="AB760">
        <v>14.9</v>
      </c>
      <c r="AC760">
        <v>0</v>
      </c>
      <c r="AD760">
        <v>0</v>
      </c>
      <c r="AE760">
        <v>0</v>
      </c>
      <c r="AF760">
        <v>1.95</v>
      </c>
      <c r="AG760">
        <v>0</v>
      </c>
      <c r="AH760">
        <v>0</v>
      </c>
      <c r="AI760">
        <v>1</v>
      </c>
      <c r="AJ760">
        <v>7.64</v>
      </c>
      <c r="AK760">
        <v>24.22</v>
      </c>
      <c r="AL760">
        <v>1</v>
      </c>
      <c r="AN760">
        <v>0</v>
      </c>
      <c r="AO760">
        <v>1</v>
      </c>
      <c r="AP760">
        <v>1</v>
      </c>
      <c r="AQ760">
        <v>0</v>
      </c>
      <c r="AR760">
        <v>0</v>
      </c>
      <c r="AS760" t="s">
        <v>6</v>
      </c>
      <c r="AT760">
        <v>4.0999999999999996</v>
      </c>
      <c r="AU760" t="s">
        <v>669</v>
      </c>
      <c r="AV760">
        <v>0</v>
      </c>
      <c r="AW760">
        <v>2</v>
      </c>
      <c r="AX760">
        <v>31030386</v>
      </c>
      <c r="AY760">
        <v>1</v>
      </c>
      <c r="AZ760">
        <v>0</v>
      </c>
      <c r="BA760">
        <v>791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0</v>
      </c>
      <c r="BW760">
        <v>0</v>
      </c>
      <c r="CX760">
        <f>Y760*Source!I283</f>
        <v>1.1807999999999996</v>
      </c>
      <c r="CY760">
        <f>AB760</f>
        <v>14.9</v>
      </c>
      <c r="CZ760">
        <f>AF760</f>
        <v>1.95</v>
      </c>
      <c r="DA760">
        <f>AJ760</f>
        <v>7.64</v>
      </c>
      <c r="DB760">
        <f>ROUND((ROUND(AT760*CZ760,2)*ROUND(1.2,7)),6)</f>
        <v>9.6</v>
      </c>
      <c r="DC760">
        <f>ROUND((ROUND(AT760*AG760,2)*ROUND(1.2,7)),6)</f>
        <v>0</v>
      </c>
    </row>
    <row r="761" spans="1:107">
      <c r="A761">
        <f>ROW(Source!A283)</f>
        <v>283</v>
      </c>
      <c r="B761">
        <v>31028412</v>
      </c>
      <c r="C761">
        <v>31030372</v>
      </c>
      <c r="D761">
        <v>29149520</v>
      </c>
      <c r="E761">
        <v>1</v>
      </c>
      <c r="F761">
        <v>1</v>
      </c>
      <c r="G761">
        <v>1</v>
      </c>
      <c r="H761">
        <v>2</v>
      </c>
      <c r="I761" t="s">
        <v>790</v>
      </c>
      <c r="J761" t="s">
        <v>791</v>
      </c>
      <c r="K761" t="s">
        <v>792</v>
      </c>
      <c r="L761">
        <v>1368</v>
      </c>
      <c r="N761">
        <v>1011</v>
      </c>
      <c r="O761" t="s">
        <v>780</v>
      </c>
      <c r="P761" t="s">
        <v>780</v>
      </c>
      <c r="Q761">
        <v>1</v>
      </c>
      <c r="W761">
        <v>0</v>
      </c>
      <c r="X761">
        <v>-1931461795</v>
      </c>
      <c r="Y761">
        <v>2.4E-2</v>
      </c>
      <c r="AA761">
        <v>0</v>
      </c>
      <c r="AB761">
        <v>699.98</v>
      </c>
      <c r="AC761">
        <v>0</v>
      </c>
      <c r="AD761">
        <v>0</v>
      </c>
      <c r="AE761">
        <v>0</v>
      </c>
      <c r="AF761">
        <v>91.62</v>
      </c>
      <c r="AG761">
        <v>0</v>
      </c>
      <c r="AH761">
        <v>0</v>
      </c>
      <c r="AI761">
        <v>1</v>
      </c>
      <c r="AJ761">
        <v>7.64</v>
      </c>
      <c r="AK761">
        <v>24.22</v>
      </c>
      <c r="AL761">
        <v>1</v>
      </c>
      <c r="AN761">
        <v>0</v>
      </c>
      <c r="AO761">
        <v>1</v>
      </c>
      <c r="AP761">
        <v>1</v>
      </c>
      <c r="AQ761">
        <v>0</v>
      </c>
      <c r="AR761">
        <v>0</v>
      </c>
      <c r="AS761" t="s">
        <v>6</v>
      </c>
      <c r="AT761">
        <v>0.02</v>
      </c>
      <c r="AU761" t="s">
        <v>669</v>
      </c>
      <c r="AV761">
        <v>0</v>
      </c>
      <c r="AW761">
        <v>2</v>
      </c>
      <c r="AX761">
        <v>31030387</v>
      </c>
      <c r="AY761">
        <v>1</v>
      </c>
      <c r="AZ761">
        <v>0</v>
      </c>
      <c r="BA761">
        <v>792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0</v>
      </c>
      <c r="BR761">
        <v>0</v>
      </c>
      <c r="BS761">
        <v>0</v>
      </c>
      <c r="BT761">
        <v>0</v>
      </c>
      <c r="BU761">
        <v>0</v>
      </c>
      <c r="BV761">
        <v>0</v>
      </c>
      <c r="BW761">
        <v>0</v>
      </c>
      <c r="CX761">
        <f>Y761*Source!I283</f>
        <v>5.7599999999999995E-3</v>
      </c>
      <c r="CY761">
        <f>AB761</f>
        <v>699.98</v>
      </c>
      <c r="CZ761">
        <f>AF761</f>
        <v>91.62</v>
      </c>
      <c r="DA761">
        <f>AJ761</f>
        <v>7.64</v>
      </c>
      <c r="DB761">
        <f>ROUND((ROUND(AT761*CZ761,2)*ROUND(1.2,7)),6)</f>
        <v>2.1960000000000002</v>
      </c>
      <c r="DC761">
        <f>ROUND((ROUND(AT761*AG761,2)*ROUND(1.2,7)),6)</f>
        <v>0</v>
      </c>
    </row>
    <row r="762" spans="1:107">
      <c r="A762">
        <f>ROW(Source!A283)</f>
        <v>283</v>
      </c>
      <c r="B762">
        <v>31028412</v>
      </c>
      <c r="C762">
        <v>31030372</v>
      </c>
      <c r="D762">
        <v>29151754</v>
      </c>
      <c r="E762">
        <v>1</v>
      </c>
      <c r="F762">
        <v>1</v>
      </c>
      <c r="G762">
        <v>1</v>
      </c>
      <c r="H762">
        <v>3</v>
      </c>
      <c r="I762" t="s">
        <v>1321</v>
      </c>
      <c r="J762" t="s">
        <v>1322</v>
      </c>
      <c r="K762" t="s">
        <v>1323</v>
      </c>
      <c r="L762">
        <v>1348</v>
      </c>
      <c r="N762">
        <v>1009</v>
      </c>
      <c r="O762" t="s">
        <v>137</v>
      </c>
      <c r="P762" t="s">
        <v>137</v>
      </c>
      <c r="Q762">
        <v>1000</v>
      </c>
      <c r="W762">
        <v>0</v>
      </c>
      <c r="X762">
        <v>866209814</v>
      </c>
      <c r="Y762">
        <v>1.6000000000000001E-4</v>
      </c>
      <c r="AA762">
        <v>112059.54</v>
      </c>
      <c r="AB762">
        <v>0</v>
      </c>
      <c r="AC762">
        <v>0</v>
      </c>
      <c r="AD762">
        <v>0</v>
      </c>
      <c r="AE762">
        <v>18162</v>
      </c>
      <c r="AF762">
        <v>0</v>
      </c>
      <c r="AG762">
        <v>0</v>
      </c>
      <c r="AH762">
        <v>0</v>
      </c>
      <c r="AI762">
        <v>6.17</v>
      </c>
      <c r="AJ762">
        <v>1</v>
      </c>
      <c r="AK762">
        <v>1</v>
      </c>
      <c r="AL762">
        <v>1</v>
      </c>
      <c r="AN762">
        <v>0</v>
      </c>
      <c r="AO762">
        <v>1</v>
      </c>
      <c r="AP762">
        <v>0</v>
      </c>
      <c r="AQ762">
        <v>0</v>
      </c>
      <c r="AR762">
        <v>0</v>
      </c>
      <c r="AS762" t="s">
        <v>6</v>
      </c>
      <c r="AT762">
        <v>1.6000000000000001E-4</v>
      </c>
      <c r="AU762" t="s">
        <v>6</v>
      </c>
      <c r="AV762">
        <v>0</v>
      </c>
      <c r="AW762">
        <v>2</v>
      </c>
      <c r="AX762">
        <v>31030388</v>
      </c>
      <c r="AY762">
        <v>1</v>
      </c>
      <c r="AZ762">
        <v>0</v>
      </c>
      <c r="BA762">
        <v>793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0</v>
      </c>
      <c r="BR762">
        <v>0</v>
      </c>
      <c r="BS762">
        <v>0</v>
      </c>
      <c r="BT762">
        <v>0</v>
      </c>
      <c r="BU762">
        <v>0</v>
      </c>
      <c r="BV762">
        <v>0</v>
      </c>
      <c r="BW762">
        <v>0</v>
      </c>
      <c r="CX762">
        <f>Y762*Source!I283</f>
        <v>3.8400000000000005E-5</v>
      </c>
      <c r="CY762">
        <f>AA762</f>
        <v>112059.54</v>
      </c>
      <c r="CZ762">
        <f>AE762</f>
        <v>18162</v>
      </c>
      <c r="DA762">
        <f>AI762</f>
        <v>6.17</v>
      </c>
      <c r="DB762">
        <f>ROUND(ROUND(AT762*CZ762,2),6)</f>
        <v>2.91</v>
      </c>
      <c r="DC762">
        <f>ROUND(ROUND(AT762*AG762,2),6)</f>
        <v>0</v>
      </c>
    </row>
    <row r="763" spans="1:107">
      <c r="A763">
        <f>ROW(Source!A283)</f>
        <v>283</v>
      </c>
      <c r="B763">
        <v>31028412</v>
      </c>
      <c r="C763">
        <v>31030372</v>
      </c>
      <c r="D763">
        <v>29151758</v>
      </c>
      <c r="E763">
        <v>1</v>
      </c>
      <c r="F763">
        <v>1</v>
      </c>
      <c r="G763">
        <v>1</v>
      </c>
      <c r="H763">
        <v>3</v>
      </c>
      <c r="I763" t="s">
        <v>1324</v>
      </c>
      <c r="J763" t="s">
        <v>1325</v>
      </c>
      <c r="K763" t="s">
        <v>1326</v>
      </c>
      <c r="L763">
        <v>1348</v>
      </c>
      <c r="N763">
        <v>1009</v>
      </c>
      <c r="O763" t="s">
        <v>137</v>
      </c>
      <c r="P763" t="s">
        <v>137</v>
      </c>
      <c r="Q763">
        <v>1000</v>
      </c>
      <c r="W763">
        <v>0</v>
      </c>
      <c r="X763">
        <v>-1607691118</v>
      </c>
      <c r="Y763">
        <v>2.9999999999999997E-4</v>
      </c>
      <c r="AA763">
        <v>62977.19</v>
      </c>
      <c r="AB763">
        <v>0</v>
      </c>
      <c r="AC763">
        <v>0</v>
      </c>
      <c r="AD763">
        <v>0</v>
      </c>
      <c r="AE763">
        <v>10207</v>
      </c>
      <c r="AF763">
        <v>0</v>
      </c>
      <c r="AG763">
        <v>0</v>
      </c>
      <c r="AH763">
        <v>0</v>
      </c>
      <c r="AI763">
        <v>6.17</v>
      </c>
      <c r="AJ763">
        <v>1</v>
      </c>
      <c r="AK763">
        <v>1</v>
      </c>
      <c r="AL763">
        <v>1</v>
      </c>
      <c r="AN763">
        <v>0</v>
      </c>
      <c r="AO763">
        <v>1</v>
      </c>
      <c r="AP763">
        <v>0</v>
      </c>
      <c r="AQ763">
        <v>0</v>
      </c>
      <c r="AR763">
        <v>0</v>
      </c>
      <c r="AS763" t="s">
        <v>6</v>
      </c>
      <c r="AT763">
        <v>2.9999999999999997E-4</v>
      </c>
      <c r="AU763" t="s">
        <v>6</v>
      </c>
      <c r="AV763">
        <v>0</v>
      </c>
      <c r="AW763">
        <v>2</v>
      </c>
      <c r="AX763">
        <v>31030389</v>
      </c>
      <c r="AY763">
        <v>1</v>
      </c>
      <c r="AZ763">
        <v>0</v>
      </c>
      <c r="BA763">
        <v>794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0</v>
      </c>
      <c r="BP763">
        <v>0</v>
      </c>
      <c r="BQ763">
        <v>0</v>
      </c>
      <c r="BR763">
        <v>0</v>
      </c>
      <c r="BS763">
        <v>0</v>
      </c>
      <c r="BT763">
        <v>0</v>
      </c>
      <c r="BU763">
        <v>0</v>
      </c>
      <c r="BV763">
        <v>0</v>
      </c>
      <c r="BW763">
        <v>0</v>
      </c>
      <c r="CX763">
        <f>Y763*Source!I283</f>
        <v>7.1999999999999988E-5</v>
      </c>
      <c r="CY763">
        <f>AA763</f>
        <v>62977.19</v>
      </c>
      <c r="CZ763">
        <f>AE763</f>
        <v>10207</v>
      </c>
      <c r="DA763">
        <f>AI763</f>
        <v>6.17</v>
      </c>
      <c r="DB763">
        <f>ROUND(ROUND(AT763*CZ763,2),6)</f>
        <v>3.06</v>
      </c>
      <c r="DC763">
        <f>ROUND(ROUND(AT763*AG763,2),6)</f>
        <v>0</v>
      </c>
    </row>
    <row r="764" spans="1:107">
      <c r="A764">
        <f>ROW(Source!A283)</f>
        <v>283</v>
      </c>
      <c r="B764">
        <v>31028412</v>
      </c>
      <c r="C764">
        <v>31030372</v>
      </c>
      <c r="D764">
        <v>29152725</v>
      </c>
      <c r="E764">
        <v>1</v>
      </c>
      <c r="F764">
        <v>1</v>
      </c>
      <c r="G764">
        <v>1</v>
      </c>
      <c r="H764">
        <v>3</v>
      </c>
      <c r="I764" t="s">
        <v>1312</v>
      </c>
      <c r="J764" t="s">
        <v>1313</v>
      </c>
      <c r="K764" t="s">
        <v>1314</v>
      </c>
      <c r="L764">
        <v>1346</v>
      </c>
      <c r="N764">
        <v>1009</v>
      </c>
      <c r="O764" t="s">
        <v>118</v>
      </c>
      <c r="P764" t="s">
        <v>118</v>
      </c>
      <c r="Q764">
        <v>1</v>
      </c>
      <c r="W764">
        <v>0</v>
      </c>
      <c r="X764">
        <v>846161246</v>
      </c>
      <c r="Y764">
        <v>0.11</v>
      </c>
      <c r="AA764">
        <v>204.04</v>
      </c>
      <c r="AB764">
        <v>0</v>
      </c>
      <c r="AC764">
        <v>0</v>
      </c>
      <c r="AD764">
        <v>0</v>
      </c>
      <c r="AE764">
        <v>33.07</v>
      </c>
      <c r="AF764">
        <v>0</v>
      </c>
      <c r="AG764">
        <v>0</v>
      </c>
      <c r="AH764">
        <v>0</v>
      </c>
      <c r="AI764">
        <v>6.17</v>
      </c>
      <c r="AJ764">
        <v>1</v>
      </c>
      <c r="AK764">
        <v>1</v>
      </c>
      <c r="AL764">
        <v>1</v>
      </c>
      <c r="AN764">
        <v>0</v>
      </c>
      <c r="AO764">
        <v>1</v>
      </c>
      <c r="AP764">
        <v>0</v>
      </c>
      <c r="AQ764">
        <v>0</v>
      </c>
      <c r="AR764">
        <v>0</v>
      </c>
      <c r="AS764" t="s">
        <v>6</v>
      </c>
      <c r="AT764">
        <v>0.11</v>
      </c>
      <c r="AU764" t="s">
        <v>6</v>
      </c>
      <c r="AV764">
        <v>0</v>
      </c>
      <c r="AW764">
        <v>2</v>
      </c>
      <c r="AX764">
        <v>31030390</v>
      </c>
      <c r="AY764">
        <v>1</v>
      </c>
      <c r="AZ764">
        <v>0</v>
      </c>
      <c r="BA764">
        <v>795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0</v>
      </c>
      <c r="BP764">
        <v>0</v>
      </c>
      <c r="BQ764">
        <v>0</v>
      </c>
      <c r="BR764">
        <v>0</v>
      </c>
      <c r="BS764">
        <v>0</v>
      </c>
      <c r="BT764">
        <v>0</v>
      </c>
      <c r="BU764">
        <v>0</v>
      </c>
      <c r="BV764">
        <v>0</v>
      </c>
      <c r="BW764">
        <v>0</v>
      </c>
      <c r="CX764">
        <f>Y764*Source!I283</f>
        <v>2.64E-2</v>
      </c>
      <c r="CY764">
        <f>AA764</f>
        <v>204.04</v>
      </c>
      <c r="CZ764">
        <f>AE764</f>
        <v>33.07</v>
      </c>
      <c r="DA764">
        <f>AI764</f>
        <v>6.17</v>
      </c>
      <c r="DB764">
        <f>ROUND(ROUND(AT764*CZ764,2),6)</f>
        <v>3.64</v>
      </c>
      <c r="DC764">
        <f>ROUND(ROUND(AT764*AG764,2),6)</f>
        <v>0</v>
      </c>
    </row>
    <row r="765" spans="1:107">
      <c r="A765">
        <f>ROW(Source!A283)</f>
        <v>283</v>
      </c>
      <c r="B765">
        <v>31028412</v>
      </c>
      <c r="C765">
        <v>31030372</v>
      </c>
      <c r="D765">
        <v>29154100</v>
      </c>
      <c r="E765">
        <v>1</v>
      </c>
      <c r="F765">
        <v>1</v>
      </c>
      <c r="G765">
        <v>1</v>
      </c>
      <c r="H765">
        <v>3</v>
      </c>
      <c r="I765" t="s">
        <v>1315</v>
      </c>
      <c r="J765" t="s">
        <v>1316</v>
      </c>
      <c r="K765" t="s">
        <v>1317</v>
      </c>
      <c r="L765">
        <v>1355</v>
      </c>
      <c r="N765">
        <v>1010</v>
      </c>
      <c r="O765" t="s">
        <v>680</v>
      </c>
      <c r="P765" t="s">
        <v>680</v>
      </c>
      <c r="Q765">
        <v>100</v>
      </c>
      <c r="W765">
        <v>0</v>
      </c>
      <c r="X765">
        <v>-271362456</v>
      </c>
      <c r="Y765">
        <v>1.02</v>
      </c>
      <c r="AA765">
        <v>577.45000000000005</v>
      </c>
      <c r="AB765">
        <v>0</v>
      </c>
      <c r="AC765">
        <v>0</v>
      </c>
      <c r="AD765">
        <v>0</v>
      </c>
      <c r="AE765">
        <v>93.59</v>
      </c>
      <c r="AF765">
        <v>0</v>
      </c>
      <c r="AG765">
        <v>0</v>
      </c>
      <c r="AH765">
        <v>0</v>
      </c>
      <c r="AI765">
        <v>6.17</v>
      </c>
      <c r="AJ765">
        <v>1</v>
      </c>
      <c r="AK765">
        <v>1</v>
      </c>
      <c r="AL765">
        <v>1</v>
      </c>
      <c r="AN765">
        <v>0</v>
      </c>
      <c r="AO765">
        <v>1</v>
      </c>
      <c r="AP765">
        <v>0</v>
      </c>
      <c r="AQ765">
        <v>0</v>
      </c>
      <c r="AR765">
        <v>0</v>
      </c>
      <c r="AS765" t="s">
        <v>6</v>
      </c>
      <c r="AT765">
        <v>1.02</v>
      </c>
      <c r="AU765" t="s">
        <v>6</v>
      </c>
      <c r="AV765">
        <v>0</v>
      </c>
      <c r="AW765">
        <v>2</v>
      </c>
      <c r="AX765">
        <v>31030391</v>
      </c>
      <c r="AY765">
        <v>1</v>
      </c>
      <c r="AZ765">
        <v>0</v>
      </c>
      <c r="BA765">
        <v>796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0</v>
      </c>
      <c r="BQ765">
        <v>0</v>
      </c>
      <c r="BR765">
        <v>0</v>
      </c>
      <c r="BS765">
        <v>0</v>
      </c>
      <c r="BT765">
        <v>0</v>
      </c>
      <c r="BU765">
        <v>0</v>
      </c>
      <c r="BV765">
        <v>0</v>
      </c>
      <c r="BW765">
        <v>0</v>
      </c>
      <c r="CX765">
        <f>Y765*Source!I283</f>
        <v>0.24479999999999999</v>
      </c>
      <c r="CY765">
        <f>AA765</f>
        <v>577.45000000000005</v>
      </c>
      <c r="CZ765">
        <f>AE765</f>
        <v>93.59</v>
      </c>
      <c r="DA765">
        <f>AI765</f>
        <v>6.17</v>
      </c>
      <c r="DB765">
        <f>ROUND(ROUND(AT765*CZ765,2),6)</f>
        <v>95.46</v>
      </c>
      <c r="DC765">
        <f>ROUND(ROUND(AT765*AG765,2),6)</f>
        <v>0</v>
      </c>
    </row>
    <row r="766" spans="1:107">
      <c r="A766">
        <f>ROW(Source!A283)</f>
        <v>283</v>
      </c>
      <c r="B766">
        <v>31028412</v>
      </c>
      <c r="C766">
        <v>31030372</v>
      </c>
      <c r="D766">
        <v>29215987</v>
      </c>
      <c r="E766">
        <v>1</v>
      </c>
      <c r="F766">
        <v>1</v>
      </c>
      <c r="G766">
        <v>1</v>
      </c>
      <c r="H766">
        <v>3</v>
      </c>
      <c r="I766" t="s">
        <v>1303</v>
      </c>
      <c r="J766" t="s">
        <v>1304</v>
      </c>
      <c r="K766" t="s">
        <v>1305</v>
      </c>
      <c r="L766">
        <v>1344</v>
      </c>
      <c r="N766">
        <v>1008</v>
      </c>
      <c r="O766" t="s">
        <v>1306</v>
      </c>
      <c r="P766" t="s">
        <v>1306</v>
      </c>
      <c r="Q766">
        <v>1</v>
      </c>
      <c r="W766">
        <v>0</v>
      </c>
      <c r="X766">
        <v>-1930947569</v>
      </c>
      <c r="Y766">
        <v>6.86</v>
      </c>
      <c r="AA766">
        <v>6.17</v>
      </c>
      <c r="AB766">
        <v>0</v>
      </c>
      <c r="AC766">
        <v>0</v>
      </c>
      <c r="AD766">
        <v>0</v>
      </c>
      <c r="AE766">
        <v>1</v>
      </c>
      <c r="AF766">
        <v>0</v>
      </c>
      <c r="AG766">
        <v>0</v>
      </c>
      <c r="AH766">
        <v>0</v>
      </c>
      <c r="AI766">
        <v>6.17</v>
      </c>
      <c r="AJ766">
        <v>1</v>
      </c>
      <c r="AK766">
        <v>1</v>
      </c>
      <c r="AL766">
        <v>1</v>
      </c>
      <c r="AN766">
        <v>0</v>
      </c>
      <c r="AO766">
        <v>1</v>
      </c>
      <c r="AP766">
        <v>0</v>
      </c>
      <c r="AQ766">
        <v>0</v>
      </c>
      <c r="AR766">
        <v>0</v>
      </c>
      <c r="AS766" t="s">
        <v>6</v>
      </c>
      <c r="AT766">
        <v>6.86</v>
      </c>
      <c r="AU766" t="s">
        <v>6</v>
      </c>
      <c r="AV766">
        <v>0</v>
      </c>
      <c r="AW766">
        <v>2</v>
      </c>
      <c r="AX766">
        <v>31030392</v>
      </c>
      <c r="AY766">
        <v>1</v>
      </c>
      <c r="AZ766">
        <v>0</v>
      </c>
      <c r="BA766">
        <v>797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0</v>
      </c>
      <c r="BR766">
        <v>0</v>
      </c>
      <c r="BS766">
        <v>0</v>
      </c>
      <c r="BT766">
        <v>0</v>
      </c>
      <c r="BU766">
        <v>0</v>
      </c>
      <c r="BV766">
        <v>0</v>
      </c>
      <c r="BW766">
        <v>0</v>
      </c>
      <c r="CX766">
        <f>Y766*Source!I283</f>
        <v>1.6464000000000001</v>
      </c>
      <c r="CY766">
        <f>AA766</f>
        <v>6.17</v>
      </c>
      <c r="CZ766">
        <f>AE766</f>
        <v>1</v>
      </c>
      <c r="DA766">
        <f>AI766</f>
        <v>6.17</v>
      </c>
      <c r="DB766">
        <f>ROUND(ROUND(AT766*CZ766,2),6)</f>
        <v>6.86</v>
      </c>
      <c r="DC766">
        <f>ROUND(ROUND(AT766*AG766,2),6)</f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AR797"/>
  <sheetViews>
    <sheetView workbookViewId="0"/>
  </sheetViews>
  <sheetFormatPr defaultColWidth="9.109375" defaultRowHeight="13.2"/>
  <cols>
    <col min="1" max="256" width="9.109375" customWidth="1"/>
  </cols>
  <sheetData>
    <row r="1" spans="1:44">
      <c r="A1">
        <f>ROW(Source!A28)</f>
        <v>28</v>
      </c>
      <c r="B1">
        <v>31028668</v>
      </c>
      <c r="C1">
        <v>31028650</v>
      </c>
      <c r="D1">
        <v>29084589</v>
      </c>
      <c r="E1">
        <v>1</v>
      </c>
      <c r="F1">
        <v>1</v>
      </c>
      <c r="G1">
        <v>1</v>
      </c>
      <c r="H1">
        <v>1</v>
      </c>
      <c r="I1" t="s">
        <v>771</v>
      </c>
      <c r="J1" t="s">
        <v>6</v>
      </c>
      <c r="K1" t="s">
        <v>772</v>
      </c>
      <c r="L1">
        <v>1369</v>
      </c>
      <c r="N1">
        <v>1013</v>
      </c>
      <c r="O1" t="s">
        <v>773</v>
      </c>
      <c r="P1" t="s">
        <v>773</v>
      </c>
      <c r="Q1">
        <v>1</v>
      </c>
      <c r="X1">
        <v>182.4</v>
      </c>
      <c r="Y1">
        <v>0</v>
      </c>
      <c r="Z1">
        <v>0</v>
      </c>
      <c r="AA1">
        <v>0</v>
      </c>
      <c r="AB1">
        <v>8.5500000000000007</v>
      </c>
      <c r="AC1">
        <v>0</v>
      </c>
      <c r="AD1">
        <v>1</v>
      </c>
      <c r="AE1">
        <v>1</v>
      </c>
      <c r="AF1" t="s">
        <v>25</v>
      </c>
      <c r="AG1">
        <v>167.80799999999999</v>
      </c>
      <c r="AH1">
        <v>2</v>
      </c>
      <c r="AI1">
        <v>31028651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>
      <c r="A2">
        <f>ROW(Source!A28)</f>
        <v>28</v>
      </c>
      <c r="B2">
        <v>31028669</v>
      </c>
      <c r="C2">
        <v>31028650</v>
      </c>
      <c r="D2">
        <v>29084573</v>
      </c>
      <c r="E2">
        <v>1</v>
      </c>
      <c r="F2">
        <v>1</v>
      </c>
      <c r="G2">
        <v>1</v>
      </c>
      <c r="H2">
        <v>1</v>
      </c>
      <c r="I2" t="s">
        <v>774</v>
      </c>
      <c r="J2" t="s">
        <v>6</v>
      </c>
      <c r="K2" t="s">
        <v>775</v>
      </c>
      <c r="L2">
        <v>608254</v>
      </c>
      <c r="N2">
        <v>1013</v>
      </c>
      <c r="O2" t="s">
        <v>776</v>
      </c>
      <c r="P2" t="s">
        <v>776</v>
      </c>
      <c r="Q2">
        <v>1</v>
      </c>
      <c r="X2">
        <v>6.03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25</v>
      </c>
      <c r="AG2">
        <v>5.5476000000000001</v>
      </c>
      <c r="AH2">
        <v>2</v>
      </c>
      <c r="AI2">
        <v>31028652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>
      <c r="A3">
        <f>ROW(Source!A28)</f>
        <v>28</v>
      </c>
      <c r="B3">
        <v>31028670</v>
      </c>
      <c r="C3">
        <v>31028650</v>
      </c>
      <c r="D3">
        <v>29147520</v>
      </c>
      <c r="E3">
        <v>1</v>
      </c>
      <c r="F3">
        <v>1</v>
      </c>
      <c r="G3">
        <v>1</v>
      </c>
      <c r="H3">
        <v>2</v>
      </c>
      <c r="I3" t="s">
        <v>777</v>
      </c>
      <c r="J3" t="s">
        <v>778</v>
      </c>
      <c r="K3" t="s">
        <v>779</v>
      </c>
      <c r="L3">
        <v>1368</v>
      </c>
      <c r="N3">
        <v>1011</v>
      </c>
      <c r="O3" t="s">
        <v>780</v>
      </c>
      <c r="P3" t="s">
        <v>780</v>
      </c>
      <c r="Q3">
        <v>1</v>
      </c>
      <c r="X3">
        <v>4.53</v>
      </c>
      <c r="Y3">
        <v>0</v>
      </c>
      <c r="Z3">
        <v>85.93</v>
      </c>
      <c r="AA3">
        <v>13.03</v>
      </c>
      <c r="AB3">
        <v>0</v>
      </c>
      <c r="AC3">
        <v>0</v>
      </c>
      <c r="AD3">
        <v>1</v>
      </c>
      <c r="AE3">
        <v>0</v>
      </c>
      <c r="AF3" t="s">
        <v>25</v>
      </c>
      <c r="AG3">
        <v>4.1676000000000002</v>
      </c>
      <c r="AH3">
        <v>2</v>
      </c>
      <c r="AI3">
        <v>31028653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>
      <c r="A4">
        <f>ROW(Source!A28)</f>
        <v>28</v>
      </c>
      <c r="B4">
        <v>31028671</v>
      </c>
      <c r="C4">
        <v>31028650</v>
      </c>
      <c r="D4">
        <v>29147601</v>
      </c>
      <c r="E4">
        <v>1</v>
      </c>
      <c r="F4">
        <v>1</v>
      </c>
      <c r="G4">
        <v>1</v>
      </c>
      <c r="H4">
        <v>2</v>
      </c>
      <c r="I4" t="s">
        <v>781</v>
      </c>
      <c r="J4" t="s">
        <v>782</v>
      </c>
      <c r="K4" t="s">
        <v>783</v>
      </c>
      <c r="L4">
        <v>1368</v>
      </c>
      <c r="N4">
        <v>1011</v>
      </c>
      <c r="O4" t="s">
        <v>780</v>
      </c>
      <c r="P4" t="s">
        <v>780</v>
      </c>
      <c r="Q4">
        <v>1</v>
      </c>
      <c r="X4">
        <v>1.5</v>
      </c>
      <c r="Y4">
        <v>0</v>
      </c>
      <c r="Z4">
        <v>108.45</v>
      </c>
      <c r="AA4">
        <v>13.03</v>
      </c>
      <c r="AB4">
        <v>0</v>
      </c>
      <c r="AC4">
        <v>0</v>
      </c>
      <c r="AD4">
        <v>1</v>
      </c>
      <c r="AE4">
        <v>0</v>
      </c>
      <c r="AF4" t="s">
        <v>25</v>
      </c>
      <c r="AG4">
        <v>1.3800000000000001</v>
      </c>
      <c r="AH4">
        <v>2</v>
      </c>
      <c r="AI4">
        <v>31028654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>
      <c r="A5">
        <f>ROW(Source!A28)</f>
        <v>28</v>
      </c>
      <c r="B5">
        <v>31028672</v>
      </c>
      <c r="C5">
        <v>31028650</v>
      </c>
      <c r="D5">
        <v>29148219</v>
      </c>
      <c r="E5">
        <v>1</v>
      </c>
      <c r="F5">
        <v>1</v>
      </c>
      <c r="G5">
        <v>1</v>
      </c>
      <c r="H5">
        <v>2</v>
      </c>
      <c r="I5" t="s">
        <v>784</v>
      </c>
      <c r="J5" t="s">
        <v>785</v>
      </c>
      <c r="K5" t="s">
        <v>786</v>
      </c>
      <c r="L5">
        <v>1368</v>
      </c>
      <c r="N5">
        <v>1011</v>
      </c>
      <c r="O5" t="s">
        <v>780</v>
      </c>
      <c r="P5" t="s">
        <v>780</v>
      </c>
      <c r="Q5">
        <v>1</v>
      </c>
      <c r="X5">
        <v>3.69</v>
      </c>
      <c r="Y5">
        <v>0</v>
      </c>
      <c r="Z5">
        <v>30</v>
      </c>
      <c r="AA5">
        <v>0</v>
      </c>
      <c r="AB5">
        <v>0</v>
      </c>
      <c r="AC5">
        <v>0</v>
      </c>
      <c r="AD5">
        <v>1</v>
      </c>
      <c r="AE5">
        <v>0</v>
      </c>
      <c r="AF5" t="s">
        <v>25</v>
      </c>
      <c r="AG5">
        <v>3.3947999999999996</v>
      </c>
      <c r="AH5">
        <v>2</v>
      </c>
      <c r="AI5">
        <v>31028655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>
      <c r="A6">
        <f>ROW(Source!A28)</f>
        <v>28</v>
      </c>
      <c r="B6">
        <v>31028673</v>
      </c>
      <c r="C6">
        <v>31028650</v>
      </c>
      <c r="D6">
        <v>29148425</v>
      </c>
      <c r="E6">
        <v>1</v>
      </c>
      <c r="F6">
        <v>1</v>
      </c>
      <c r="G6">
        <v>1</v>
      </c>
      <c r="H6">
        <v>2</v>
      </c>
      <c r="I6" t="s">
        <v>787</v>
      </c>
      <c r="J6" t="s">
        <v>788</v>
      </c>
      <c r="K6" t="s">
        <v>789</v>
      </c>
      <c r="L6">
        <v>1368</v>
      </c>
      <c r="N6">
        <v>1011</v>
      </c>
      <c r="O6" t="s">
        <v>780</v>
      </c>
      <c r="P6" t="s">
        <v>780</v>
      </c>
      <c r="Q6">
        <v>1</v>
      </c>
      <c r="X6">
        <v>6.6</v>
      </c>
      <c r="Y6">
        <v>0</v>
      </c>
      <c r="Z6">
        <v>3</v>
      </c>
      <c r="AA6">
        <v>0</v>
      </c>
      <c r="AB6">
        <v>0</v>
      </c>
      <c r="AC6">
        <v>0</v>
      </c>
      <c r="AD6">
        <v>1</v>
      </c>
      <c r="AE6">
        <v>0</v>
      </c>
      <c r="AF6" t="s">
        <v>25</v>
      </c>
      <c r="AG6">
        <v>6.0720000000000001</v>
      </c>
      <c r="AH6">
        <v>2</v>
      </c>
      <c r="AI6">
        <v>31028656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>
      <c r="A7">
        <f>ROW(Source!A28)</f>
        <v>28</v>
      </c>
      <c r="B7">
        <v>31028674</v>
      </c>
      <c r="C7">
        <v>31028650</v>
      </c>
      <c r="D7">
        <v>29149520</v>
      </c>
      <c r="E7">
        <v>1</v>
      </c>
      <c r="F7">
        <v>1</v>
      </c>
      <c r="G7">
        <v>1</v>
      </c>
      <c r="H7">
        <v>2</v>
      </c>
      <c r="I7" t="s">
        <v>790</v>
      </c>
      <c r="J7" t="s">
        <v>791</v>
      </c>
      <c r="K7" t="s">
        <v>792</v>
      </c>
      <c r="L7">
        <v>1368</v>
      </c>
      <c r="N7">
        <v>1011</v>
      </c>
      <c r="O7" t="s">
        <v>780</v>
      </c>
      <c r="P7" t="s">
        <v>780</v>
      </c>
      <c r="Q7">
        <v>1</v>
      </c>
      <c r="X7">
        <v>2.23</v>
      </c>
      <c r="Y7">
        <v>0</v>
      </c>
      <c r="Z7">
        <v>91.62</v>
      </c>
      <c r="AA7">
        <v>0</v>
      </c>
      <c r="AB7">
        <v>0</v>
      </c>
      <c r="AC7">
        <v>0</v>
      </c>
      <c r="AD7">
        <v>1</v>
      </c>
      <c r="AE7">
        <v>0</v>
      </c>
      <c r="AF7" t="s">
        <v>25</v>
      </c>
      <c r="AG7">
        <v>2.0516000000000001</v>
      </c>
      <c r="AH7">
        <v>2</v>
      </c>
      <c r="AI7">
        <v>31028657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>
      <c r="A8">
        <f>ROW(Source!A28)</f>
        <v>28</v>
      </c>
      <c r="B8">
        <v>31028675</v>
      </c>
      <c r="C8">
        <v>31028650</v>
      </c>
      <c r="D8">
        <v>29150561</v>
      </c>
      <c r="E8">
        <v>1</v>
      </c>
      <c r="F8">
        <v>1</v>
      </c>
      <c r="G8">
        <v>1</v>
      </c>
      <c r="H8">
        <v>3</v>
      </c>
      <c r="I8" t="s">
        <v>793</v>
      </c>
      <c r="J8" t="s">
        <v>794</v>
      </c>
      <c r="K8" t="s">
        <v>795</v>
      </c>
      <c r="L8">
        <v>1348</v>
      </c>
      <c r="N8">
        <v>1009</v>
      </c>
      <c r="O8" t="s">
        <v>137</v>
      </c>
      <c r="P8" t="s">
        <v>137</v>
      </c>
      <c r="Q8">
        <v>1000</v>
      </c>
      <c r="X8">
        <v>2.8E-3</v>
      </c>
      <c r="Y8">
        <v>8466.1</v>
      </c>
      <c r="Z8">
        <v>0</v>
      </c>
      <c r="AA8">
        <v>0</v>
      </c>
      <c r="AB8">
        <v>0</v>
      </c>
      <c r="AC8">
        <v>0</v>
      </c>
      <c r="AD8">
        <v>1</v>
      </c>
      <c r="AE8">
        <v>0</v>
      </c>
      <c r="AF8" t="s">
        <v>24</v>
      </c>
      <c r="AG8">
        <v>0</v>
      </c>
      <c r="AH8">
        <v>2</v>
      </c>
      <c r="AI8">
        <v>31028658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>
      <c r="A9">
        <f>ROW(Source!A28)</f>
        <v>28</v>
      </c>
      <c r="B9">
        <v>31028676</v>
      </c>
      <c r="C9">
        <v>31028650</v>
      </c>
      <c r="D9">
        <v>29151759</v>
      </c>
      <c r="E9">
        <v>1</v>
      </c>
      <c r="F9">
        <v>1</v>
      </c>
      <c r="G9">
        <v>1</v>
      </c>
      <c r="H9">
        <v>3</v>
      </c>
      <c r="I9" t="s">
        <v>796</v>
      </c>
      <c r="J9" t="s">
        <v>797</v>
      </c>
      <c r="K9" t="s">
        <v>798</v>
      </c>
      <c r="L9">
        <v>1348</v>
      </c>
      <c r="N9">
        <v>1009</v>
      </c>
      <c r="O9" t="s">
        <v>137</v>
      </c>
      <c r="P9" t="s">
        <v>137</v>
      </c>
      <c r="Q9">
        <v>1000</v>
      </c>
      <c r="X9">
        <v>7.4000000000000003E-3</v>
      </c>
      <c r="Y9">
        <v>9376.5</v>
      </c>
      <c r="Z9">
        <v>0</v>
      </c>
      <c r="AA9">
        <v>0</v>
      </c>
      <c r="AB9">
        <v>0</v>
      </c>
      <c r="AC9">
        <v>0</v>
      </c>
      <c r="AD9">
        <v>1</v>
      </c>
      <c r="AE9">
        <v>0</v>
      </c>
      <c r="AF9" t="s">
        <v>24</v>
      </c>
      <c r="AG9">
        <v>0</v>
      </c>
      <c r="AH9">
        <v>2</v>
      </c>
      <c r="AI9">
        <v>31028659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>
      <c r="A10">
        <f>ROW(Source!A28)</f>
        <v>28</v>
      </c>
      <c r="B10">
        <v>31028677</v>
      </c>
      <c r="C10">
        <v>31028650</v>
      </c>
      <c r="D10">
        <v>29151859</v>
      </c>
      <c r="E10">
        <v>1</v>
      </c>
      <c r="F10">
        <v>1</v>
      </c>
      <c r="G10">
        <v>1</v>
      </c>
      <c r="H10">
        <v>3</v>
      </c>
      <c r="I10" t="s">
        <v>799</v>
      </c>
      <c r="J10" t="s">
        <v>800</v>
      </c>
      <c r="K10" t="s">
        <v>801</v>
      </c>
      <c r="L10">
        <v>1348</v>
      </c>
      <c r="N10">
        <v>1009</v>
      </c>
      <c r="O10" t="s">
        <v>137</v>
      </c>
      <c r="P10" t="s">
        <v>137</v>
      </c>
      <c r="Q10">
        <v>1000</v>
      </c>
      <c r="X10">
        <v>3.5999999999999997E-2</v>
      </c>
      <c r="Y10">
        <v>1215.8</v>
      </c>
      <c r="Z10">
        <v>0</v>
      </c>
      <c r="AA10">
        <v>0</v>
      </c>
      <c r="AB10">
        <v>0</v>
      </c>
      <c r="AC10">
        <v>0</v>
      </c>
      <c r="AD10">
        <v>1</v>
      </c>
      <c r="AE10">
        <v>0</v>
      </c>
      <c r="AF10" t="s">
        <v>24</v>
      </c>
      <c r="AG10">
        <v>0</v>
      </c>
      <c r="AH10">
        <v>2</v>
      </c>
      <c r="AI10">
        <v>31028660</v>
      </c>
      <c r="AJ10">
        <v>10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>
      <c r="A11">
        <f>ROW(Source!A28)</f>
        <v>28</v>
      </c>
      <c r="B11">
        <v>31028678</v>
      </c>
      <c r="C11">
        <v>31028650</v>
      </c>
      <c r="D11">
        <v>29151997</v>
      </c>
      <c r="E11">
        <v>1</v>
      </c>
      <c r="F11">
        <v>1</v>
      </c>
      <c r="G11">
        <v>1</v>
      </c>
      <c r="H11">
        <v>3</v>
      </c>
      <c r="I11" t="s">
        <v>802</v>
      </c>
      <c r="J11" t="s">
        <v>803</v>
      </c>
      <c r="K11" t="s">
        <v>804</v>
      </c>
      <c r="L11">
        <v>1327</v>
      </c>
      <c r="N11">
        <v>1005</v>
      </c>
      <c r="O11" t="s">
        <v>284</v>
      </c>
      <c r="P11" t="s">
        <v>284</v>
      </c>
      <c r="Q11">
        <v>1</v>
      </c>
      <c r="X11">
        <v>122</v>
      </c>
      <c r="Y11">
        <v>6.17</v>
      </c>
      <c r="Z11">
        <v>0</v>
      </c>
      <c r="AA11">
        <v>0</v>
      </c>
      <c r="AB11">
        <v>0</v>
      </c>
      <c r="AC11">
        <v>0</v>
      </c>
      <c r="AD11">
        <v>1</v>
      </c>
      <c r="AE11">
        <v>0</v>
      </c>
      <c r="AF11" t="s">
        <v>24</v>
      </c>
      <c r="AG11">
        <v>0</v>
      </c>
      <c r="AH11">
        <v>2</v>
      </c>
      <c r="AI11">
        <v>31028661</v>
      </c>
      <c r="AJ11">
        <v>11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>
      <c r="A12">
        <f>ROW(Source!A28)</f>
        <v>28</v>
      </c>
      <c r="B12">
        <v>31028679</v>
      </c>
      <c r="C12">
        <v>31028650</v>
      </c>
      <c r="D12">
        <v>29152054</v>
      </c>
      <c r="E12">
        <v>1</v>
      </c>
      <c r="F12">
        <v>1</v>
      </c>
      <c r="G12">
        <v>1</v>
      </c>
      <c r="H12">
        <v>3</v>
      </c>
      <c r="I12" t="s">
        <v>805</v>
      </c>
      <c r="J12" t="s">
        <v>806</v>
      </c>
      <c r="K12" t="s">
        <v>807</v>
      </c>
      <c r="L12">
        <v>1348</v>
      </c>
      <c r="N12">
        <v>1009</v>
      </c>
      <c r="O12" t="s">
        <v>137</v>
      </c>
      <c r="P12" t="s">
        <v>137</v>
      </c>
      <c r="Q12">
        <v>1000</v>
      </c>
      <c r="X12">
        <v>1.9300000000000001E-3</v>
      </c>
      <c r="Y12">
        <v>10183</v>
      </c>
      <c r="Z12">
        <v>0</v>
      </c>
      <c r="AA12">
        <v>0</v>
      </c>
      <c r="AB12">
        <v>0</v>
      </c>
      <c r="AC12">
        <v>0</v>
      </c>
      <c r="AD12">
        <v>1</v>
      </c>
      <c r="AE12">
        <v>0</v>
      </c>
      <c r="AF12" t="s">
        <v>24</v>
      </c>
      <c r="AG12">
        <v>0</v>
      </c>
      <c r="AH12">
        <v>2</v>
      </c>
      <c r="AI12">
        <v>31028662</v>
      </c>
      <c r="AJ12">
        <v>12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>
      <c r="A13">
        <f>ROW(Source!A28)</f>
        <v>28</v>
      </c>
      <c r="B13">
        <v>31028680</v>
      </c>
      <c r="C13">
        <v>31028650</v>
      </c>
      <c r="D13">
        <v>29157674</v>
      </c>
      <c r="E13">
        <v>1</v>
      </c>
      <c r="F13">
        <v>1</v>
      </c>
      <c r="G13">
        <v>1</v>
      </c>
      <c r="H13">
        <v>3</v>
      </c>
      <c r="I13" t="s">
        <v>808</v>
      </c>
      <c r="J13" t="s">
        <v>809</v>
      </c>
      <c r="K13" t="s">
        <v>810</v>
      </c>
      <c r="L13">
        <v>1296</v>
      </c>
      <c r="N13">
        <v>1002</v>
      </c>
      <c r="O13" t="s">
        <v>142</v>
      </c>
      <c r="P13" t="s">
        <v>142</v>
      </c>
      <c r="Q13">
        <v>1</v>
      </c>
      <c r="X13">
        <v>54</v>
      </c>
      <c r="Y13">
        <v>50.49</v>
      </c>
      <c r="Z13">
        <v>0</v>
      </c>
      <c r="AA13">
        <v>0</v>
      </c>
      <c r="AB13">
        <v>0</v>
      </c>
      <c r="AC13">
        <v>0</v>
      </c>
      <c r="AD13">
        <v>1</v>
      </c>
      <c r="AE13">
        <v>0</v>
      </c>
      <c r="AF13" t="s">
        <v>24</v>
      </c>
      <c r="AG13">
        <v>0</v>
      </c>
      <c r="AH13">
        <v>2</v>
      </c>
      <c r="AI13">
        <v>31028663</v>
      </c>
      <c r="AJ13">
        <v>13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>
      <c r="A14">
        <f>ROW(Source!A28)</f>
        <v>28</v>
      </c>
      <c r="B14">
        <v>31028681</v>
      </c>
      <c r="C14">
        <v>31028650</v>
      </c>
      <c r="D14">
        <v>29157993</v>
      </c>
      <c r="E14">
        <v>1</v>
      </c>
      <c r="F14">
        <v>1</v>
      </c>
      <c r="G14">
        <v>1</v>
      </c>
      <c r="H14">
        <v>3</v>
      </c>
      <c r="I14" t="s">
        <v>811</v>
      </c>
      <c r="J14" t="s">
        <v>812</v>
      </c>
      <c r="K14" t="s">
        <v>813</v>
      </c>
      <c r="L14">
        <v>1035</v>
      </c>
      <c r="N14">
        <v>1013</v>
      </c>
      <c r="O14" t="s">
        <v>292</v>
      </c>
      <c r="P14" t="s">
        <v>292</v>
      </c>
      <c r="Q14">
        <v>1</v>
      </c>
      <c r="X14">
        <v>0</v>
      </c>
      <c r="Y14">
        <v>0</v>
      </c>
      <c r="Z14">
        <v>0</v>
      </c>
      <c r="AA14">
        <v>0</v>
      </c>
      <c r="AB14">
        <v>0</v>
      </c>
      <c r="AC14">
        <v>1</v>
      </c>
      <c r="AD14">
        <v>0</v>
      </c>
      <c r="AE14">
        <v>0</v>
      </c>
      <c r="AF14" t="s">
        <v>24</v>
      </c>
      <c r="AG14">
        <v>0</v>
      </c>
      <c r="AH14">
        <v>2</v>
      </c>
      <c r="AI14">
        <v>31028664</v>
      </c>
      <c r="AJ14">
        <v>14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>
      <c r="A15">
        <f>ROW(Source!A28)</f>
        <v>28</v>
      </c>
      <c r="B15">
        <v>31028682</v>
      </c>
      <c r="C15">
        <v>31028650</v>
      </c>
      <c r="D15">
        <v>29171848</v>
      </c>
      <c r="E15">
        <v>1</v>
      </c>
      <c r="F15">
        <v>1</v>
      </c>
      <c r="G15">
        <v>1</v>
      </c>
      <c r="H15">
        <v>3</v>
      </c>
      <c r="I15" t="s">
        <v>297</v>
      </c>
      <c r="J15" t="s">
        <v>299</v>
      </c>
      <c r="K15" t="s">
        <v>298</v>
      </c>
      <c r="L15">
        <v>1327</v>
      </c>
      <c r="N15">
        <v>1005</v>
      </c>
      <c r="O15" t="s">
        <v>284</v>
      </c>
      <c r="P15" t="s">
        <v>284</v>
      </c>
      <c r="Q15">
        <v>1</v>
      </c>
      <c r="X15">
        <v>100</v>
      </c>
      <c r="Y15">
        <v>415.47</v>
      </c>
      <c r="Z15">
        <v>0</v>
      </c>
      <c r="AA15">
        <v>0</v>
      </c>
      <c r="AB15">
        <v>0</v>
      </c>
      <c r="AC15">
        <v>0</v>
      </c>
      <c r="AD15">
        <v>1</v>
      </c>
      <c r="AE15">
        <v>0</v>
      </c>
      <c r="AF15" t="s">
        <v>24</v>
      </c>
      <c r="AG15">
        <v>0</v>
      </c>
      <c r="AH15">
        <v>2</v>
      </c>
      <c r="AI15">
        <v>31028665</v>
      </c>
      <c r="AJ15">
        <v>15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>
      <c r="A16">
        <f>ROW(Source!A28)</f>
        <v>28</v>
      </c>
      <c r="B16">
        <v>31028683</v>
      </c>
      <c r="C16">
        <v>31028650</v>
      </c>
      <c r="D16">
        <v>29186570</v>
      </c>
      <c r="E16">
        <v>1</v>
      </c>
      <c r="F16">
        <v>1</v>
      </c>
      <c r="G16">
        <v>1</v>
      </c>
      <c r="H16">
        <v>3</v>
      </c>
      <c r="I16" t="s">
        <v>814</v>
      </c>
      <c r="J16" t="s">
        <v>815</v>
      </c>
      <c r="K16" t="s">
        <v>816</v>
      </c>
      <c r="L16">
        <v>1339</v>
      </c>
      <c r="N16">
        <v>1007</v>
      </c>
      <c r="O16" t="s">
        <v>109</v>
      </c>
      <c r="P16" t="s">
        <v>109</v>
      </c>
      <c r="Q16">
        <v>1</v>
      </c>
      <c r="X16">
        <v>9.6000000000000002E-2</v>
      </c>
      <c r="Y16">
        <v>476.34</v>
      </c>
      <c r="Z16">
        <v>0</v>
      </c>
      <c r="AA16">
        <v>0</v>
      </c>
      <c r="AB16">
        <v>0</v>
      </c>
      <c r="AC16">
        <v>0</v>
      </c>
      <c r="AD16">
        <v>1</v>
      </c>
      <c r="AE16">
        <v>0</v>
      </c>
      <c r="AF16" t="s">
        <v>24</v>
      </c>
      <c r="AG16">
        <v>0</v>
      </c>
      <c r="AH16">
        <v>2</v>
      </c>
      <c r="AI16">
        <v>31028666</v>
      </c>
      <c r="AJ16">
        <v>16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>
      <c r="A17">
        <f>ROW(Source!A28)</f>
        <v>28</v>
      </c>
      <c r="B17">
        <v>31028684</v>
      </c>
      <c r="C17">
        <v>31028650</v>
      </c>
      <c r="D17">
        <v>29194450</v>
      </c>
      <c r="E17">
        <v>1</v>
      </c>
      <c r="F17">
        <v>1</v>
      </c>
      <c r="G17">
        <v>1</v>
      </c>
      <c r="H17">
        <v>3</v>
      </c>
      <c r="I17" t="s">
        <v>817</v>
      </c>
      <c r="J17" t="s">
        <v>818</v>
      </c>
      <c r="K17" t="s">
        <v>819</v>
      </c>
      <c r="L17">
        <v>1348</v>
      </c>
      <c r="N17">
        <v>1009</v>
      </c>
      <c r="O17" t="s">
        <v>137</v>
      </c>
      <c r="P17" t="s">
        <v>137</v>
      </c>
      <c r="Q17">
        <v>1000</v>
      </c>
      <c r="X17">
        <v>3.0200000000000001E-2</v>
      </c>
      <c r="Y17">
        <v>728.98</v>
      </c>
      <c r="Z17">
        <v>0</v>
      </c>
      <c r="AA17">
        <v>0</v>
      </c>
      <c r="AB17">
        <v>0</v>
      </c>
      <c r="AC17">
        <v>0</v>
      </c>
      <c r="AD17">
        <v>1</v>
      </c>
      <c r="AE17">
        <v>0</v>
      </c>
      <c r="AF17" t="s">
        <v>24</v>
      </c>
      <c r="AG17">
        <v>0</v>
      </c>
      <c r="AH17">
        <v>2</v>
      </c>
      <c r="AI17">
        <v>31028667</v>
      </c>
      <c r="AJ17">
        <v>17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>
      <c r="A18">
        <f>ROW(Source!A29)</f>
        <v>29</v>
      </c>
      <c r="B18">
        <v>31028689</v>
      </c>
      <c r="C18">
        <v>31028685</v>
      </c>
      <c r="D18">
        <v>29084574</v>
      </c>
      <c r="E18">
        <v>1</v>
      </c>
      <c r="F18">
        <v>1</v>
      </c>
      <c r="G18">
        <v>1</v>
      </c>
      <c r="H18">
        <v>1</v>
      </c>
      <c r="I18" t="s">
        <v>820</v>
      </c>
      <c r="J18" t="s">
        <v>6</v>
      </c>
      <c r="K18" t="s">
        <v>821</v>
      </c>
      <c r="L18">
        <v>1369</v>
      </c>
      <c r="N18">
        <v>1013</v>
      </c>
      <c r="O18" t="s">
        <v>773</v>
      </c>
      <c r="P18" t="s">
        <v>773</v>
      </c>
      <c r="Q18">
        <v>1</v>
      </c>
      <c r="X18">
        <v>9.1</v>
      </c>
      <c r="Y18">
        <v>0</v>
      </c>
      <c r="Z18">
        <v>0</v>
      </c>
      <c r="AA18">
        <v>0</v>
      </c>
      <c r="AB18">
        <v>7.53</v>
      </c>
      <c r="AC18">
        <v>0</v>
      </c>
      <c r="AD18">
        <v>1</v>
      </c>
      <c r="AE18">
        <v>1</v>
      </c>
      <c r="AF18" t="s">
        <v>36</v>
      </c>
      <c r="AG18">
        <v>10.464999999999998</v>
      </c>
      <c r="AH18">
        <v>2</v>
      </c>
      <c r="AI18">
        <v>31028686</v>
      </c>
      <c r="AJ18">
        <v>18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>
      <c r="A19">
        <f>ROW(Source!A29)</f>
        <v>29</v>
      </c>
      <c r="B19">
        <v>31028690</v>
      </c>
      <c r="C19">
        <v>31028685</v>
      </c>
      <c r="D19">
        <v>29147697</v>
      </c>
      <c r="E19">
        <v>1</v>
      </c>
      <c r="F19">
        <v>1</v>
      </c>
      <c r="G19">
        <v>1</v>
      </c>
      <c r="H19">
        <v>2</v>
      </c>
      <c r="I19" t="s">
        <v>822</v>
      </c>
      <c r="J19" t="s">
        <v>823</v>
      </c>
      <c r="K19" t="s">
        <v>824</v>
      </c>
      <c r="L19">
        <v>1368</v>
      </c>
      <c r="N19">
        <v>1011</v>
      </c>
      <c r="O19" t="s">
        <v>780</v>
      </c>
      <c r="P19" t="s">
        <v>780</v>
      </c>
      <c r="Q19">
        <v>1</v>
      </c>
      <c r="X19">
        <v>0.12</v>
      </c>
      <c r="Y19">
        <v>0</v>
      </c>
      <c r="Z19">
        <v>1.7</v>
      </c>
      <c r="AA19">
        <v>0</v>
      </c>
      <c r="AB19">
        <v>0</v>
      </c>
      <c r="AC19">
        <v>0</v>
      </c>
      <c r="AD19">
        <v>1</v>
      </c>
      <c r="AE19">
        <v>0</v>
      </c>
      <c r="AF19" t="s">
        <v>36</v>
      </c>
      <c r="AG19">
        <v>0.13799999999999998</v>
      </c>
      <c r="AH19">
        <v>2</v>
      </c>
      <c r="AI19">
        <v>31028687</v>
      </c>
      <c r="AJ19">
        <v>19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>
      <c r="A20">
        <f>ROW(Source!A29)</f>
        <v>29</v>
      </c>
      <c r="B20">
        <v>31028691</v>
      </c>
      <c r="C20">
        <v>31028685</v>
      </c>
      <c r="D20">
        <v>29215982</v>
      </c>
      <c r="E20">
        <v>1</v>
      </c>
      <c r="F20">
        <v>1</v>
      </c>
      <c r="G20">
        <v>1</v>
      </c>
      <c r="H20">
        <v>3</v>
      </c>
      <c r="I20" t="s">
        <v>825</v>
      </c>
      <c r="J20" t="s">
        <v>826</v>
      </c>
      <c r="K20" t="s">
        <v>827</v>
      </c>
      <c r="L20">
        <v>1348</v>
      </c>
      <c r="N20">
        <v>1009</v>
      </c>
      <c r="O20" t="s">
        <v>137</v>
      </c>
      <c r="P20" t="s">
        <v>137</v>
      </c>
      <c r="Q20">
        <v>1000</v>
      </c>
      <c r="X20">
        <v>0.12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 t="s">
        <v>6</v>
      </c>
      <c r="AG20">
        <v>0.12</v>
      </c>
      <c r="AH20">
        <v>2</v>
      </c>
      <c r="AI20">
        <v>31028688</v>
      </c>
      <c r="AJ20">
        <v>20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>
      <c r="A21">
        <f>ROW(Source!A69)</f>
        <v>69</v>
      </c>
      <c r="B21">
        <v>31028698</v>
      </c>
      <c r="C21">
        <v>31028693</v>
      </c>
      <c r="D21">
        <v>29084586</v>
      </c>
      <c r="E21">
        <v>1</v>
      </c>
      <c r="F21">
        <v>1</v>
      </c>
      <c r="G21">
        <v>1</v>
      </c>
      <c r="H21">
        <v>1</v>
      </c>
      <c r="I21" t="s">
        <v>828</v>
      </c>
      <c r="J21" t="s">
        <v>6</v>
      </c>
      <c r="K21" t="s">
        <v>829</v>
      </c>
      <c r="L21">
        <v>1369</v>
      </c>
      <c r="N21">
        <v>1013</v>
      </c>
      <c r="O21" t="s">
        <v>773</v>
      </c>
      <c r="P21" t="s">
        <v>773</v>
      </c>
      <c r="Q21">
        <v>1</v>
      </c>
      <c r="X21">
        <v>188.25</v>
      </c>
      <c r="Y21">
        <v>0</v>
      </c>
      <c r="Z21">
        <v>0</v>
      </c>
      <c r="AA21">
        <v>0</v>
      </c>
      <c r="AB21">
        <v>8.44</v>
      </c>
      <c r="AC21">
        <v>0</v>
      </c>
      <c r="AD21">
        <v>1</v>
      </c>
      <c r="AE21">
        <v>1</v>
      </c>
      <c r="AF21" t="s">
        <v>36</v>
      </c>
      <c r="AG21">
        <v>216.48749999999998</v>
      </c>
      <c r="AH21">
        <v>2</v>
      </c>
      <c r="AI21">
        <v>31028694</v>
      </c>
      <c r="AJ21">
        <v>21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>
      <c r="A22">
        <f>ROW(Source!A69)</f>
        <v>69</v>
      </c>
      <c r="B22">
        <v>31028699</v>
      </c>
      <c r="C22">
        <v>31028693</v>
      </c>
      <c r="D22">
        <v>29147697</v>
      </c>
      <c r="E22">
        <v>1</v>
      </c>
      <c r="F22">
        <v>1</v>
      </c>
      <c r="G22">
        <v>1</v>
      </c>
      <c r="H22">
        <v>2</v>
      </c>
      <c r="I22" t="s">
        <v>822</v>
      </c>
      <c r="J22" t="s">
        <v>823</v>
      </c>
      <c r="K22" t="s">
        <v>824</v>
      </c>
      <c r="L22">
        <v>1368</v>
      </c>
      <c r="N22">
        <v>1011</v>
      </c>
      <c r="O22" t="s">
        <v>780</v>
      </c>
      <c r="P22" t="s">
        <v>780</v>
      </c>
      <c r="Q22">
        <v>1</v>
      </c>
      <c r="X22">
        <v>0.71</v>
      </c>
      <c r="Y22">
        <v>0</v>
      </c>
      <c r="Z22">
        <v>1.7</v>
      </c>
      <c r="AA22">
        <v>0</v>
      </c>
      <c r="AB22">
        <v>0</v>
      </c>
      <c r="AC22">
        <v>0</v>
      </c>
      <c r="AD22">
        <v>1</v>
      </c>
      <c r="AE22">
        <v>0</v>
      </c>
      <c r="AF22" t="s">
        <v>36</v>
      </c>
      <c r="AG22">
        <v>0.81649999999999989</v>
      </c>
      <c r="AH22">
        <v>2</v>
      </c>
      <c r="AI22">
        <v>31028695</v>
      </c>
      <c r="AJ22">
        <v>22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>
      <c r="A23">
        <f>ROW(Source!A69)</f>
        <v>69</v>
      </c>
      <c r="B23">
        <v>31028700</v>
      </c>
      <c r="C23">
        <v>31028693</v>
      </c>
      <c r="D23">
        <v>29186566</v>
      </c>
      <c r="E23">
        <v>1</v>
      </c>
      <c r="F23">
        <v>1</v>
      </c>
      <c r="G23">
        <v>1</v>
      </c>
      <c r="H23">
        <v>3</v>
      </c>
      <c r="I23" t="s">
        <v>107</v>
      </c>
      <c r="J23" t="s">
        <v>110</v>
      </c>
      <c r="K23" t="s">
        <v>108</v>
      </c>
      <c r="L23">
        <v>1339</v>
      </c>
      <c r="N23">
        <v>1007</v>
      </c>
      <c r="O23" t="s">
        <v>109</v>
      </c>
      <c r="P23" t="s">
        <v>109</v>
      </c>
      <c r="Q23">
        <v>1</v>
      </c>
      <c r="X23">
        <v>2.2000000000000002</v>
      </c>
      <c r="Y23">
        <v>570.03</v>
      </c>
      <c r="Z23">
        <v>0</v>
      </c>
      <c r="AA23">
        <v>0</v>
      </c>
      <c r="AB23">
        <v>0</v>
      </c>
      <c r="AC23">
        <v>0</v>
      </c>
      <c r="AD23">
        <v>1</v>
      </c>
      <c r="AE23">
        <v>0</v>
      </c>
      <c r="AF23" t="s">
        <v>6</v>
      </c>
      <c r="AG23">
        <v>2.2000000000000002</v>
      </c>
      <c r="AH23">
        <v>3</v>
      </c>
      <c r="AI23">
        <v>-1</v>
      </c>
      <c r="AJ23" t="s">
        <v>6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>
      <c r="A24">
        <f>ROW(Source!A69)</f>
        <v>69</v>
      </c>
      <c r="B24">
        <v>31028701</v>
      </c>
      <c r="C24">
        <v>31028693</v>
      </c>
      <c r="D24">
        <v>29195171</v>
      </c>
      <c r="E24">
        <v>1</v>
      </c>
      <c r="F24">
        <v>1</v>
      </c>
      <c r="G24">
        <v>1</v>
      </c>
      <c r="H24">
        <v>3</v>
      </c>
      <c r="I24" t="s">
        <v>830</v>
      </c>
      <c r="J24" t="s">
        <v>831</v>
      </c>
      <c r="K24" t="s">
        <v>832</v>
      </c>
      <c r="L24">
        <v>1339</v>
      </c>
      <c r="N24">
        <v>1007</v>
      </c>
      <c r="O24" t="s">
        <v>109</v>
      </c>
      <c r="P24" t="s">
        <v>109</v>
      </c>
      <c r="Q24">
        <v>1</v>
      </c>
      <c r="X24">
        <v>0.35</v>
      </c>
      <c r="Y24">
        <v>2.4500000000000002</v>
      </c>
      <c r="Z24">
        <v>0</v>
      </c>
      <c r="AA24">
        <v>0</v>
      </c>
      <c r="AB24">
        <v>0</v>
      </c>
      <c r="AC24">
        <v>0</v>
      </c>
      <c r="AD24">
        <v>1</v>
      </c>
      <c r="AE24">
        <v>0</v>
      </c>
      <c r="AF24" t="s">
        <v>6</v>
      </c>
      <c r="AG24">
        <v>0.35</v>
      </c>
      <c r="AH24">
        <v>2</v>
      </c>
      <c r="AI24">
        <v>31028696</v>
      </c>
      <c r="AJ24">
        <v>23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>
      <c r="A25">
        <f>ROW(Source!A69)</f>
        <v>69</v>
      </c>
      <c r="B25">
        <v>31028702</v>
      </c>
      <c r="C25">
        <v>31028693</v>
      </c>
      <c r="D25">
        <v>29215982</v>
      </c>
      <c r="E25">
        <v>1</v>
      </c>
      <c r="F25">
        <v>1</v>
      </c>
      <c r="G25">
        <v>1</v>
      </c>
      <c r="H25">
        <v>3</v>
      </c>
      <c r="I25" t="s">
        <v>825</v>
      </c>
      <c r="J25" t="s">
        <v>826</v>
      </c>
      <c r="K25" t="s">
        <v>827</v>
      </c>
      <c r="L25">
        <v>1348</v>
      </c>
      <c r="N25">
        <v>1009</v>
      </c>
      <c r="O25" t="s">
        <v>137</v>
      </c>
      <c r="P25" t="s">
        <v>137</v>
      </c>
      <c r="Q25">
        <v>1000</v>
      </c>
      <c r="X25">
        <v>4.84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 t="s">
        <v>6</v>
      </c>
      <c r="AG25">
        <v>4.84</v>
      </c>
      <c r="AH25">
        <v>2</v>
      </c>
      <c r="AI25">
        <v>31028697</v>
      </c>
      <c r="AJ25">
        <v>24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>
      <c r="A26">
        <f>ROW(Source!A72)</f>
        <v>72</v>
      </c>
      <c r="B26">
        <v>31028712</v>
      </c>
      <c r="C26">
        <v>31028705</v>
      </c>
      <c r="D26">
        <v>29084595</v>
      </c>
      <c r="E26">
        <v>1</v>
      </c>
      <c r="F26">
        <v>1</v>
      </c>
      <c r="G26">
        <v>1</v>
      </c>
      <c r="H26">
        <v>1</v>
      </c>
      <c r="I26" t="s">
        <v>833</v>
      </c>
      <c r="J26" t="s">
        <v>6</v>
      </c>
      <c r="K26" t="s">
        <v>834</v>
      </c>
      <c r="L26">
        <v>1369</v>
      </c>
      <c r="N26">
        <v>1013</v>
      </c>
      <c r="O26" t="s">
        <v>773</v>
      </c>
      <c r="P26" t="s">
        <v>773</v>
      </c>
      <c r="Q26">
        <v>1</v>
      </c>
      <c r="X26">
        <v>13.8</v>
      </c>
      <c r="Y26">
        <v>0</v>
      </c>
      <c r="Z26">
        <v>0</v>
      </c>
      <c r="AA26">
        <v>0</v>
      </c>
      <c r="AB26">
        <v>8.9700000000000006</v>
      </c>
      <c r="AC26">
        <v>0</v>
      </c>
      <c r="AD26">
        <v>1</v>
      </c>
      <c r="AE26">
        <v>1</v>
      </c>
      <c r="AF26" t="s">
        <v>127</v>
      </c>
      <c r="AG26">
        <v>18.250499999999999</v>
      </c>
      <c r="AH26">
        <v>2</v>
      </c>
      <c r="AI26">
        <v>31028706</v>
      </c>
      <c r="AJ26">
        <v>25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>
      <c r="A27">
        <f>ROW(Source!A72)</f>
        <v>72</v>
      </c>
      <c r="B27">
        <v>31028713</v>
      </c>
      <c r="C27">
        <v>31028705</v>
      </c>
      <c r="D27">
        <v>29147697</v>
      </c>
      <c r="E27">
        <v>1</v>
      </c>
      <c r="F27">
        <v>1</v>
      </c>
      <c r="G27">
        <v>1</v>
      </c>
      <c r="H27">
        <v>2</v>
      </c>
      <c r="I27" t="s">
        <v>822</v>
      </c>
      <c r="J27" t="s">
        <v>823</v>
      </c>
      <c r="K27" t="s">
        <v>824</v>
      </c>
      <c r="L27">
        <v>1368</v>
      </c>
      <c r="N27">
        <v>1011</v>
      </c>
      <c r="O27" t="s">
        <v>780</v>
      </c>
      <c r="P27" t="s">
        <v>780</v>
      </c>
      <c r="Q27">
        <v>1</v>
      </c>
      <c r="X27">
        <v>0.09</v>
      </c>
      <c r="Y27">
        <v>0</v>
      </c>
      <c r="Z27">
        <v>1.7</v>
      </c>
      <c r="AA27">
        <v>0</v>
      </c>
      <c r="AB27">
        <v>0</v>
      </c>
      <c r="AC27">
        <v>0</v>
      </c>
      <c r="AD27">
        <v>1</v>
      </c>
      <c r="AE27">
        <v>0</v>
      </c>
      <c r="AF27" t="s">
        <v>126</v>
      </c>
      <c r="AG27">
        <v>0.12937499999999999</v>
      </c>
      <c r="AH27">
        <v>2</v>
      </c>
      <c r="AI27">
        <v>31028707</v>
      </c>
      <c r="AJ27">
        <v>26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>
      <c r="A28">
        <f>ROW(Source!A72)</f>
        <v>72</v>
      </c>
      <c r="B28">
        <v>31028714</v>
      </c>
      <c r="C28">
        <v>31028705</v>
      </c>
      <c r="D28">
        <v>29149520</v>
      </c>
      <c r="E28">
        <v>1</v>
      </c>
      <c r="F28">
        <v>1</v>
      </c>
      <c r="G28">
        <v>1</v>
      </c>
      <c r="H28">
        <v>2</v>
      </c>
      <c r="I28" t="s">
        <v>790</v>
      </c>
      <c r="J28" t="s">
        <v>791</v>
      </c>
      <c r="K28" t="s">
        <v>792</v>
      </c>
      <c r="L28">
        <v>1368</v>
      </c>
      <c r="N28">
        <v>1011</v>
      </c>
      <c r="O28" t="s">
        <v>780</v>
      </c>
      <c r="P28" t="s">
        <v>780</v>
      </c>
      <c r="Q28">
        <v>1</v>
      </c>
      <c r="X28">
        <v>0.08</v>
      </c>
      <c r="Y28">
        <v>0</v>
      </c>
      <c r="Z28">
        <v>91.62</v>
      </c>
      <c r="AA28">
        <v>0</v>
      </c>
      <c r="AB28">
        <v>0</v>
      </c>
      <c r="AC28">
        <v>0</v>
      </c>
      <c r="AD28">
        <v>1</v>
      </c>
      <c r="AE28">
        <v>0</v>
      </c>
      <c r="AF28" t="s">
        <v>126</v>
      </c>
      <c r="AG28">
        <v>0.11499999999999999</v>
      </c>
      <c r="AH28">
        <v>2</v>
      </c>
      <c r="AI28">
        <v>31028708</v>
      </c>
      <c r="AJ28">
        <v>27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>
      <c r="A29">
        <f>ROW(Source!A72)</f>
        <v>72</v>
      </c>
      <c r="B29">
        <v>31028715</v>
      </c>
      <c r="C29">
        <v>31028705</v>
      </c>
      <c r="D29">
        <v>29151861</v>
      </c>
      <c r="E29">
        <v>1</v>
      </c>
      <c r="F29">
        <v>1</v>
      </c>
      <c r="G29">
        <v>1</v>
      </c>
      <c r="H29">
        <v>3</v>
      </c>
      <c r="I29" t="s">
        <v>835</v>
      </c>
      <c r="J29" t="s">
        <v>836</v>
      </c>
      <c r="K29" t="s">
        <v>837</v>
      </c>
      <c r="L29">
        <v>1327</v>
      </c>
      <c r="N29">
        <v>1005</v>
      </c>
      <c r="O29" t="s">
        <v>284</v>
      </c>
      <c r="P29" t="s">
        <v>284</v>
      </c>
      <c r="Q29">
        <v>1</v>
      </c>
      <c r="X29">
        <v>0.28999999999999998</v>
      </c>
      <c r="Y29">
        <v>73.39</v>
      </c>
      <c r="Z29">
        <v>0</v>
      </c>
      <c r="AA29">
        <v>0</v>
      </c>
      <c r="AB29">
        <v>0</v>
      </c>
      <c r="AC29">
        <v>0</v>
      </c>
      <c r="AD29">
        <v>1</v>
      </c>
      <c r="AE29">
        <v>0</v>
      </c>
      <c r="AF29" t="s">
        <v>6</v>
      </c>
      <c r="AG29">
        <v>0.28999999999999998</v>
      </c>
      <c r="AH29">
        <v>2</v>
      </c>
      <c r="AI29">
        <v>31028709</v>
      </c>
      <c r="AJ29">
        <v>28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>
      <c r="A30">
        <f>ROW(Source!A72)</f>
        <v>72</v>
      </c>
      <c r="B30">
        <v>31028716</v>
      </c>
      <c r="C30">
        <v>31028705</v>
      </c>
      <c r="D30">
        <v>29152014</v>
      </c>
      <c r="E30">
        <v>1</v>
      </c>
      <c r="F30">
        <v>1</v>
      </c>
      <c r="G30">
        <v>1</v>
      </c>
      <c r="H30">
        <v>3</v>
      </c>
      <c r="I30" t="s">
        <v>838</v>
      </c>
      <c r="J30" t="s">
        <v>839</v>
      </c>
      <c r="K30" t="s">
        <v>840</v>
      </c>
      <c r="L30">
        <v>1346</v>
      </c>
      <c r="N30">
        <v>1009</v>
      </c>
      <c r="O30" t="s">
        <v>118</v>
      </c>
      <c r="P30" t="s">
        <v>118</v>
      </c>
      <c r="Q30">
        <v>1</v>
      </c>
      <c r="X30">
        <v>0.01</v>
      </c>
      <c r="Y30">
        <v>1.94</v>
      </c>
      <c r="Z30">
        <v>0</v>
      </c>
      <c r="AA30">
        <v>0</v>
      </c>
      <c r="AB30">
        <v>0</v>
      </c>
      <c r="AC30">
        <v>0</v>
      </c>
      <c r="AD30">
        <v>1</v>
      </c>
      <c r="AE30">
        <v>0</v>
      </c>
      <c r="AF30" t="s">
        <v>6</v>
      </c>
      <c r="AG30">
        <v>0.01</v>
      </c>
      <c r="AH30">
        <v>2</v>
      </c>
      <c r="AI30">
        <v>31028710</v>
      </c>
      <c r="AJ30">
        <v>29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>
      <c r="A31">
        <f>ROW(Source!A72)</f>
        <v>72</v>
      </c>
      <c r="B31">
        <v>31028717</v>
      </c>
      <c r="C31">
        <v>31028705</v>
      </c>
      <c r="D31">
        <v>29153661</v>
      </c>
      <c r="E31">
        <v>1</v>
      </c>
      <c r="F31">
        <v>1</v>
      </c>
      <c r="G31">
        <v>1</v>
      </c>
      <c r="H31">
        <v>3</v>
      </c>
      <c r="I31" t="s">
        <v>135</v>
      </c>
      <c r="J31" t="s">
        <v>138</v>
      </c>
      <c r="K31" t="s">
        <v>136</v>
      </c>
      <c r="L31">
        <v>1348</v>
      </c>
      <c r="N31">
        <v>1009</v>
      </c>
      <c r="O31" t="s">
        <v>137</v>
      </c>
      <c r="P31" t="s">
        <v>137</v>
      </c>
      <c r="Q31">
        <v>1000</v>
      </c>
      <c r="X31">
        <v>3.7999999999999999E-2</v>
      </c>
      <c r="Y31">
        <v>7439.37</v>
      </c>
      <c r="Z31">
        <v>0</v>
      </c>
      <c r="AA31">
        <v>0</v>
      </c>
      <c r="AB31">
        <v>0</v>
      </c>
      <c r="AC31">
        <v>0</v>
      </c>
      <c r="AD31">
        <v>1</v>
      </c>
      <c r="AE31">
        <v>0</v>
      </c>
      <c r="AF31" t="s">
        <v>6</v>
      </c>
      <c r="AG31">
        <v>3.7999999999999999E-2</v>
      </c>
      <c r="AH31">
        <v>3</v>
      </c>
      <c r="AI31">
        <v>-1</v>
      </c>
      <c r="AJ31" t="s">
        <v>6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>
      <c r="A32">
        <f>ROW(Source!A72)</f>
        <v>72</v>
      </c>
      <c r="B32">
        <v>31028718</v>
      </c>
      <c r="C32">
        <v>31028705</v>
      </c>
      <c r="D32">
        <v>29153777</v>
      </c>
      <c r="E32">
        <v>1</v>
      </c>
      <c r="F32">
        <v>1</v>
      </c>
      <c r="G32">
        <v>1</v>
      </c>
      <c r="H32">
        <v>3</v>
      </c>
      <c r="I32" t="s">
        <v>841</v>
      </c>
      <c r="J32" t="s">
        <v>842</v>
      </c>
      <c r="K32" t="s">
        <v>843</v>
      </c>
      <c r="L32">
        <v>1348</v>
      </c>
      <c r="N32">
        <v>1009</v>
      </c>
      <c r="O32" t="s">
        <v>137</v>
      </c>
      <c r="P32" t="s">
        <v>137</v>
      </c>
      <c r="Q32">
        <v>1000</v>
      </c>
      <c r="X32">
        <v>1.7500000000000002E-2</v>
      </c>
      <c r="Y32">
        <v>5256.69</v>
      </c>
      <c r="Z32">
        <v>0</v>
      </c>
      <c r="AA32">
        <v>0</v>
      </c>
      <c r="AB32">
        <v>0</v>
      </c>
      <c r="AC32">
        <v>0</v>
      </c>
      <c r="AD32">
        <v>1</v>
      </c>
      <c r="AE32">
        <v>0</v>
      </c>
      <c r="AF32" t="s">
        <v>6</v>
      </c>
      <c r="AG32">
        <v>1.7500000000000002E-2</v>
      </c>
      <c r="AH32">
        <v>2</v>
      </c>
      <c r="AI32">
        <v>31028711</v>
      </c>
      <c r="AJ32">
        <v>30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>
      <c r="A33">
        <f>ROW(Source!A72)</f>
        <v>72</v>
      </c>
      <c r="B33">
        <v>31028719</v>
      </c>
      <c r="C33">
        <v>31028705</v>
      </c>
      <c r="D33">
        <v>29154336</v>
      </c>
      <c r="E33">
        <v>1</v>
      </c>
      <c r="F33">
        <v>1</v>
      </c>
      <c r="G33">
        <v>1</v>
      </c>
      <c r="H33">
        <v>3</v>
      </c>
      <c r="I33" t="s">
        <v>131</v>
      </c>
      <c r="J33" t="s">
        <v>133</v>
      </c>
      <c r="K33" t="s">
        <v>132</v>
      </c>
      <c r="L33">
        <v>1346</v>
      </c>
      <c r="N33">
        <v>1009</v>
      </c>
      <c r="O33" t="s">
        <v>118</v>
      </c>
      <c r="P33" t="s">
        <v>118</v>
      </c>
      <c r="Q33">
        <v>1</v>
      </c>
      <c r="X33">
        <v>13</v>
      </c>
      <c r="Y33">
        <v>16.579999999999998</v>
      </c>
      <c r="Z33">
        <v>0</v>
      </c>
      <c r="AA33">
        <v>0</v>
      </c>
      <c r="AB33">
        <v>0</v>
      </c>
      <c r="AC33">
        <v>0</v>
      </c>
      <c r="AD33">
        <v>1</v>
      </c>
      <c r="AE33">
        <v>0</v>
      </c>
      <c r="AF33" t="s">
        <v>6</v>
      </c>
      <c r="AG33">
        <v>13</v>
      </c>
      <c r="AH33">
        <v>3</v>
      </c>
      <c r="AI33">
        <v>-1</v>
      </c>
      <c r="AJ33" t="s">
        <v>6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>
      <c r="A34">
        <f>ROW(Source!A77)</f>
        <v>77</v>
      </c>
      <c r="B34">
        <v>31028730</v>
      </c>
      <c r="C34">
        <v>31028724</v>
      </c>
      <c r="D34">
        <v>29084575</v>
      </c>
      <c r="E34">
        <v>1</v>
      </c>
      <c r="F34">
        <v>1</v>
      </c>
      <c r="G34">
        <v>1</v>
      </c>
      <c r="H34">
        <v>1</v>
      </c>
      <c r="I34" t="s">
        <v>844</v>
      </c>
      <c r="J34" t="s">
        <v>6</v>
      </c>
      <c r="K34" t="s">
        <v>845</v>
      </c>
      <c r="L34">
        <v>1369</v>
      </c>
      <c r="N34">
        <v>1013</v>
      </c>
      <c r="O34" t="s">
        <v>773</v>
      </c>
      <c r="P34" t="s">
        <v>773</v>
      </c>
      <c r="Q34">
        <v>1</v>
      </c>
      <c r="X34">
        <v>35.39</v>
      </c>
      <c r="Y34">
        <v>0</v>
      </c>
      <c r="Z34">
        <v>0</v>
      </c>
      <c r="AA34">
        <v>0</v>
      </c>
      <c r="AB34">
        <v>7.74</v>
      </c>
      <c r="AC34">
        <v>0</v>
      </c>
      <c r="AD34">
        <v>1</v>
      </c>
      <c r="AE34">
        <v>1</v>
      </c>
      <c r="AF34" t="s">
        <v>36</v>
      </c>
      <c r="AG34">
        <v>40.698499999999996</v>
      </c>
      <c r="AH34">
        <v>2</v>
      </c>
      <c r="AI34">
        <v>31028725</v>
      </c>
      <c r="AJ34">
        <v>31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>
      <c r="A35">
        <f>ROW(Source!A77)</f>
        <v>77</v>
      </c>
      <c r="B35">
        <v>31028731</v>
      </c>
      <c r="C35">
        <v>31028724</v>
      </c>
      <c r="D35">
        <v>29084573</v>
      </c>
      <c r="E35">
        <v>1</v>
      </c>
      <c r="F35">
        <v>1</v>
      </c>
      <c r="G35">
        <v>1</v>
      </c>
      <c r="H35">
        <v>1</v>
      </c>
      <c r="I35" t="s">
        <v>774</v>
      </c>
      <c r="J35" t="s">
        <v>6</v>
      </c>
      <c r="K35" t="s">
        <v>775</v>
      </c>
      <c r="L35">
        <v>608254</v>
      </c>
      <c r="N35">
        <v>1013</v>
      </c>
      <c r="O35" t="s">
        <v>776</v>
      </c>
      <c r="P35" t="s">
        <v>776</v>
      </c>
      <c r="Q35">
        <v>1</v>
      </c>
      <c r="X35">
        <v>0.43</v>
      </c>
      <c r="Y35">
        <v>0</v>
      </c>
      <c r="Z35">
        <v>0</v>
      </c>
      <c r="AA35">
        <v>0</v>
      </c>
      <c r="AB35">
        <v>0</v>
      </c>
      <c r="AC35">
        <v>0</v>
      </c>
      <c r="AD35">
        <v>1</v>
      </c>
      <c r="AE35">
        <v>2</v>
      </c>
      <c r="AF35" t="s">
        <v>36</v>
      </c>
      <c r="AG35">
        <v>0.49449999999999994</v>
      </c>
      <c r="AH35">
        <v>2</v>
      </c>
      <c r="AI35">
        <v>31028726</v>
      </c>
      <c r="AJ35">
        <v>32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>
      <c r="A36">
        <f>ROW(Source!A77)</f>
        <v>77</v>
      </c>
      <c r="B36">
        <v>31028732</v>
      </c>
      <c r="C36">
        <v>31028724</v>
      </c>
      <c r="D36">
        <v>29147601</v>
      </c>
      <c r="E36">
        <v>1</v>
      </c>
      <c r="F36">
        <v>1</v>
      </c>
      <c r="G36">
        <v>1</v>
      </c>
      <c r="H36">
        <v>2</v>
      </c>
      <c r="I36" t="s">
        <v>781</v>
      </c>
      <c r="J36" t="s">
        <v>782</v>
      </c>
      <c r="K36" t="s">
        <v>783</v>
      </c>
      <c r="L36">
        <v>1368</v>
      </c>
      <c r="N36">
        <v>1011</v>
      </c>
      <c r="O36" t="s">
        <v>780</v>
      </c>
      <c r="P36" t="s">
        <v>780</v>
      </c>
      <c r="Q36">
        <v>1</v>
      </c>
      <c r="X36">
        <v>0.2</v>
      </c>
      <c r="Y36">
        <v>0</v>
      </c>
      <c r="Z36">
        <v>108.45</v>
      </c>
      <c r="AA36">
        <v>13.03</v>
      </c>
      <c r="AB36">
        <v>0</v>
      </c>
      <c r="AC36">
        <v>0</v>
      </c>
      <c r="AD36">
        <v>1</v>
      </c>
      <c r="AE36">
        <v>0</v>
      </c>
      <c r="AF36" t="s">
        <v>36</v>
      </c>
      <c r="AG36">
        <v>0.22999999999999998</v>
      </c>
      <c r="AH36">
        <v>2</v>
      </c>
      <c r="AI36">
        <v>31028727</v>
      </c>
      <c r="AJ36">
        <v>33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>
      <c r="A37">
        <f>ROW(Source!A77)</f>
        <v>77</v>
      </c>
      <c r="B37">
        <v>31028733</v>
      </c>
      <c r="C37">
        <v>31028724</v>
      </c>
      <c r="D37">
        <v>29147732</v>
      </c>
      <c r="E37">
        <v>1</v>
      </c>
      <c r="F37">
        <v>1</v>
      </c>
      <c r="G37">
        <v>1</v>
      </c>
      <c r="H37">
        <v>2</v>
      </c>
      <c r="I37" t="s">
        <v>846</v>
      </c>
      <c r="J37" t="s">
        <v>847</v>
      </c>
      <c r="K37" t="s">
        <v>848</v>
      </c>
      <c r="L37">
        <v>1368</v>
      </c>
      <c r="N37">
        <v>1011</v>
      </c>
      <c r="O37" t="s">
        <v>780</v>
      </c>
      <c r="P37" t="s">
        <v>780</v>
      </c>
      <c r="Q37">
        <v>1</v>
      </c>
      <c r="X37">
        <v>0.23</v>
      </c>
      <c r="Y37">
        <v>0</v>
      </c>
      <c r="Z37">
        <v>30.85</v>
      </c>
      <c r="AA37">
        <v>13.03</v>
      </c>
      <c r="AB37">
        <v>0</v>
      </c>
      <c r="AC37">
        <v>0</v>
      </c>
      <c r="AD37">
        <v>1</v>
      </c>
      <c r="AE37">
        <v>0</v>
      </c>
      <c r="AF37" t="s">
        <v>36</v>
      </c>
      <c r="AG37">
        <v>0.26450000000000001</v>
      </c>
      <c r="AH37">
        <v>2</v>
      </c>
      <c r="AI37">
        <v>31028728</v>
      </c>
      <c r="AJ37">
        <v>34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>
      <c r="A38">
        <f>ROW(Source!A77)</f>
        <v>77</v>
      </c>
      <c r="B38">
        <v>31028734</v>
      </c>
      <c r="C38">
        <v>31028724</v>
      </c>
      <c r="D38">
        <v>29186497</v>
      </c>
      <c r="E38">
        <v>1</v>
      </c>
      <c r="F38">
        <v>1</v>
      </c>
      <c r="G38">
        <v>1</v>
      </c>
      <c r="H38">
        <v>3</v>
      </c>
      <c r="I38" t="s">
        <v>158</v>
      </c>
      <c r="J38" t="s">
        <v>160</v>
      </c>
      <c r="K38" t="s">
        <v>159</v>
      </c>
      <c r="L38">
        <v>1339</v>
      </c>
      <c r="N38">
        <v>1007</v>
      </c>
      <c r="O38" t="s">
        <v>109</v>
      </c>
      <c r="P38" t="s">
        <v>109</v>
      </c>
      <c r="Q38">
        <v>1</v>
      </c>
      <c r="X38">
        <v>0.253</v>
      </c>
      <c r="Y38">
        <v>428.17</v>
      </c>
      <c r="Z38">
        <v>0</v>
      </c>
      <c r="AA38">
        <v>0</v>
      </c>
      <c r="AB38">
        <v>0</v>
      </c>
      <c r="AC38">
        <v>0</v>
      </c>
      <c r="AD38">
        <v>1</v>
      </c>
      <c r="AE38">
        <v>0</v>
      </c>
      <c r="AF38" t="s">
        <v>6</v>
      </c>
      <c r="AG38">
        <v>0.253</v>
      </c>
      <c r="AH38">
        <v>3</v>
      </c>
      <c r="AI38">
        <v>-1</v>
      </c>
      <c r="AJ38" t="s">
        <v>6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>
      <c r="A39">
        <f>ROW(Source!A77)</f>
        <v>77</v>
      </c>
      <c r="B39">
        <v>31028735</v>
      </c>
      <c r="C39">
        <v>31028724</v>
      </c>
      <c r="D39">
        <v>29194116</v>
      </c>
      <c r="E39">
        <v>1</v>
      </c>
      <c r="F39">
        <v>1</v>
      </c>
      <c r="G39">
        <v>1</v>
      </c>
      <c r="H39">
        <v>3</v>
      </c>
      <c r="I39" t="s">
        <v>153</v>
      </c>
      <c r="J39" t="s">
        <v>156</v>
      </c>
      <c r="K39" t="s">
        <v>154</v>
      </c>
      <c r="L39">
        <v>1356</v>
      </c>
      <c r="N39">
        <v>1010</v>
      </c>
      <c r="O39" t="s">
        <v>155</v>
      </c>
      <c r="P39" t="s">
        <v>155</v>
      </c>
      <c r="Q39">
        <v>1000</v>
      </c>
      <c r="X39">
        <v>0.40200000000000002</v>
      </c>
      <c r="Y39">
        <v>1662.7</v>
      </c>
      <c r="Z39">
        <v>0</v>
      </c>
      <c r="AA39">
        <v>0</v>
      </c>
      <c r="AB39">
        <v>0</v>
      </c>
      <c r="AC39">
        <v>0</v>
      </c>
      <c r="AD39">
        <v>1</v>
      </c>
      <c r="AE39">
        <v>0</v>
      </c>
      <c r="AF39" t="s">
        <v>6</v>
      </c>
      <c r="AG39">
        <v>0.40200000000000002</v>
      </c>
      <c r="AH39">
        <v>3</v>
      </c>
      <c r="AI39">
        <v>-1</v>
      </c>
      <c r="AJ39" t="s">
        <v>6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>
      <c r="A40">
        <f>ROW(Source!A77)</f>
        <v>77</v>
      </c>
      <c r="B40">
        <v>31028736</v>
      </c>
      <c r="C40">
        <v>31028724</v>
      </c>
      <c r="D40">
        <v>29195171</v>
      </c>
      <c r="E40">
        <v>1</v>
      </c>
      <c r="F40">
        <v>1</v>
      </c>
      <c r="G40">
        <v>1</v>
      </c>
      <c r="H40">
        <v>3</v>
      </c>
      <c r="I40" t="s">
        <v>830</v>
      </c>
      <c r="J40" t="s">
        <v>831</v>
      </c>
      <c r="K40" t="s">
        <v>832</v>
      </c>
      <c r="L40">
        <v>1339</v>
      </c>
      <c r="N40">
        <v>1007</v>
      </c>
      <c r="O40" t="s">
        <v>109</v>
      </c>
      <c r="P40" t="s">
        <v>109</v>
      </c>
      <c r="Q40">
        <v>1</v>
      </c>
      <c r="X40">
        <v>4.3999999999999997E-2</v>
      </c>
      <c r="Y40">
        <v>2.4500000000000002</v>
      </c>
      <c r="Z40">
        <v>0</v>
      </c>
      <c r="AA40">
        <v>0</v>
      </c>
      <c r="AB40">
        <v>0</v>
      </c>
      <c r="AC40">
        <v>0</v>
      </c>
      <c r="AD40">
        <v>1</v>
      </c>
      <c r="AE40">
        <v>0</v>
      </c>
      <c r="AF40" t="s">
        <v>6</v>
      </c>
      <c r="AG40">
        <v>4.3999999999999997E-2</v>
      </c>
      <c r="AH40">
        <v>2</v>
      </c>
      <c r="AI40">
        <v>31028729</v>
      </c>
      <c r="AJ40">
        <v>35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>
      <c r="A41">
        <f>ROW(Source!A82)</f>
        <v>82</v>
      </c>
      <c r="B41">
        <v>31028747</v>
      </c>
      <c r="C41">
        <v>31028741</v>
      </c>
      <c r="D41">
        <v>29084579</v>
      </c>
      <c r="E41">
        <v>1</v>
      </c>
      <c r="F41">
        <v>1</v>
      </c>
      <c r="G41">
        <v>1</v>
      </c>
      <c r="H41">
        <v>1</v>
      </c>
      <c r="I41" t="s">
        <v>849</v>
      </c>
      <c r="J41" t="s">
        <v>6</v>
      </c>
      <c r="K41" t="s">
        <v>850</v>
      </c>
      <c r="L41">
        <v>1369</v>
      </c>
      <c r="N41">
        <v>1013</v>
      </c>
      <c r="O41" t="s">
        <v>773</v>
      </c>
      <c r="P41" t="s">
        <v>773</v>
      </c>
      <c r="Q41">
        <v>1</v>
      </c>
      <c r="X41">
        <v>70.88</v>
      </c>
      <c r="Y41">
        <v>0</v>
      </c>
      <c r="Z41">
        <v>0</v>
      </c>
      <c r="AA41">
        <v>0</v>
      </c>
      <c r="AB41">
        <v>9.2899999999999991</v>
      </c>
      <c r="AC41">
        <v>0</v>
      </c>
      <c r="AD41">
        <v>1</v>
      </c>
      <c r="AE41">
        <v>1</v>
      </c>
      <c r="AF41" t="s">
        <v>127</v>
      </c>
      <c r="AG41">
        <v>93.738799999999983</v>
      </c>
      <c r="AH41">
        <v>2</v>
      </c>
      <c r="AI41">
        <v>31028742</v>
      </c>
      <c r="AJ41">
        <v>36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>
      <c r="A42">
        <f>ROW(Source!A82)</f>
        <v>82</v>
      </c>
      <c r="B42">
        <v>31028748</v>
      </c>
      <c r="C42">
        <v>31028741</v>
      </c>
      <c r="D42">
        <v>29084573</v>
      </c>
      <c r="E42">
        <v>1</v>
      </c>
      <c r="F42">
        <v>1</v>
      </c>
      <c r="G42">
        <v>1</v>
      </c>
      <c r="H42">
        <v>1</v>
      </c>
      <c r="I42" t="s">
        <v>774</v>
      </c>
      <c r="J42" t="s">
        <v>6</v>
      </c>
      <c r="K42" t="s">
        <v>775</v>
      </c>
      <c r="L42">
        <v>608254</v>
      </c>
      <c r="N42">
        <v>1013</v>
      </c>
      <c r="O42" t="s">
        <v>776</v>
      </c>
      <c r="P42" t="s">
        <v>776</v>
      </c>
      <c r="Q42">
        <v>1</v>
      </c>
      <c r="X42">
        <v>2.78</v>
      </c>
      <c r="Y42">
        <v>0</v>
      </c>
      <c r="Z42">
        <v>0</v>
      </c>
      <c r="AA42">
        <v>0</v>
      </c>
      <c r="AB42">
        <v>0</v>
      </c>
      <c r="AC42">
        <v>0</v>
      </c>
      <c r="AD42">
        <v>1</v>
      </c>
      <c r="AE42">
        <v>2</v>
      </c>
      <c r="AF42" t="s">
        <v>126</v>
      </c>
      <c r="AG42">
        <v>3.9962499999999994</v>
      </c>
      <c r="AH42">
        <v>2</v>
      </c>
      <c r="AI42">
        <v>31028743</v>
      </c>
      <c r="AJ42">
        <v>37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>
      <c r="A43">
        <f>ROW(Source!A82)</f>
        <v>82</v>
      </c>
      <c r="B43">
        <v>31028749</v>
      </c>
      <c r="C43">
        <v>31028741</v>
      </c>
      <c r="D43">
        <v>29147698</v>
      </c>
      <c r="E43">
        <v>1</v>
      </c>
      <c r="F43">
        <v>1</v>
      </c>
      <c r="G43">
        <v>1</v>
      </c>
      <c r="H43">
        <v>2</v>
      </c>
      <c r="I43" t="s">
        <v>851</v>
      </c>
      <c r="J43" t="s">
        <v>852</v>
      </c>
      <c r="K43" t="s">
        <v>853</v>
      </c>
      <c r="L43">
        <v>1368</v>
      </c>
      <c r="N43">
        <v>1011</v>
      </c>
      <c r="O43" t="s">
        <v>780</v>
      </c>
      <c r="P43" t="s">
        <v>780</v>
      </c>
      <c r="Q43">
        <v>1</v>
      </c>
      <c r="X43">
        <v>0.9</v>
      </c>
      <c r="Y43">
        <v>0</v>
      </c>
      <c r="Z43">
        <v>3.28</v>
      </c>
      <c r="AA43">
        <v>0</v>
      </c>
      <c r="AB43">
        <v>0</v>
      </c>
      <c r="AC43">
        <v>0</v>
      </c>
      <c r="AD43">
        <v>1</v>
      </c>
      <c r="AE43">
        <v>0</v>
      </c>
      <c r="AF43" t="s">
        <v>126</v>
      </c>
      <c r="AG43">
        <v>1.29375</v>
      </c>
      <c r="AH43">
        <v>2</v>
      </c>
      <c r="AI43">
        <v>31028744</v>
      </c>
      <c r="AJ43">
        <v>38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>
      <c r="A44">
        <f>ROW(Source!A82)</f>
        <v>82</v>
      </c>
      <c r="B44">
        <v>31028750</v>
      </c>
      <c r="C44">
        <v>31028741</v>
      </c>
      <c r="D44">
        <v>29148147</v>
      </c>
      <c r="E44">
        <v>1</v>
      </c>
      <c r="F44">
        <v>1</v>
      </c>
      <c r="G44">
        <v>1</v>
      </c>
      <c r="H44">
        <v>2</v>
      </c>
      <c r="I44" t="s">
        <v>854</v>
      </c>
      <c r="J44" t="s">
        <v>855</v>
      </c>
      <c r="K44" t="s">
        <v>856</v>
      </c>
      <c r="L44">
        <v>1368</v>
      </c>
      <c r="N44">
        <v>1011</v>
      </c>
      <c r="O44" t="s">
        <v>780</v>
      </c>
      <c r="P44" t="s">
        <v>780</v>
      </c>
      <c r="Q44">
        <v>1</v>
      </c>
      <c r="X44">
        <v>2.78</v>
      </c>
      <c r="Y44">
        <v>0</v>
      </c>
      <c r="Z44">
        <v>20.76</v>
      </c>
      <c r="AA44">
        <v>8.6</v>
      </c>
      <c r="AB44">
        <v>0</v>
      </c>
      <c r="AC44">
        <v>0</v>
      </c>
      <c r="AD44">
        <v>1</v>
      </c>
      <c r="AE44">
        <v>0</v>
      </c>
      <c r="AF44" t="s">
        <v>126</v>
      </c>
      <c r="AG44">
        <v>3.9962499999999994</v>
      </c>
      <c r="AH44">
        <v>2</v>
      </c>
      <c r="AI44">
        <v>31028745</v>
      </c>
      <c r="AJ44">
        <v>39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>
      <c r="A45">
        <f>ROW(Source!A82)</f>
        <v>82</v>
      </c>
      <c r="B45">
        <v>31028751</v>
      </c>
      <c r="C45">
        <v>31028741</v>
      </c>
      <c r="D45">
        <v>29186566</v>
      </c>
      <c r="E45">
        <v>1</v>
      </c>
      <c r="F45">
        <v>1</v>
      </c>
      <c r="G45">
        <v>1</v>
      </c>
      <c r="H45">
        <v>3</v>
      </c>
      <c r="I45" t="s">
        <v>107</v>
      </c>
      <c r="J45" t="s">
        <v>110</v>
      </c>
      <c r="K45" t="s">
        <v>108</v>
      </c>
      <c r="L45">
        <v>1339</v>
      </c>
      <c r="N45">
        <v>1007</v>
      </c>
      <c r="O45" t="s">
        <v>109</v>
      </c>
      <c r="P45" t="s">
        <v>109</v>
      </c>
      <c r="Q45">
        <v>1</v>
      </c>
      <c r="X45">
        <v>1.89</v>
      </c>
      <c r="Y45">
        <v>570.03</v>
      </c>
      <c r="Z45">
        <v>0</v>
      </c>
      <c r="AA45">
        <v>0</v>
      </c>
      <c r="AB45">
        <v>0</v>
      </c>
      <c r="AC45">
        <v>0</v>
      </c>
      <c r="AD45">
        <v>1</v>
      </c>
      <c r="AE45">
        <v>0</v>
      </c>
      <c r="AF45" t="s">
        <v>6</v>
      </c>
      <c r="AG45">
        <v>1.89</v>
      </c>
      <c r="AH45">
        <v>3</v>
      </c>
      <c r="AI45">
        <v>-1</v>
      </c>
      <c r="AJ45" t="s">
        <v>6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>
      <c r="A46">
        <f>ROW(Source!A82)</f>
        <v>82</v>
      </c>
      <c r="B46">
        <v>31028752</v>
      </c>
      <c r="C46">
        <v>31028741</v>
      </c>
      <c r="D46">
        <v>29195171</v>
      </c>
      <c r="E46">
        <v>1</v>
      </c>
      <c r="F46">
        <v>1</v>
      </c>
      <c r="G46">
        <v>1</v>
      </c>
      <c r="H46">
        <v>3</v>
      </c>
      <c r="I46" t="s">
        <v>830</v>
      </c>
      <c r="J46" t="s">
        <v>831</v>
      </c>
      <c r="K46" t="s">
        <v>832</v>
      </c>
      <c r="L46">
        <v>1339</v>
      </c>
      <c r="N46">
        <v>1007</v>
      </c>
      <c r="O46" t="s">
        <v>109</v>
      </c>
      <c r="P46" t="s">
        <v>109</v>
      </c>
      <c r="Q46">
        <v>1</v>
      </c>
      <c r="X46">
        <v>0.35</v>
      </c>
      <c r="Y46">
        <v>2.4500000000000002</v>
      </c>
      <c r="Z46">
        <v>0</v>
      </c>
      <c r="AA46">
        <v>0</v>
      </c>
      <c r="AB46">
        <v>0</v>
      </c>
      <c r="AC46">
        <v>0</v>
      </c>
      <c r="AD46">
        <v>1</v>
      </c>
      <c r="AE46">
        <v>0</v>
      </c>
      <c r="AF46" t="s">
        <v>6</v>
      </c>
      <c r="AG46">
        <v>0.35</v>
      </c>
      <c r="AH46">
        <v>2</v>
      </c>
      <c r="AI46">
        <v>31028746</v>
      </c>
      <c r="AJ46">
        <v>40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>
      <c r="A47">
        <f>ROW(Source!A85)</f>
        <v>85</v>
      </c>
      <c r="B47">
        <v>31028762</v>
      </c>
      <c r="C47">
        <v>31028755</v>
      </c>
      <c r="D47">
        <v>29084595</v>
      </c>
      <c r="E47">
        <v>1</v>
      </c>
      <c r="F47">
        <v>1</v>
      </c>
      <c r="G47">
        <v>1</v>
      </c>
      <c r="H47">
        <v>1</v>
      </c>
      <c r="I47" t="s">
        <v>833</v>
      </c>
      <c r="J47" t="s">
        <v>6</v>
      </c>
      <c r="K47" t="s">
        <v>834</v>
      </c>
      <c r="L47">
        <v>1369</v>
      </c>
      <c r="N47">
        <v>1013</v>
      </c>
      <c r="O47" t="s">
        <v>773</v>
      </c>
      <c r="P47" t="s">
        <v>773</v>
      </c>
      <c r="Q47">
        <v>1</v>
      </c>
      <c r="X47">
        <v>13.8</v>
      </c>
      <c r="Y47">
        <v>0</v>
      </c>
      <c r="Z47">
        <v>0</v>
      </c>
      <c r="AA47">
        <v>0</v>
      </c>
      <c r="AB47">
        <v>8.9700000000000006</v>
      </c>
      <c r="AC47">
        <v>0</v>
      </c>
      <c r="AD47">
        <v>1</v>
      </c>
      <c r="AE47">
        <v>1</v>
      </c>
      <c r="AF47" t="s">
        <v>127</v>
      </c>
      <c r="AG47">
        <v>18.250499999999999</v>
      </c>
      <c r="AH47">
        <v>2</v>
      </c>
      <c r="AI47">
        <v>31028756</v>
      </c>
      <c r="AJ47">
        <v>41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>
      <c r="A48">
        <f>ROW(Source!A85)</f>
        <v>85</v>
      </c>
      <c r="B48">
        <v>31028763</v>
      </c>
      <c r="C48">
        <v>31028755</v>
      </c>
      <c r="D48">
        <v>29147697</v>
      </c>
      <c r="E48">
        <v>1</v>
      </c>
      <c r="F48">
        <v>1</v>
      </c>
      <c r="G48">
        <v>1</v>
      </c>
      <c r="H48">
        <v>2</v>
      </c>
      <c r="I48" t="s">
        <v>822</v>
      </c>
      <c r="J48" t="s">
        <v>823</v>
      </c>
      <c r="K48" t="s">
        <v>824</v>
      </c>
      <c r="L48">
        <v>1368</v>
      </c>
      <c r="N48">
        <v>1011</v>
      </c>
      <c r="O48" t="s">
        <v>780</v>
      </c>
      <c r="P48" t="s">
        <v>780</v>
      </c>
      <c r="Q48">
        <v>1</v>
      </c>
      <c r="X48">
        <v>0.09</v>
      </c>
      <c r="Y48">
        <v>0</v>
      </c>
      <c r="Z48">
        <v>1.7</v>
      </c>
      <c r="AA48">
        <v>0</v>
      </c>
      <c r="AB48">
        <v>0</v>
      </c>
      <c r="AC48">
        <v>0</v>
      </c>
      <c r="AD48">
        <v>1</v>
      </c>
      <c r="AE48">
        <v>0</v>
      </c>
      <c r="AF48" t="s">
        <v>126</v>
      </c>
      <c r="AG48">
        <v>0.12937499999999999</v>
      </c>
      <c r="AH48">
        <v>2</v>
      </c>
      <c r="AI48">
        <v>31028757</v>
      </c>
      <c r="AJ48">
        <v>42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>
      <c r="A49">
        <f>ROW(Source!A85)</f>
        <v>85</v>
      </c>
      <c r="B49">
        <v>31028764</v>
      </c>
      <c r="C49">
        <v>31028755</v>
      </c>
      <c r="D49">
        <v>29149520</v>
      </c>
      <c r="E49">
        <v>1</v>
      </c>
      <c r="F49">
        <v>1</v>
      </c>
      <c r="G49">
        <v>1</v>
      </c>
      <c r="H49">
        <v>2</v>
      </c>
      <c r="I49" t="s">
        <v>790</v>
      </c>
      <c r="J49" t="s">
        <v>791</v>
      </c>
      <c r="K49" t="s">
        <v>792</v>
      </c>
      <c r="L49">
        <v>1368</v>
      </c>
      <c r="N49">
        <v>1011</v>
      </c>
      <c r="O49" t="s">
        <v>780</v>
      </c>
      <c r="P49" t="s">
        <v>780</v>
      </c>
      <c r="Q49">
        <v>1</v>
      </c>
      <c r="X49">
        <v>0.08</v>
      </c>
      <c r="Y49">
        <v>0</v>
      </c>
      <c r="Z49">
        <v>91.62</v>
      </c>
      <c r="AA49">
        <v>0</v>
      </c>
      <c r="AB49">
        <v>0</v>
      </c>
      <c r="AC49">
        <v>0</v>
      </c>
      <c r="AD49">
        <v>1</v>
      </c>
      <c r="AE49">
        <v>0</v>
      </c>
      <c r="AF49" t="s">
        <v>126</v>
      </c>
      <c r="AG49">
        <v>0.11499999999999999</v>
      </c>
      <c r="AH49">
        <v>2</v>
      </c>
      <c r="AI49">
        <v>31028758</v>
      </c>
      <c r="AJ49">
        <v>43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>
      <c r="A50">
        <f>ROW(Source!A85)</f>
        <v>85</v>
      </c>
      <c r="B50">
        <v>31028765</v>
      </c>
      <c r="C50">
        <v>31028755</v>
      </c>
      <c r="D50">
        <v>29151861</v>
      </c>
      <c r="E50">
        <v>1</v>
      </c>
      <c r="F50">
        <v>1</v>
      </c>
      <c r="G50">
        <v>1</v>
      </c>
      <c r="H50">
        <v>3</v>
      </c>
      <c r="I50" t="s">
        <v>835</v>
      </c>
      <c r="J50" t="s">
        <v>836</v>
      </c>
      <c r="K50" t="s">
        <v>837</v>
      </c>
      <c r="L50">
        <v>1327</v>
      </c>
      <c r="N50">
        <v>1005</v>
      </c>
      <c r="O50" t="s">
        <v>284</v>
      </c>
      <c r="P50" t="s">
        <v>284</v>
      </c>
      <c r="Q50">
        <v>1</v>
      </c>
      <c r="X50">
        <v>0.28999999999999998</v>
      </c>
      <c r="Y50">
        <v>73.39</v>
      </c>
      <c r="Z50">
        <v>0</v>
      </c>
      <c r="AA50">
        <v>0</v>
      </c>
      <c r="AB50">
        <v>0</v>
      </c>
      <c r="AC50">
        <v>0</v>
      </c>
      <c r="AD50">
        <v>1</v>
      </c>
      <c r="AE50">
        <v>0</v>
      </c>
      <c r="AF50" t="s">
        <v>6</v>
      </c>
      <c r="AG50">
        <v>0.28999999999999998</v>
      </c>
      <c r="AH50">
        <v>2</v>
      </c>
      <c r="AI50">
        <v>31028759</v>
      </c>
      <c r="AJ50">
        <v>44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>
      <c r="A51">
        <f>ROW(Source!A85)</f>
        <v>85</v>
      </c>
      <c r="B51">
        <v>31028766</v>
      </c>
      <c r="C51">
        <v>31028755</v>
      </c>
      <c r="D51">
        <v>29152014</v>
      </c>
      <c r="E51">
        <v>1</v>
      </c>
      <c r="F51">
        <v>1</v>
      </c>
      <c r="G51">
        <v>1</v>
      </c>
      <c r="H51">
        <v>3</v>
      </c>
      <c r="I51" t="s">
        <v>838</v>
      </c>
      <c r="J51" t="s">
        <v>839</v>
      </c>
      <c r="K51" t="s">
        <v>840</v>
      </c>
      <c r="L51">
        <v>1346</v>
      </c>
      <c r="N51">
        <v>1009</v>
      </c>
      <c r="O51" t="s">
        <v>118</v>
      </c>
      <c r="P51" t="s">
        <v>118</v>
      </c>
      <c r="Q51">
        <v>1</v>
      </c>
      <c r="X51">
        <v>0.01</v>
      </c>
      <c r="Y51">
        <v>1.94</v>
      </c>
      <c r="Z51">
        <v>0</v>
      </c>
      <c r="AA51">
        <v>0</v>
      </c>
      <c r="AB51">
        <v>0</v>
      </c>
      <c r="AC51">
        <v>0</v>
      </c>
      <c r="AD51">
        <v>1</v>
      </c>
      <c r="AE51">
        <v>0</v>
      </c>
      <c r="AF51" t="s">
        <v>6</v>
      </c>
      <c r="AG51">
        <v>0.01</v>
      </c>
      <c r="AH51">
        <v>2</v>
      </c>
      <c r="AI51">
        <v>31028760</v>
      </c>
      <c r="AJ51">
        <v>45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>
      <c r="A52">
        <f>ROW(Source!A85)</f>
        <v>85</v>
      </c>
      <c r="B52">
        <v>31028767</v>
      </c>
      <c r="C52">
        <v>31028755</v>
      </c>
      <c r="D52">
        <v>29153661</v>
      </c>
      <c r="E52">
        <v>1</v>
      </c>
      <c r="F52">
        <v>1</v>
      </c>
      <c r="G52">
        <v>1</v>
      </c>
      <c r="H52">
        <v>3</v>
      </c>
      <c r="I52" t="s">
        <v>135</v>
      </c>
      <c r="J52" t="s">
        <v>138</v>
      </c>
      <c r="K52" t="s">
        <v>136</v>
      </c>
      <c r="L52">
        <v>1348</v>
      </c>
      <c r="N52">
        <v>1009</v>
      </c>
      <c r="O52" t="s">
        <v>137</v>
      </c>
      <c r="P52" t="s">
        <v>137</v>
      </c>
      <c r="Q52">
        <v>1000</v>
      </c>
      <c r="X52">
        <v>3.7999999999999999E-2</v>
      </c>
      <c r="Y52">
        <v>7439.37</v>
      </c>
      <c r="Z52">
        <v>0</v>
      </c>
      <c r="AA52">
        <v>0</v>
      </c>
      <c r="AB52">
        <v>0</v>
      </c>
      <c r="AC52">
        <v>0</v>
      </c>
      <c r="AD52">
        <v>1</v>
      </c>
      <c r="AE52">
        <v>0</v>
      </c>
      <c r="AF52" t="s">
        <v>6</v>
      </c>
      <c r="AG52">
        <v>3.7999999999999999E-2</v>
      </c>
      <c r="AH52">
        <v>3</v>
      </c>
      <c r="AI52">
        <v>-1</v>
      </c>
      <c r="AJ52" t="s">
        <v>6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>
      <c r="A53">
        <f>ROW(Source!A85)</f>
        <v>85</v>
      </c>
      <c r="B53">
        <v>31028768</v>
      </c>
      <c r="C53">
        <v>31028755</v>
      </c>
      <c r="D53">
        <v>29153777</v>
      </c>
      <c r="E53">
        <v>1</v>
      </c>
      <c r="F53">
        <v>1</v>
      </c>
      <c r="G53">
        <v>1</v>
      </c>
      <c r="H53">
        <v>3</v>
      </c>
      <c r="I53" t="s">
        <v>841</v>
      </c>
      <c r="J53" t="s">
        <v>842</v>
      </c>
      <c r="K53" t="s">
        <v>843</v>
      </c>
      <c r="L53">
        <v>1348</v>
      </c>
      <c r="N53">
        <v>1009</v>
      </c>
      <c r="O53" t="s">
        <v>137</v>
      </c>
      <c r="P53" t="s">
        <v>137</v>
      </c>
      <c r="Q53">
        <v>1000</v>
      </c>
      <c r="X53">
        <v>1.7500000000000002E-2</v>
      </c>
      <c r="Y53">
        <v>5256.69</v>
      </c>
      <c r="Z53">
        <v>0</v>
      </c>
      <c r="AA53">
        <v>0</v>
      </c>
      <c r="AB53">
        <v>0</v>
      </c>
      <c r="AC53">
        <v>0</v>
      </c>
      <c r="AD53">
        <v>1</v>
      </c>
      <c r="AE53">
        <v>0</v>
      </c>
      <c r="AF53" t="s">
        <v>6</v>
      </c>
      <c r="AG53">
        <v>1.7500000000000002E-2</v>
      </c>
      <c r="AH53">
        <v>2</v>
      </c>
      <c r="AI53">
        <v>31028761</v>
      </c>
      <c r="AJ53">
        <v>46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>
      <c r="A54">
        <f>ROW(Source!A85)</f>
        <v>85</v>
      </c>
      <c r="B54">
        <v>31028769</v>
      </c>
      <c r="C54">
        <v>31028755</v>
      </c>
      <c r="D54">
        <v>29154336</v>
      </c>
      <c r="E54">
        <v>1</v>
      </c>
      <c r="F54">
        <v>1</v>
      </c>
      <c r="G54">
        <v>1</v>
      </c>
      <c r="H54">
        <v>3</v>
      </c>
      <c r="I54" t="s">
        <v>131</v>
      </c>
      <c r="J54" t="s">
        <v>133</v>
      </c>
      <c r="K54" t="s">
        <v>132</v>
      </c>
      <c r="L54">
        <v>1346</v>
      </c>
      <c r="N54">
        <v>1009</v>
      </c>
      <c r="O54" t="s">
        <v>118</v>
      </c>
      <c r="P54" t="s">
        <v>118</v>
      </c>
      <c r="Q54">
        <v>1</v>
      </c>
      <c r="X54">
        <v>13</v>
      </c>
      <c r="Y54">
        <v>16.579999999999998</v>
      </c>
      <c r="Z54">
        <v>0</v>
      </c>
      <c r="AA54">
        <v>0</v>
      </c>
      <c r="AB54">
        <v>0</v>
      </c>
      <c r="AC54">
        <v>0</v>
      </c>
      <c r="AD54">
        <v>1</v>
      </c>
      <c r="AE54">
        <v>0</v>
      </c>
      <c r="AF54" t="s">
        <v>6</v>
      </c>
      <c r="AG54">
        <v>13</v>
      </c>
      <c r="AH54">
        <v>3</v>
      </c>
      <c r="AI54">
        <v>-1</v>
      </c>
      <c r="AJ54" t="s">
        <v>6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>
      <c r="A55">
        <f>ROW(Source!A90)</f>
        <v>90</v>
      </c>
      <c r="B55">
        <v>31028782</v>
      </c>
      <c r="C55">
        <v>31028774</v>
      </c>
      <c r="D55">
        <v>29084583</v>
      </c>
      <c r="E55">
        <v>1</v>
      </c>
      <c r="F55">
        <v>1</v>
      </c>
      <c r="G55">
        <v>1</v>
      </c>
      <c r="H55">
        <v>1</v>
      </c>
      <c r="I55" t="s">
        <v>857</v>
      </c>
      <c r="J55" t="s">
        <v>6</v>
      </c>
      <c r="K55" t="s">
        <v>858</v>
      </c>
      <c r="L55">
        <v>1369</v>
      </c>
      <c r="N55">
        <v>1013</v>
      </c>
      <c r="O55" t="s">
        <v>773</v>
      </c>
      <c r="P55" t="s">
        <v>773</v>
      </c>
      <c r="Q55">
        <v>1</v>
      </c>
      <c r="X55">
        <v>112.75</v>
      </c>
      <c r="Y55">
        <v>0</v>
      </c>
      <c r="Z55">
        <v>0</v>
      </c>
      <c r="AA55">
        <v>0</v>
      </c>
      <c r="AB55">
        <v>8.23</v>
      </c>
      <c r="AC55">
        <v>0</v>
      </c>
      <c r="AD55">
        <v>1</v>
      </c>
      <c r="AE55">
        <v>1</v>
      </c>
      <c r="AF55" t="s">
        <v>127</v>
      </c>
      <c r="AG55">
        <v>149.11187499999997</v>
      </c>
      <c r="AH55">
        <v>2</v>
      </c>
      <c r="AI55">
        <v>31028775</v>
      </c>
      <c r="AJ55">
        <v>47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>
      <c r="A56">
        <f>ROW(Source!A90)</f>
        <v>90</v>
      </c>
      <c r="B56">
        <v>31028783</v>
      </c>
      <c r="C56">
        <v>31028774</v>
      </c>
      <c r="D56">
        <v>29084573</v>
      </c>
      <c r="E56">
        <v>1</v>
      </c>
      <c r="F56">
        <v>1</v>
      </c>
      <c r="G56">
        <v>1</v>
      </c>
      <c r="H56">
        <v>1</v>
      </c>
      <c r="I56" t="s">
        <v>774</v>
      </c>
      <c r="J56" t="s">
        <v>6</v>
      </c>
      <c r="K56" t="s">
        <v>775</v>
      </c>
      <c r="L56">
        <v>608254</v>
      </c>
      <c r="N56">
        <v>1013</v>
      </c>
      <c r="O56" t="s">
        <v>776</v>
      </c>
      <c r="P56" t="s">
        <v>776</v>
      </c>
      <c r="Q56">
        <v>1</v>
      </c>
      <c r="X56">
        <v>0.2</v>
      </c>
      <c r="Y56">
        <v>0</v>
      </c>
      <c r="Z56">
        <v>0</v>
      </c>
      <c r="AA56">
        <v>0</v>
      </c>
      <c r="AB56">
        <v>0</v>
      </c>
      <c r="AC56">
        <v>0</v>
      </c>
      <c r="AD56">
        <v>1</v>
      </c>
      <c r="AE56">
        <v>2</v>
      </c>
      <c r="AF56" t="s">
        <v>126</v>
      </c>
      <c r="AG56">
        <v>0.28749999999999998</v>
      </c>
      <c r="AH56">
        <v>2</v>
      </c>
      <c r="AI56">
        <v>31028776</v>
      </c>
      <c r="AJ56">
        <v>48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>
      <c r="A57">
        <f>ROW(Source!A90)</f>
        <v>90</v>
      </c>
      <c r="B57">
        <v>31028784</v>
      </c>
      <c r="C57">
        <v>31028774</v>
      </c>
      <c r="D57">
        <v>29147520</v>
      </c>
      <c r="E57">
        <v>1</v>
      </c>
      <c r="F57">
        <v>1</v>
      </c>
      <c r="G57">
        <v>1</v>
      </c>
      <c r="H57">
        <v>2</v>
      </c>
      <c r="I57" t="s">
        <v>777</v>
      </c>
      <c r="J57" t="s">
        <v>778</v>
      </c>
      <c r="K57" t="s">
        <v>779</v>
      </c>
      <c r="L57">
        <v>1368</v>
      </c>
      <c r="N57">
        <v>1011</v>
      </c>
      <c r="O57" t="s">
        <v>780</v>
      </c>
      <c r="P57" t="s">
        <v>780</v>
      </c>
      <c r="Q57">
        <v>1</v>
      </c>
      <c r="X57">
        <v>0.2</v>
      </c>
      <c r="Y57">
        <v>0</v>
      </c>
      <c r="Z57">
        <v>85.93</v>
      </c>
      <c r="AA57">
        <v>13.03</v>
      </c>
      <c r="AB57">
        <v>0</v>
      </c>
      <c r="AC57">
        <v>0</v>
      </c>
      <c r="AD57">
        <v>1</v>
      </c>
      <c r="AE57">
        <v>0</v>
      </c>
      <c r="AF57" t="s">
        <v>126</v>
      </c>
      <c r="AG57">
        <v>0.28749999999999998</v>
      </c>
      <c r="AH57">
        <v>2</v>
      </c>
      <c r="AI57">
        <v>31028777</v>
      </c>
      <c r="AJ57">
        <v>49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>
      <c r="A58">
        <f>ROW(Source!A90)</f>
        <v>90</v>
      </c>
      <c r="B58">
        <v>31028785</v>
      </c>
      <c r="C58">
        <v>31028774</v>
      </c>
      <c r="D58">
        <v>29149520</v>
      </c>
      <c r="E58">
        <v>1</v>
      </c>
      <c r="F58">
        <v>1</v>
      </c>
      <c r="G58">
        <v>1</v>
      </c>
      <c r="H58">
        <v>2</v>
      </c>
      <c r="I58" t="s">
        <v>790</v>
      </c>
      <c r="J58" t="s">
        <v>791</v>
      </c>
      <c r="K58" t="s">
        <v>792</v>
      </c>
      <c r="L58">
        <v>1368</v>
      </c>
      <c r="N58">
        <v>1011</v>
      </c>
      <c r="O58" t="s">
        <v>780</v>
      </c>
      <c r="P58" t="s">
        <v>780</v>
      </c>
      <c r="Q58">
        <v>1</v>
      </c>
      <c r="X58">
        <v>7.0000000000000007E-2</v>
      </c>
      <c r="Y58">
        <v>0</v>
      </c>
      <c r="Z58">
        <v>91.62</v>
      </c>
      <c r="AA58">
        <v>0</v>
      </c>
      <c r="AB58">
        <v>0</v>
      </c>
      <c r="AC58">
        <v>0</v>
      </c>
      <c r="AD58">
        <v>1</v>
      </c>
      <c r="AE58">
        <v>0</v>
      </c>
      <c r="AF58" t="s">
        <v>126</v>
      </c>
      <c r="AG58">
        <v>0.10062500000000001</v>
      </c>
      <c r="AH58">
        <v>2</v>
      </c>
      <c r="AI58">
        <v>31028778</v>
      </c>
      <c r="AJ58">
        <v>50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>
      <c r="A59">
        <f>ROW(Source!A90)</f>
        <v>90</v>
      </c>
      <c r="B59">
        <v>31028786</v>
      </c>
      <c r="C59">
        <v>31028774</v>
      </c>
      <c r="D59">
        <v>29150561</v>
      </c>
      <c r="E59">
        <v>1</v>
      </c>
      <c r="F59">
        <v>1</v>
      </c>
      <c r="G59">
        <v>1</v>
      </c>
      <c r="H59">
        <v>3</v>
      </c>
      <c r="I59" t="s">
        <v>793</v>
      </c>
      <c r="J59" t="s">
        <v>794</v>
      </c>
      <c r="K59" t="s">
        <v>795</v>
      </c>
      <c r="L59">
        <v>1348</v>
      </c>
      <c r="N59">
        <v>1009</v>
      </c>
      <c r="O59" t="s">
        <v>137</v>
      </c>
      <c r="P59" t="s">
        <v>137</v>
      </c>
      <c r="Q59">
        <v>1000</v>
      </c>
      <c r="X59">
        <v>4.0000000000000001E-3</v>
      </c>
      <c r="Y59">
        <v>8466.1</v>
      </c>
      <c r="Z59">
        <v>0</v>
      </c>
      <c r="AA59">
        <v>0</v>
      </c>
      <c r="AB59">
        <v>0</v>
      </c>
      <c r="AC59">
        <v>0</v>
      </c>
      <c r="AD59">
        <v>1</v>
      </c>
      <c r="AE59">
        <v>0</v>
      </c>
      <c r="AF59" t="s">
        <v>6</v>
      </c>
      <c r="AG59">
        <v>4.0000000000000001E-3</v>
      </c>
      <c r="AH59">
        <v>2</v>
      </c>
      <c r="AI59">
        <v>31028779</v>
      </c>
      <c r="AJ59">
        <v>51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>
      <c r="A60">
        <f>ROW(Source!A90)</f>
        <v>90</v>
      </c>
      <c r="B60">
        <v>31028787</v>
      </c>
      <c r="C60">
        <v>31028774</v>
      </c>
      <c r="D60">
        <v>29151141</v>
      </c>
      <c r="E60">
        <v>1</v>
      </c>
      <c r="F60">
        <v>1</v>
      </c>
      <c r="G60">
        <v>1</v>
      </c>
      <c r="H60">
        <v>3</v>
      </c>
      <c r="I60" t="s">
        <v>859</v>
      </c>
      <c r="J60" t="s">
        <v>860</v>
      </c>
      <c r="K60" t="s">
        <v>861</v>
      </c>
      <c r="L60">
        <v>1348</v>
      </c>
      <c r="N60">
        <v>1009</v>
      </c>
      <c r="O60" t="s">
        <v>137</v>
      </c>
      <c r="P60" t="s">
        <v>137</v>
      </c>
      <c r="Q60">
        <v>1000</v>
      </c>
      <c r="X60">
        <v>1.2E-2</v>
      </c>
      <c r="Y60">
        <v>8907.8799999999992</v>
      </c>
      <c r="Z60">
        <v>0</v>
      </c>
      <c r="AA60">
        <v>0</v>
      </c>
      <c r="AB60">
        <v>0</v>
      </c>
      <c r="AC60">
        <v>0</v>
      </c>
      <c r="AD60">
        <v>1</v>
      </c>
      <c r="AE60">
        <v>0</v>
      </c>
      <c r="AF60" t="s">
        <v>6</v>
      </c>
      <c r="AG60">
        <v>1.2E-2</v>
      </c>
      <c r="AH60">
        <v>2</v>
      </c>
      <c r="AI60">
        <v>31028780</v>
      </c>
      <c r="AJ60">
        <v>52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>
      <c r="A61">
        <f>ROW(Source!A90)</f>
        <v>90</v>
      </c>
      <c r="B61">
        <v>31028788</v>
      </c>
      <c r="C61">
        <v>31028774</v>
      </c>
      <c r="D61">
        <v>29152118</v>
      </c>
      <c r="E61">
        <v>1</v>
      </c>
      <c r="F61">
        <v>1</v>
      </c>
      <c r="G61">
        <v>1</v>
      </c>
      <c r="H61">
        <v>3</v>
      </c>
      <c r="I61" t="s">
        <v>862</v>
      </c>
      <c r="J61" t="s">
        <v>863</v>
      </c>
      <c r="K61" t="s">
        <v>864</v>
      </c>
      <c r="L61">
        <v>1348</v>
      </c>
      <c r="N61">
        <v>1009</v>
      </c>
      <c r="O61" t="s">
        <v>137</v>
      </c>
      <c r="P61" t="s">
        <v>137</v>
      </c>
      <c r="Q61">
        <v>1000</v>
      </c>
      <c r="X61">
        <v>0.78200000000000003</v>
      </c>
      <c r="Y61">
        <v>12167.44</v>
      </c>
      <c r="Z61">
        <v>0</v>
      </c>
      <c r="AA61">
        <v>0</v>
      </c>
      <c r="AB61">
        <v>0</v>
      </c>
      <c r="AC61">
        <v>0</v>
      </c>
      <c r="AD61">
        <v>1</v>
      </c>
      <c r="AE61">
        <v>0</v>
      </c>
      <c r="AF61" t="s">
        <v>6</v>
      </c>
      <c r="AG61">
        <v>0.78200000000000003</v>
      </c>
      <c r="AH61">
        <v>2</v>
      </c>
      <c r="AI61">
        <v>31028781</v>
      </c>
      <c r="AJ61">
        <v>53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>
      <c r="A62">
        <f>ROW(Source!A91)</f>
        <v>91</v>
      </c>
      <c r="B62">
        <v>31028796</v>
      </c>
      <c r="C62">
        <v>31028789</v>
      </c>
      <c r="D62">
        <v>29084595</v>
      </c>
      <c r="E62">
        <v>1</v>
      </c>
      <c r="F62">
        <v>1</v>
      </c>
      <c r="G62">
        <v>1</v>
      </c>
      <c r="H62">
        <v>1</v>
      </c>
      <c r="I62" t="s">
        <v>833</v>
      </c>
      <c r="J62" t="s">
        <v>6</v>
      </c>
      <c r="K62" t="s">
        <v>834</v>
      </c>
      <c r="L62">
        <v>1369</v>
      </c>
      <c r="N62">
        <v>1013</v>
      </c>
      <c r="O62" t="s">
        <v>773</v>
      </c>
      <c r="P62" t="s">
        <v>773</v>
      </c>
      <c r="Q62">
        <v>1</v>
      </c>
      <c r="X62">
        <v>15.9</v>
      </c>
      <c r="Y62">
        <v>0</v>
      </c>
      <c r="Z62">
        <v>0</v>
      </c>
      <c r="AA62">
        <v>0</v>
      </c>
      <c r="AB62">
        <v>8.9700000000000006</v>
      </c>
      <c r="AC62">
        <v>0</v>
      </c>
      <c r="AD62">
        <v>1</v>
      </c>
      <c r="AE62">
        <v>1</v>
      </c>
      <c r="AF62" t="s">
        <v>127</v>
      </c>
      <c r="AG62">
        <v>21.027749999999997</v>
      </c>
      <c r="AH62">
        <v>2</v>
      </c>
      <c r="AI62">
        <v>31028790</v>
      </c>
      <c r="AJ62">
        <v>54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>
      <c r="A63">
        <f>ROW(Source!A91)</f>
        <v>91</v>
      </c>
      <c r="B63">
        <v>31028797</v>
      </c>
      <c r="C63">
        <v>31028789</v>
      </c>
      <c r="D63">
        <v>29147785</v>
      </c>
      <c r="E63">
        <v>1</v>
      </c>
      <c r="F63">
        <v>1</v>
      </c>
      <c r="G63">
        <v>1</v>
      </c>
      <c r="H63">
        <v>2</v>
      </c>
      <c r="I63" t="s">
        <v>865</v>
      </c>
      <c r="J63" t="s">
        <v>866</v>
      </c>
      <c r="K63" t="s">
        <v>867</v>
      </c>
      <c r="L63">
        <v>1368</v>
      </c>
      <c r="N63">
        <v>1011</v>
      </c>
      <c r="O63" t="s">
        <v>780</v>
      </c>
      <c r="P63" t="s">
        <v>780</v>
      </c>
      <c r="Q63">
        <v>1</v>
      </c>
      <c r="X63">
        <v>8.31</v>
      </c>
      <c r="Y63">
        <v>0</v>
      </c>
      <c r="Z63">
        <v>53.87</v>
      </c>
      <c r="AA63">
        <v>0</v>
      </c>
      <c r="AB63">
        <v>0</v>
      </c>
      <c r="AC63">
        <v>0</v>
      </c>
      <c r="AD63">
        <v>1</v>
      </c>
      <c r="AE63">
        <v>0</v>
      </c>
      <c r="AF63" t="s">
        <v>126</v>
      </c>
      <c r="AG63">
        <v>11.945625</v>
      </c>
      <c r="AH63">
        <v>2</v>
      </c>
      <c r="AI63">
        <v>31028791</v>
      </c>
      <c r="AJ63">
        <v>55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>
      <c r="A64">
        <f>ROW(Source!A91)</f>
        <v>91</v>
      </c>
      <c r="B64">
        <v>31028798</v>
      </c>
      <c r="C64">
        <v>31028789</v>
      </c>
      <c r="D64">
        <v>29149520</v>
      </c>
      <c r="E64">
        <v>1</v>
      </c>
      <c r="F64">
        <v>1</v>
      </c>
      <c r="G64">
        <v>1</v>
      </c>
      <c r="H64">
        <v>2</v>
      </c>
      <c r="I64" t="s">
        <v>790</v>
      </c>
      <c r="J64" t="s">
        <v>791</v>
      </c>
      <c r="K64" t="s">
        <v>792</v>
      </c>
      <c r="L64">
        <v>1368</v>
      </c>
      <c r="N64">
        <v>1011</v>
      </c>
      <c r="O64" t="s">
        <v>780</v>
      </c>
      <c r="P64" t="s">
        <v>780</v>
      </c>
      <c r="Q64">
        <v>1</v>
      </c>
      <c r="X64">
        <v>0.05</v>
      </c>
      <c r="Y64">
        <v>0</v>
      </c>
      <c r="Z64">
        <v>91.62</v>
      </c>
      <c r="AA64">
        <v>0</v>
      </c>
      <c r="AB64">
        <v>0</v>
      </c>
      <c r="AC64">
        <v>0</v>
      </c>
      <c r="AD64">
        <v>1</v>
      </c>
      <c r="AE64">
        <v>0</v>
      </c>
      <c r="AF64" t="s">
        <v>126</v>
      </c>
      <c r="AG64">
        <v>7.1874999999999994E-2</v>
      </c>
      <c r="AH64">
        <v>2</v>
      </c>
      <c r="AI64">
        <v>31028792</v>
      </c>
      <c r="AJ64">
        <v>56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>
      <c r="A65">
        <f>ROW(Source!A91)</f>
        <v>91</v>
      </c>
      <c r="B65">
        <v>31028799</v>
      </c>
      <c r="C65">
        <v>31028789</v>
      </c>
      <c r="D65">
        <v>29150706</v>
      </c>
      <c r="E65">
        <v>1</v>
      </c>
      <c r="F65">
        <v>1</v>
      </c>
      <c r="G65">
        <v>1</v>
      </c>
      <c r="H65">
        <v>3</v>
      </c>
      <c r="I65" t="s">
        <v>868</v>
      </c>
      <c r="J65" t="s">
        <v>869</v>
      </c>
      <c r="K65" t="s">
        <v>870</v>
      </c>
      <c r="L65">
        <v>1348</v>
      </c>
      <c r="N65">
        <v>1009</v>
      </c>
      <c r="O65" t="s">
        <v>137</v>
      </c>
      <c r="P65" t="s">
        <v>137</v>
      </c>
      <c r="Q65">
        <v>1000</v>
      </c>
      <c r="X65">
        <v>3.7999999999999999E-2</v>
      </c>
      <c r="Y65">
        <v>11566</v>
      </c>
      <c r="Z65">
        <v>0</v>
      </c>
      <c r="AA65">
        <v>0</v>
      </c>
      <c r="AB65">
        <v>0</v>
      </c>
      <c r="AC65">
        <v>0</v>
      </c>
      <c r="AD65">
        <v>1</v>
      </c>
      <c r="AE65">
        <v>0</v>
      </c>
      <c r="AF65" t="s">
        <v>6</v>
      </c>
      <c r="AG65">
        <v>3.7999999999999999E-2</v>
      </c>
      <c r="AH65">
        <v>2</v>
      </c>
      <c r="AI65">
        <v>31028793</v>
      </c>
      <c r="AJ65">
        <v>57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>
      <c r="A66">
        <f>ROW(Source!A91)</f>
        <v>91</v>
      </c>
      <c r="B66">
        <v>31028800</v>
      </c>
      <c r="C66">
        <v>31028789</v>
      </c>
      <c r="D66">
        <v>29152014</v>
      </c>
      <c r="E66">
        <v>1</v>
      </c>
      <c r="F66">
        <v>1</v>
      </c>
      <c r="G66">
        <v>1</v>
      </c>
      <c r="H66">
        <v>3</v>
      </c>
      <c r="I66" t="s">
        <v>838</v>
      </c>
      <c r="J66" t="s">
        <v>839</v>
      </c>
      <c r="K66" t="s">
        <v>840</v>
      </c>
      <c r="L66">
        <v>1346</v>
      </c>
      <c r="N66">
        <v>1009</v>
      </c>
      <c r="O66" t="s">
        <v>118</v>
      </c>
      <c r="P66" t="s">
        <v>118</v>
      </c>
      <c r="Q66">
        <v>1</v>
      </c>
      <c r="X66">
        <v>0.01</v>
      </c>
      <c r="Y66">
        <v>1.94</v>
      </c>
      <c r="Z66">
        <v>0</v>
      </c>
      <c r="AA66">
        <v>0</v>
      </c>
      <c r="AB66">
        <v>0</v>
      </c>
      <c r="AC66">
        <v>0</v>
      </c>
      <c r="AD66">
        <v>1</v>
      </c>
      <c r="AE66">
        <v>0</v>
      </c>
      <c r="AF66" t="s">
        <v>6</v>
      </c>
      <c r="AG66">
        <v>0.01</v>
      </c>
      <c r="AH66">
        <v>2</v>
      </c>
      <c r="AI66">
        <v>31028794</v>
      </c>
      <c r="AJ66">
        <v>58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>
      <c r="A67">
        <f>ROW(Source!A91)</f>
        <v>91</v>
      </c>
      <c r="B67">
        <v>31028801</v>
      </c>
      <c r="C67">
        <v>31028789</v>
      </c>
      <c r="D67">
        <v>29186566</v>
      </c>
      <c r="E67">
        <v>1</v>
      </c>
      <c r="F67">
        <v>1</v>
      </c>
      <c r="G67">
        <v>1</v>
      </c>
      <c r="H67">
        <v>3</v>
      </c>
      <c r="I67" t="s">
        <v>107</v>
      </c>
      <c r="J67" t="s">
        <v>110</v>
      </c>
      <c r="K67" t="s">
        <v>108</v>
      </c>
      <c r="L67">
        <v>1339</v>
      </c>
      <c r="N67">
        <v>1007</v>
      </c>
      <c r="O67" t="s">
        <v>109</v>
      </c>
      <c r="P67" t="s">
        <v>109</v>
      </c>
      <c r="Q67">
        <v>1</v>
      </c>
      <c r="X67">
        <v>0.06</v>
      </c>
      <c r="Y67">
        <v>570.03</v>
      </c>
      <c r="Z67">
        <v>0</v>
      </c>
      <c r="AA67">
        <v>0</v>
      </c>
      <c r="AB67">
        <v>0</v>
      </c>
      <c r="AC67">
        <v>0</v>
      </c>
      <c r="AD67">
        <v>1</v>
      </c>
      <c r="AE67">
        <v>0</v>
      </c>
      <c r="AF67" t="s">
        <v>6</v>
      </c>
      <c r="AG67">
        <v>0.06</v>
      </c>
      <c r="AH67">
        <v>3</v>
      </c>
      <c r="AI67">
        <v>-1</v>
      </c>
      <c r="AJ67" t="s">
        <v>6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>
      <c r="A68">
        <f>ROW(Source!A91)</f>
        <v>91</v>
      </c>
      <c r="B68">
        <v>31028802</v>
      </c>
      <c r="C68">
        <v>31028789</v>
      </c>
      <c r="D68">
        <v>29195057</v>
      </c>
      <c r="E68">
        <v>1</v>
      </c>
      <c r="F68">
        <v>1</v>
      </c>
      <c r="G68">
        <v>1</v>
      </c>
      <c r="H68">
        <v>3</v>
      </c>
      <c r="I68" t="s">
        <v>871</v>
      </c>
      <c r="J68" t="s">
        <v>872</v>
      </c>
      <c r="K68" t="s">
        <v>873</v>
      </c>
      <c r="L68">
        <v>1339</v>
      </c>
      <c r="N68">
        <v>1007</v>
      </c>
      <c r="O68" t="s">
        <v>109</v>
      </c>
      <c r="P68" t="s">
        <v>109</v>
      </c>
      <c r="Q68">
        <v>1</v>
      </c>
      <c r="X68">
        <v>2.9999999999999997E-4</v>
      </c>
      <c r="Y68">
        <v>74.58</v>
      </c>
      <c r="Z68">
        <v>0</v>
      </c>
      <c r="AA68">
        <v>0</v>
      </c>
      <c r="AB68">
        <v>0</v>
      </c>
      <c r="AC68">
        <v>0</v>
      </c>
      <c r="AD68">
        <v>1</v>
      </c>
      <c r="AE68">
        <v>0</v>
      </c>
      <c r="AF68" t="s">
        <v>6</v>
      </c>
      <c r="AG68">
        <v>2.9999999999999997E-4</v>
      </c>
      <c r="AH68">
        <v>2</v>
      </c>
      <c r="AI68">
        <v>31028795</v>
      </c>
      <c r="AJ68">
        <v>59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>
      <c r="A69">
        <f>ROW(Source!A95)</f>
        <v>95</v>
      </c>
      <c r="B69">
        <v>31028811</v>
      </c>
      <c r="C69">
        <v>31028806</v>
      </c>
      <c r="D69">
        <v>29084589</v>
      </c>
      <c r="E69">
        <v>1</v>
      </c>
      <c r="F69">
        <v>1</v>
      </c>
      <c r="G69">
        <v>1</v>
      </c>
      <c r="H69">
        <v>1</v>
      </c>
      <c r="I69" t="s">
        <v>771</v>
      </c>
      <c r="J69" t="s">
        <v>6</v>
      </c>
      <c r="K69" t="s">
        <v>772</v>
      </c>
      <c r="L69">
        <v>1369</v>
      </c>
      <c r="N69">
        <v>1013</v>
      </c>
      <c r="O69" t="s">
        <v>773</v>
      </c>
      <c r="P69" t="s">
        <v>773</v>
      </c>
      <c r="Q69">
        <v>1</v>
      </c>
      <c r="X69">
        <v>8.24</v>
      </c>
      <c r="Y69">
        <v>0</v>
      </c>
      <c r="Z69">
        <v>0</v>
      </c>
      <c r="AA69">
        <v>0</v>
      </c>
      <c r="AB69">
        <v>8.5500000000000007</v>
      </c>
      <c r="AC69">
        <v>0</v>
      </c>
      <c r="AD69">
        <v>1</v>
      </c>
      <c r="AE69">
        <v>1</v>
      </c>
      <c r="AF69" t="s">
        <v>36</v>
      </c>
      <c r="AG69">
        <v>9.4759999999999991</v>
      </c>
      <c r="AH69">
        <v>2</v>
      </c>
      <c r="AI69">
        <v>31028807</v>
      </c>
      <c r="AJ69">
        <v>60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>
      <c r="A70">
        <f>ROW(Source!A95)</f>
        <v>95</v>
      </c>
      <c r="B70">
        <v>31028812</v>
      </c>
      <c r="C70">
        <v>31028806</v>
      </c>
      <c r="D70">
        <v>29084573</v>
      </c>
      <c r="E70">
        <v>1</v>
      </c>
      <c r="F70">
        <v>1</v>
      </c>
      <c r="G70">
        <v>1</v>
      </c>
      <c r="H70">
        <v>1</v>
      </c>
      <c r="I70" t="s">
        <v>774</v>
      </c>
      <c r="J70" t="s">
        <v>6</v>
      </c>
      <c r="K70" t="s">
        <v>775</v>
      </c>
      <c r="L70">
        <v>608254</v>
      </c>
      <c r="N70">
        <v>1013</v>
      </c>
      <c r="O70" t="s">
        <v>776</v>
      </c>
      <c r="P70" t="s">
        <v>776</v>
      </c>
      <c r="Q70">
        <v>1</v>
      </c>
      <c r="X70">
        <v>1.1499999999999999</v>
      </c>
      <c r="Y70">
        <v>0</v>
      </c>
      <c r="Z70">
        <v>0</v>
      </c>
      <c r="AA70">
        <v>0</v>
      </c>
      <c r="AB70">
        <v>0</v>
      </c>
      <c r="AC70">
        <v>0</v>
      </c>
      <c r="AD70">
        <v>1</v>
      </c>
      <c r="AE70">
        <v>2</v>
      </c>
      <c r="AF70" t="s">
        <v>36</v>
      </c>
      <c r="AG70">
        <v>1.3224999999999998</v>
      </c>
      <c r="AH70">
        <v>2</v>
      </c>
      <c r="AI70">
        <v>31028808</v>
      </c>
      <c r="AJ70">
        <v>61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>
      <c r="A71">
        <f>ROW(Source!A95)</f>
        <v>95</v>
      </c>
      <c r="B71">
        <v>31028813</v>
      </c>
      <c r="C71">
        <v>31028806</v>
      </c>
      <c r="D71">
        <v>29147843</v>
      </c>
      <c r="E71">
        <v>1</v>
      </c>
      <c r="F71">
        <v>1</v>
      </c>
      <c r="G71">
        <v>1</v>
      </c>
      <c r="H71">
        <v>2</v>
      </c>
      <c r="I71" t="s">
        <v>874</v>
      </c>
      <c r="J71" t="s">
        <v>875</v>
      </c>
      <c r="K71" t="s">
        <v>876</v>
      </c>
      <c r="L71">
        <v>1368</v>
      </c>
      <c r="N71">
        <v>1011</v>
      </c>
      <c r="O71" t="s">
        <v>780</v>
      </c>
      <c r="P71" t="s">
        <v>780</v>
      </c>
      <c r="Q71">
        <v>1</v>
      </c>
      <c r="X71">
        <v>1.1499999999999999</v>
      </c>
      <c r="Y71">
        <v>0</v>
      </c>
      <c r="Z71">
        <v>87.11</v>
      </c>
      <c r="AA71">
        <v>9.7100000000000009</v>
      </c>
      <c r="AB71">
        <v>0</v>
      </c>
      <c r="AC71">
        <v>0</v>
      </c>
      <c r="AD71">
        <v>1</v>
      </c>
      <c r="AE71">
        <v>0</v>
      </c>
      <c r="AF71" t="s">
        <v>36</v>
      </c>
      <c r="AG71">
        <v>1.3224999999999998</v>
      </c>
      <c r="AH71">
        <v>2</v>
      </c>
      <c r="AI71">
        <v>31028809</v>
      </c>
      <c r="AJ71">
        <v>62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>
      <c r="A72">
        <f>ROW(Source!A95)</f>
        <v>95</v>
      </c>
      <c r="B72">
        <v>31028814</v>
      </c>
      <c r="C72">
        <v>31028806</v>
      </c>
      <c r="D72">
        <v>29149208</v>
      </c>
      <c r="E72">
        <v>1</v>
      </c>
      <c r="F72">
        <v>1</v>
      </c>
      <c r="G72">
        <v>1</v>
      </c>
      <c r="H72">
        <v>2</v>
      </c>
      <c r="I72" t="s">
        <v>877</v>
      </c>
      <c r="J72" t="s">
        <v>878</v>
      </c>
      <c r="K72" t="s">
        <v>879</v>
      </c>
      <c r="L72">
        <v>1368</v>
      </c>
      <c r="N72">
        <v>1011</v>
      </c>
      <c r="O72" t="s">
        <v>780</v>
      </c>
      <c r="P72" t="s">
        <v>780</v>
      </c>
      <c r="Q72">
        <v>1</v>
      </c>
      <c r="X72">
        <v>2.2999999999999998</v>
      </c>
      <c r="Y72">
        <v>0</v>
      </c>
      <c r="Z72">
        <v>1.53</v>
      </c>
      <c r="AA72">
        <v>0</v>
      </c>
      <c r="AB72">
        <v>0</v>
      </c>
      <c r="AC72">
        <v>0</v>
      </c>
      <c r="AD72">
        <v>1</v>
      </c>
      <c r="AE72">
        <v>0</v>
      </c>
      <c r="AF72" t="s">
        <v>36</v>
      </c>
      <c r="AG72">
        <v>2.6449999999999996</v>
      </c>
      <c r="AH72">
        <v>2</v>
      </c>
      <c r="AI72">
        <v>31028810</v>
      </c>
      <c r="AJ72">
        <v>63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>
      <c r="A73">
        <f>ROW(Source!A96)</f>
        <v>96</v>
      </c>
      <c r="B73">
        <v>31028821</v>
      </c>
      <c r="C73">
        <v>31028815</v>
      </c>
      <c r="D73">
        <v>29084581</v>
      </c>
      <c r="E73">
        <v>1</v>
      </c>
      <c r="F73">
        <v>1</v>
      </c>
      <c r="G73">
        <v>1</v>
      </c>
      <c r="H73">
        <v>1</v>
      </c>
      <c r="I73" t="s">
        <v>880</v>
      </c>
      <c r="J73" t="s">
        <v>6</v>
      </c>
      <c r="K73" t="s">
        <v>881</v>
      </c>
      <c r="L73">
        <v>1369</v>
      </c>
      <c r="N73">
        <v>1013</v>
      </c>
      <c r="O73" t="s">
        <v>773</v>
      </c>
      <c r="P73" t="s">
        <v>773</v>
      </c>
      <c r="Q73">
        <v>1</v>
      </c>
      <c r="X73">
        <v>5.4</v>
      </c>
      <c r="Y73">
        <v>0</v>
      </c>
      <c r="Z73">
        <v>0</v>
      </c>
      <c r="AA73">
        <v>0</v>
      </c>
      <c r="AB73">
        <v>8.02</v>
      </c>
      <c r="AC73">
        <v>0</v>
      </c>
      <c r="AD73">
        <v>1</v>
      </c>
      <c r="AE73">
        <v>1</v>
      </c>
      <c r="AF73" t="s">
        <v>127</v>
      </c>
      <c r="AG73">
        <v>7.1414999999999997</v>
      </c>
      <c r="AH73">
        <v>2</v>
      </c>
      <c r="AI73">
        <v>31028816</v>
      </c>
      <c r="AJ73">
        <v>64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>
      <c r="A74">
        <f>ROW(Source!A96)</f>
        <v>96</v>
      </c>
      <c r="B74">
        <v>31028822</v>
      </c>
      <c r="C74">
        <v>31028815</v>
      </c>
      <c r="D74">
        <v>29084573</v>
      </c>
      <c r="E74">
        <v>1</v>
      </c>
      <c r="F74">
        <v>1</v>
      </c>
      <c r="G74">
        <v>1</v>
      </c>
      <c r="H74">
        <v>1</v>
      </c>
      <c r="I74" t="s">
        <v>774</v>
      </c>
      <c r="J74" t="s">
        <v>6</v>
      </c>
      <c r="K74" t="s">
        <v>775</v>
      </c>
      <c r="L74">
        <v>608254</v>
      </c>
      <c r="N74">
        <v>1013</v>
      </c>
      <c r="O74" t="s">
        <v>776</v>
      </c>
      <c r="P74" t="s">
        <v>776</v>
      </c>
      <c r="Q74">
        <v>1</v>
      </c>
      <c r="X74">
        <v>0.4</v>
      </c>
      <c r="Y74">
        <v>0</v>
      </c>
      <c r="Z74">
        <v>0</v>
      </c>
      <c r="AA74">
        <v>0</v>
      </c>
      <c r="AB74">
        <v>0</v>
      </c>
      <c r="AC74">
        <v>0</v>
      </c>
      <c r="AD74">
        <v>1</v>
      </c>
      <c r="AE74">
        <v>2</v>
      </c>
      <c r="AF74" t="s">
        <v>126</v>
      </c>
      <c r="AG74">
        <v>0.57499999999999996</v>
      </c>
      <c r="AH74">
        <v>2</v>
      </c>
      <c r="AI74">
        <v>31028817</v>
      </c>
      <c r="AJ74">
        <v>65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>
      <c r="A75">
        <f>ROW(Source!A96)</f>
        <v>96</v>
      </c>
      <c r="B75">
        <v>31028823</v>
      </c>
      <c r="C75">
        <v>31028815</v>
      </c>
      <c r="D75">
        <v>29147520</v>
      </c>
      <c r="E75">
        <v>1</v>
      </c>
      <c r="F75">
        <v>1</v>
      </c>
      <c r="G75">
        <v>1</v>
      </c>
      <c r="H75">
        <v>2</v>
      </c>
      <c r="I75" t="s">
        <v>777</v>
      </c>
      <c r="J75" t="s">
        <v>778</v>
      </c>
      <c r="K75" t="s">
        <v>779</v>
      </c>
      <c r="L75">
        <v>1368</v>
      </c>
      <c r="N75">
        <v>1011</v>
      </c>
      <c r="O75" t="s">
        <v>780</v>
      </c>
      <c r="P75" t="s">
        <v>780</v>
      </c>
      <c r="Q75">
        <v>1</v>
      </c>
      <c r="X75">
        <v>0.4</v>
      </c>
      <c r="Y75">
        <v>0</v>
      </c>
      <c r="Z75">
        <v>85.93</v>
      </c>
      <c r="AA75">
        <v>13.03</v>
      </c>
      <c r="AB75">
        <v>0</v>
      </c>
      <c r="AC75">
        <v>0</v>
      </c>
      <c r="AD75">
        <v>1</v>
      </c>
      <c r="AE75">
        <v>0</v>
      </c>
      <c r="AF75" t="s">
        <v>126</v>
      </c>
      <c r="AG75">
        <v>0.57499999999999996</v>
      </c>
      <c r="AH75">
        <v>2</v>
      </c>
      <c r="AI75">
        <v>31028818</v>
      </c>
      <c r="AJ75">
        <v>66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>
      <c r="A76">
        <f>ROW(Source!A96)</f>
        <v>96</v>
      </c>
      <c r="B76">
        <v>31028824</v>
      </c>
      <c r="C76">
        <v>31028815</v>
      </c>
      <c r="D76">
        <v>29158138</v>
      </c>
      <c r="E76">
        <v>1</v>
      </c>
      <c r="F76">
        <v>1</v>
      </c>
      <c r="G76">
        <v>1</v>
      </c>
      <c r="H76">
        <v>3</v>
      </c>
      <c r="I76" t="s">
        <v>882</v>
      </c>
      <c r="J76" t="s">
        <v>883</v>
      </c>
      <c r="K76" t="s">
        <v>884</v>
      </c>
      <c r="L76">
        <v>1339</v>
      </c>
      <c r="N76">
        <v>1007</v>
      </c>
      <c r="O76" t="s">
        <v>109</v>
      </c>
      <c r="P76" t="s">
        <v>109</v>
      </c>
      <c r="Q76">
        <v>1</v>
      </c>
      <c r="X76">
        <v>5.0000000000000001E-4</v>
      </c>
      <c r="Y76">
        <v>803.98</v>
      </c>
      <c r="Z76">
        <v>0</v>
      </c>
      <c r="AA76">
        <v>0</v>
      </c>
      <c r="AB76">
        <v>0</v>
      </c>
      <c r="AC76">
        <v>0</v>
      </c>
      <c r="AD76">
        <v>1</v>
      </c>
      <c r="AE76">
        <v>0</v>
      </c>
      <c r="AF76" t="s">
        <v>6</v>
      </c>
      <c r="AG76">
        <v>5.0000000000000001E-4</v>
      </c>
      <c r="AH76">
        <v>2</v>
      </c>
      <c r="AI76">
        <v>31028819</v>
      </c>
      <c r="AJ76">
        <v>67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>
      <c r="A77">
        <f>ROW(Source!A96)</f>
        <v>96</v>
      </c>
      <c r="B77">
        <v>31028825</v>
      </c>
      <c r="C77">
        <v>31028815</v>
      </c>
      <c r="D77">
        <v>29186496</v>
      </c>
      <c r="E77">
        <v>1</v>
      </c>
      <c r="F77">
        <v>1</v>
      </c>
      <c r="G77">
        <v>1</v>
      </c>
      <c r="H77">
        <v>3</v>
      </c>
      <c r="I77" t="s">
        <v>215</v>
      </c>
      <c r="J77" t="s">
        <v>217</v>
      </c>
      <c r="K77" t="s">
        <v>216</v>
      </c>
      <c r="L77">
        <v>1339</v>
      </c>
      <c r="N77">
        <v>1007</v>
      </c>
      <c r="O77" t="s">
        <v>109</v>
      </c>
      <c r="P77" t="s">
        <v>109</v>
      </c>
      <c r="Q77">
        <v>1</v>
      </c>
      <c r="X77">
        <v>0.24</v>
      </c>
      <c r="Y77">
        <v>399.94</v>
      </c>
      <c r="Z77">
        <v>0</v>
      </c>
      <c r="AA77">
        <v>0</v>
      </c>
      <c r="AB77">
        <v>0</v>
      </c>
      <c r="AC77">
        <v>0</v>
      </c>
      <c r="AD77">
        <v>1</v>
      </c>
      <c r="AE77">
        <v>0</v>
      </c>
      <c r="AF77" t="s">
        <v>6</v>
      </c>
      <c r="AG77">
        <v>0.24</v>
      </c>
      <c r="AH77">
        <v>3</v>
      </c>
      <c r="AI77">
        <v>-1</v>
      </c>
      <c r="AJ77" t="s">
        <v>6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>
      <c r="A78">
        <f>ROW(Source!A96)</f>
        <v>96</v>
      </c>
      <c r="B78">
        <v>31028826</v>
      </c>
      <c r="C78">
        <v>31028815</v>
      </c>
      <c r="D78">
        <v>29194116</v>
      </c>
      <c r="E78">
        <v>1</v>
      </c>
      <c r="F78">
        <v>1</v>
      </c>
      <c r="G78">
        <v>1</v>
      </c>
      <c r="H78">
        <v>3</v>
      </c>
      <c r="I78" t="s">
        <v>153</v>
      </c>
      <c r="J78" t="s">
        <v>156</v>
      </c>
      <c r="K78" t="s">
        <v>154</v>
      </c>
      <c r="L78">
        <v>1356</v>
      </c>
      <c r="N78">
        <v>1010</v>
      </c>
      <c r="O78" t="s">
        <v>155</v>
      </c>
      <c r="P78" t="s">
        <v>155</v>
      </c>
      <c r="Q78">
        <v>1000</v>
      </c>
      <c r="X78">
        <v>0.39400000000000002</v>
      </c>
      <c r="Y78">
        <v>1662.7</v>
      </c>
      <c r="Z78">
        <v>0</v>
      </c>
      <c r="AA78">
        <v>0</v>
      </c>
      <c r="AB78">
        <v>0</v>
      </c>
      <c r="AC78">
        <v>0</v>
      </c>
      <c r="AD78">
        <v>1</v>
      </c>
      <c r="AE78">
        <v>0</v>
      </c>
      <c r="AF78" t="s">
        <v>6</v>
      </c>
      <c r="AG78">
        <v>0.39400000000000002</v>
      </c>
      <c r="AH78">
        <v>3</v>
      </c>
      <c r="AI78">
        <v>-1</v>
      </c>
      <c r="AJ78" t="s">
        <v>6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>
      <c r="A79">
        <f>ROW(Source!A96)</f>
        <v>96</v>
      </c>
      <c r="B79">
        <v>31028827</v>
      </c>
      <c r="C79">
        <v>31028815</v>
      </c>
      <c r="D79">
        <v>29195171</v>
      </c>
      <c r="E79">
        <v>1</v>
      </c>
      <c r="F79">
        <v>1</v>
      </c>
      <c r="G79">
        <v>1</v>
      </c>
      <c r="H79">
        <v>3</v>
      </c>
      <c r="I79" t="s">
        <v>830</v>
      </c>
      <c r="J79" t="s">
        <v>831</v>
      </c>
      <c r="K79" t="s">
        <v>832</v>
      </c>
      <c r="L79">
        <v>1339</v>
      </c>
      <c r="N79">
        <v>1007</v>
      </c>
      <c r="O79" t="s">
        <v>109</v>
      </c>
      <c r="P79" t="s">
        <v>109</v>
      </c>
      <c r="Q79">
        <v>1</v>
      </c>
      <c r="X79">
        <v>0.44</v>
      </c>
      <c r="Y79">
        <v>2.4500000000000002</v>
      </c>
      <c r="Z79">
        <v>0</v>
      </c>
      <c r="AA79">
        <v>0</v>
      </c>
      <c r="AB79">
        <v>0</v>
      </c>
      <c r="AC79">
        <v>0</v>
      </c>
      <c r="AD79">
        <v>1</v>
      </c>
      <c r="AE79">
        <v>0</v>
      </c>
      <c r="AF79" t="s">
        <v>6</v>
      </c>
      <c r="AG79">
        <v>0.44</v>
      </c>
      <c r="AH79">
        <v>2</v>
      </c>
      <c r="AI79">
        <v>31028820</v>
      </c>
      <c r="AJ79">
        <v>68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>
      <c r="A80">
        <f>ROW(Source!A101)</f>
        <v>101</v>
      </c>
      <c r="B80">
        <v>31028842</v>
      </c>
      <c r="C80">
        <v>31028832</v>
      </c>
      <c r="D80">
        <v>29084579</v>
      </c>
      <c r="E80">
        <v>1</v>
      </c>
      <c r="F80">
        <v>1</v>
      </c>
      <c r="G80">
        <v>1</v>
      </c>
      <c r="H80">
        <v>1</v>
      </c>
      <c r="I80" t="s">
        <v>849</v>
      </c>
      <c r="J80" t="s">
        <v>6</v>
      </c>
      <c r="K80" t="s">
        <v>850</v>
      </c>
      <c r="L80">
        <v>1369</v>
      </c>
      <c r="N80">
        <v>1013</v>
      </c>
      <c r="O80" t="s">
        <v>773</v>
      </c>
      <c r="P80" t="s">
        <v>773</v>
      </c>
      <c r="Q80">
        <v>1</v>
      </c>
      <c r="X80">
        <v>39.26</v>
      </c>
      <c r="Y80">
        <v>0</v>
      </c>
      <c r="Z80">
        <v>0</v>
      </c>
      <c r="AA80">
        <v>0</v>
      </c>
      <c r="AB80">
        <v>9.2899999999999991</v>
      </c>
      <c r="AC80">
        <v>0</v>
      </c>
      <c r="AD80">
        <v>1</v>
      </c>
      <c r="AE80">
        <v>1</v>
      </c>
      <c r="AF80" t="s">
        <v>36</v>
      </c>
      <c r="AG80">
        <v>45.148999999999994</v>
      </c>
      <c r="AH80">
        <v>2</v>
      </c>
      <c r="AI80">
        <v>31028833</v>
      </c>
      <c r="AJ80">
        <v>69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>
      <c r="A81">
        <f>ROW(Source!A101)</f>
        <v>101</v>
      </c>
      <c r="B81">
        <v>31028843</v>
      </c>
      <c r="C81">
        <v>31028832</v>
      </c>
      <c r="D81">
        <v>29084573</v>
      </c>
      <c r="E81">
        <v>1</v>
      </c>
      <c r="F81">
        <v>1</v>
      </c>
      <c r="G81">
        <v>1</v>
      </c>
      <c r="H81">
        <v>1</v>
      </c>
      <c r="I81" t="s">
        <v>774</v>
      </c>
      <c r="J81" t="s">
        <v>6</v>
      </c>
      <c r="K81" t="s">
        <v>775</v>
      </c>
      <c r="L81">
        <v>608254</v>
      </c>
      <c r="N81">
        <v>1013</v>
      </c>
      <c r="O81" t="s">
        <v>776</v>
      </c>
      <c r="P81" t="s">
        <v>776</v>
      </c>
      <c r="Q81">
        <v>1</v>
      </c>
      <c r="X81">
        <v>3.95</v>
      </c>
      <c r="Y81">
        <v>0</v>
      </c>
      <c r="Z81">
        <v>0</v>
      </c>
      <c r="AA81">
        <v>0</v>
      </c>
      <c r="AB81">
        <v>0</v>
      </c>
      <c r="AC81">
        <v>0</v>
      </c>
      <c r="AD81">
        <v>1</v>
      </c>
      <c r="AE81">
        <v>2</v>
      </c>
      <c r="AF81" t="s">
        <v>36</v>
      </c>
      <c r="AG81">
        <v>4.5424999999999995</v>
      </c>
      <c r="AH81">
        <v>2</v>
      </c>
      <c r="AI81">
        <v>31028834</v>
      </c>
      <c r="AJ81">
        <v>70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>
      <c r="A82">
        <f>ROW(Source!A101)</f>
        <v>101</v>
      </c>
      <c r="B82">
        <v>31028844</v>
      </c>
      <c r="C82">
        <v>31028832</v>
      </c>
      <c r="D82">
        <v>29147732</v>
      </c>
      <c r="E82">
        <v>1</v>
      </c>
      <c r="F82">
        <v>1</v>
      </c>
      <c r="G82">
        <v>1</v>
      </c>
      <c r="H82">
        <v>2</v>
      </c>
      <c r="I82" t="s">
        <v>846</v>
      </c>
      <c r="J82" t="s">
        <v>847</v>
      </c>
      <c r="K82" t="s">
        <v>848</v>
      </c>
      <c r="L82">
        <v>1368</v>
      </c>
      <c r="N82">
        <v>1011</v>
      </c>
      <c r="O82" t="s">
        <v>780</v>
      </c>
      <c r="P82" t="s">
        <v>780</v>
      </c>
      <c r="Q82">
        <v>1</v>
      </c>
      <c r="X82">
        <v>0.77</v>
      </c>
      <c r="Y82">
        <v>0</v>
      </c>
      <c r="Z82">
        <v>30.85</v>
      </c>
      <c r="AA82">
        <v>13.03</v>
      </c>
      <c r="AB82">
        <v>0</v>
      </c>
      <c r="AC82">
        <v>0</v>
      </c>
      <c r="AD82">
        <v>1</v>
      </c>
      <c r="AE82">
        <v>0</v>
      </c>
      <c r="AF82" t="s">
        <v>36</v>
      </c>
      <c r="AG82">
        <v>0.88549999999999995</v>
      </c>
      <c r="AH82">
        <v>2</v>
      </c>
      <c r="AI82">
        <v>31028835</v>
      </c>
      <c r="AJ82">
        <v>71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>
      <c r="A83">
        <f>ROW(Source!A101)</f>
        <v>101</v>
      </c>
      <c r="B83">
        <v>31028845</v>
      </c>
      <c r="C83">
        <v>31028832</v>
      </c>
      <c r="D83">
        <v>29147843</v>
      </c>
      <c r="E83">
        <v>1</v>
      </c>
      <c r="F83">
        <v>1</v>
      </c>
      <c r="G83">
        <v>1</v>
      </c>
      <c r="H83">
        <v>2</v>
      </c>
      <c r="I83" t="s">
        <v>874</v>
      </c>
      <c r="J83" t="s">
        <v>875</v>
      </c>
      <c r="K83" t="s">
        <v>876</v>
      </c>
      <c r="L83">
        <v>1368</v>
      </c>
      <c r="N83">
        <v>1011</v>
      </c>
      <c r="O83" t="s">
        <v>780</v>
      </c>
      <c r="P83" t="s">
        <v>780</v>
      </c>
      <c r="Q83">
        <v>1</v>
      </c>
      <c r="X83">
        <v>3.18</v>
      </c>
      <c r="Y83">
        <v>0</v>
      </c>
      <c r="Z83">
        <v>87.11</v>
      </c>
      <c r="AA83">
        <v>9.7100000000000009</v>
      </c>
      <c r="AB83">
        <v>0</v>
      </c>
      <c r="AC83">
        <v>0</v>
      </c>
      <c r="AD83">
        <v>1</v>
      </c>
      <c r="AE83">
        <v>0</v>
      </c>
      <c r="AF83" t="s">
        <v>36</v>
      </c>
      <c r="AG83">
        <v>3.657</v>
      </c>
      <c r="AH83">
        <v>2</v>
      </c>
      <c r="AI83">
        <v>31028836</v>
      </c>
      <c r="AJ83">
        <v>72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>
      <c r="A84">
        <f>ROW(Source!A101)</f>
        <v>101</v>
      </c>
      <c r="B84">
        <v>31028846</v>
      </c>
      <c r="C84">
        <v>31028832</v>
      </c>
      <c r="D84">
        <v>29149208</v>
      </c>
      <c r="E84">
        <v>1</v>
      </c>
      <c r="F84">
        <v>1</v>
      </c>
      <c r="G84">
        <v>1</v>
      </c>
      <c r="H84">
        <v>2</v>
      </c>
      <c r="I84" t="s">
        <v>877</v>
      </c>
      <c r="J84" t="s">
        <v>878</v>
      </c>
      <c r="K84" t="s">
        <v>879</v>
      </c>
      <c r="L84">
        <v>1368</v>
      </c>
      <c r="N84">
        <v>1011</v>
      </c>
      <c r="O84" t="s">
        <v>780</v>
      </c>
      <c r="P84" t="s">
        <v>780</v>
      </c>
      <c r="Q84">
        <v>1</v>
      </c>
      <c r="X84">
        <v>3.18</v>
      </c>
      <c r="Y84">
        <v>0</v>
      </c>
      <c r="Z84">
        <v>1.53</v>
      </c>
      <c r="AA84">
        <v>0</v>
      </c>
      <c r="AB84">
        <v>0</v>
      </c>
      <c r="AC84">
        <v>0</v>
      </c>
      <c r="AD84">
        <v>1</v>
      </c>
      <c r="AE84">
        <v>0</v>
      </c>
      <c r="AF84" t="s">
        <v>36</v>
      </c>
      <c r="AG84">
        <v>3.657</v>
      </c>
      <c r="AH84">
        <v>2</v>
      </c>
      <c r="AI84">
        <v>31028837</v>
      </c>
      <c r="AJ84">
        <v>73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>
      <c r="A85">
        <f>ROW(Source!A101)</f>
        <v>101</v>
      </c>
      <c r="B85">
        <v>31028847</v>
      </c>
      <c r="C85">
        <v>31028832</v>
      </c>
      <c r="D85">
        <v>29152054</v>
      </c>
      <c r="E85">
        <v>1</v>
      </c>
      <c r="F85">
        <v>1</v>
      </c>
      <c r="G85">
        <v>1</v>
      </c>
      <c r="H85">
        <v>3</v>
      </c>
      <c r="I85" t="s">
        <v>805</v>
      </c>
      <c r="J85" t="s">
        <v>806</v>
      </c>
      <c r="K85" t="s">
        <v>807</v>
      </c>
      <c r="L85">
        <v>1348</v>
      </c>
      <c r="N85">
        <v>1009</v>
      </c>
      <c r="O85" t="s">
        <v>137</v>
      </c>
      <c r="P85" t="s">
        <v>137</v>
      </c>
      <c r="Q85">
        <v>1000</v>
      </c>
      <c r="X85">
        <v>1E-3</v>
      </c>
      <c r="Y85">
        <v>10183</v>
      </c>
      <c r="Z85">
        <v>0</v>
      </c>
      <c r="AA85">
        <v>0</v>
      </c>
      <c r="AB85">
        <v>0</v>
      </c>
      <c r="AC85">
        <v>0</v>
      </c>
      <c r="AD85">
        <v>1</v>
      </c>
      <c r="AE85">
        <v>0</v>
      </c>
      <c r="AF85" t="s">
        <v>6</v>
      </c>
      <c r="AG85">
        <v>1E-3</v>
      </c>
      <c r="AH85">
        <v>2</v>
      </c>
      <c r="AI85">
        <v>31028838</v>
      </c>
      <c r="AJ85">
        <v>74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>
      <c r="A86">
        <f>ROW(Source!A101)</f>
        <v>101</v>
      </c>
      <c r="B86">
        <v>31028848</v>
      </c>
      <c r="C86">
        <v>31028832</v>
      </c>
      <c r="D86">
        <v>29158120</v>
      </c>
      <c r="E86">
        <v>1</v>
      </c>
      <c r="F86">
        <v>1</v>
      </c>
      <c r="G86">
        <v>1</v>
      </c>
      <c r="H86">
        <v>3</v>
      </c>
      <c r="I86" t="s">
        <v>885</v>
      </c>
      <c r="J86" t="s">
        <v>886</v>
      </c>
      <c r="K86" t="s">
        <v>887</v>
      </c>
      <c r="L86">
        <v>1339</v>
      </c>
      <c r="N86">
        <v>1007</v>
      </c>
      <c r="O86" t="s">
        <v>109</v>
      </c>
      <c r="P86" t="s">
        <v>109</v>
      </c>
      <c r="Q86">
        <v>1</v>
      </c>
      <c r="X86">
        <v>0.04</v>
      </c>
      <c r="Y86">
        <v>439.39</v>
      </c>
      <c r="Z86">
        <v>0</v>
      </c>
      <c r="AA86">
        <v>0</v>
      </c>
      <c r="AB86">
        <v>0</v>
      </c>
      <c r="AC86">
        <v>0</v>
      </c>
      <c r="AD86">
        <v>1</v>
      </c>
      <c r="AE86">
        <v>0</v>
      </c>
      <c r="AF86" t="s">
        <v>6</v>
      </c>
      <c r="AG86">
        <v>0.04</v>
      </c>
      <c r="AH86">
        <v>2</v>
      </c>
      <c r="AI86">
        <v>31028839</v>
      </c>
      <c r="AJ86">
        <v>75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>
      <c r="A87">
        <f>ROW(Source!A101)</f>
        <v>101</v>
      </c>
      <c r="B87">
        <v>31028849</v>
      </c>
      <c r="C87">
        <v>31028832</v>
      </c>
      <c r="D87">
        <v>29158173</v>
      </c>
      <c r="E87">
        <v>1</v>
      </c>
      <c r="F87">
        <v>1</v>
      </c>
      <c r="G87">
        <v>1</v>
      </c>
      <c r="H87">
        <v>3</v>
      </c>
      <c r="I87" t="s">
        <v>888</v>
      </c>
      <c r="J87" t="s">
        <v>889</v>
      </c>
      <c r="K87" t="s">
        <v>890</v>
      </c>
      <c r="L87">
        <v>1339</v>
      </c>
      <c r="N87">
        <v>1007</v>
      </c>
      <c r="O87" t="s">
        <v>109</v>
      </c>
      <c r="P87" t="s">
        <v>109</v>
      </c>
      <c r="Q87">
        <v>1</v>
      </c>
      <c r="X87">
        <v>8.2000000000000003E-2</v>
      </c>
      <c r="Y87">
        <v>807.43</v>
      </c>
      <c r="Z87">
        <v>0</v>
      </c>
      <c r="AA87">
        <v>0</v>
      </c>
      <c r="AB87">
        <v>0</v>
      </c>
      <c r="AC87">
        <v>0</v>
      </c>
      <c r="AD87">
        <v>1</v>
      </c>
      <c r="AE87">
        <v>0</v>
      </c>
      <c r="AF87" t="s">
        <v>6</v>
      </c>
      <c r="AG87">
        <v>8.2000000000000003E-2</v>
      </c>
      <c r="AH87">
        <v>2</v>
      </c>
      <c r="AI87">
        <v>31028840</v>
      </c>
      <c r="AJ87">
        <v>76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>
      <c r="A88">
        <f>ROW(Source!A101)</f>
        <v>101</v>
      </c>
      <c r="B88">
        <v>31028850</v>
      </c>
      <c r="C88">
        <v>31028832</v>
      </c>
      <c r="D88">
        <v>29186497</v>
      </c>
      <c r="E88">
        <v>1</v>
      </c>
      <c r="F88">
        <v>1</v>
      </c>
      <c r="G88">
        <v>1</v>
      </c>
      <c r="H88">
        <v>3</v>
      </c>
      <c r="I88" t="s">
        <v>158</v>
      </c>
      <c r="J88" t="s">
        <v>160</v>
      </c>
      <c r="K88" t="s">
        <v>159</v>
      </c>
      <c r="L88">
        <v>1339</v>
      </c>
      <c r="N88">
        <v>1007</v>
      </c>
      <c r="O88" t="s">
        <v>109</v>
      </c>
      <c r="P88" t="s">
        <v>109</v>
      </c>
      <c r="Q88">
        <v>1</v>
      </c>
      <c r="X88">
        <v>0.24199999999999999</v>
      </c>
      <c r="Y88">
        <v>428.17</v>
      </c>
      <c r="Z88">
        <v>0</v>
      </c>
      <c r="AA88">
        <v>0</v>
      </c>
      <c r="AB88">
        <v>0</v>
      </c>
      <c r="AC88">
        <v>0</v>
      </c>
      <c r="AD88">
        <v>1</v>
      </c>
      <c r="AE88">
        <v>0</v>
      </c>
      <c r="AF88" t="s">
        <v>6</v>
      </c>
      <c r="AG88">
        <v>0.24199999999999999</v>
      </c>
      <c r="AH88">
        <v>3</v>
      </c>
      <c r="AI88">
        <v>-1</v>
      </c>
      <c r="AJ88" t="s">
        <v>6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>
      <c r="A89">
        <f>ROW(Source!A101)</f>
        <v>101</v>
      </c>
      <c r="B89">
        <v>31028851</v>
      </c>
      <c r="C89">
        <v>31028832</v>
      </c>
      <c r="D89">
        <v>29194116</v>
      </c>
      <c r="E89">
        <v>1</v>
      </c>
      <c r="F89">
        <v>1</v>
      </c>
      <c r="G89">
        <v>1</v>
      </c>
      <c r="H89">
        <v>3</v>
      </c>
      <c r="I89" t="s">
        <v>153</v>
      </c>
      <c r="J89" t="s">
        <v>156</v>
      </c>
      <c r="K89" t="s">
        <v>154</v>
      </c>
      <c r="L89">
        <v>1356</v>
      </c>
      <c r="N89">
        <v>1010</v>
      </c>
      <c r="O89" t="s">
        <v>155</v>
      </c>
      <c r="P89" t="s">
        <v>155</v>
      </c>
      <c r="Q89">
        <v>1000</v>
      </c>
      <c r="X89">
        <v>0.42199999999999999</v>
      </c>
      <c r="Y89">
        <v>1662.7</v>
      </c>
      <c r="Z89">
        <v>0</v>
      </c>
      <c r="AA89">
        <v>0</v>
      </c>
      <c r="AB89">
        <v>0</v>
      </c>
      <c r="AC89">
        <v>0</v>
      </c>
      <c r="AD89">
        <v>1</v>
      </c>
      <c r="AE89">
        <v>0</v>
      </c>
      <c r="AF89" t="s">
        <v>6</v>
      </c>
      <c r="AG89">
        <v>0.42199999999999999</v>
      </c>
      <c r="AH89">
        <v>3</v>
      </c>
      <c r="AI89">
        <v>-1</v>
      </c>
      <c r="AJ89" t="s">
        <v>6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>
      <c r="A90">
        <f>ROW(Source!A101)</f>
        <v>101</v>
      </c>
      <c r="B90">
        <v>31028852</v>
      </c>
      <c r="C90">
        <v>31028832</v>
      </c>
      <c r="D90">
        <v>29195171</v>
      </c>
      <c r="E90">
        <v>1</v>
      </c>
      <c r="F90">
        <v>1</v>
      </c>
      <c r="G90">
        <v>1</v>
      </c>
      <c r="H90">
        <v>3</v>
      </c>
      <c r="I90" t="s">
        <v>830</v>
      </c>
      <c r="J90" t="s">
        <v>831</v>
      </c>
      <c r="K90" t="s">
        <v>832</v>
      </c>
      <c r="L90">
        <v>1339</v>
      </c>
      <c r="N90">
        <v>1007</v>
      </c>
      <c r="O90" t="s">
        <v>109</v>
      </c>
      <c r="P90" t="s">
        <v>109</v>
      </c>
      <c r="Q90">
        <v>1</v>
      </c>
      <c r="X90">
        <v>4.7E-2</v>
      </c>
      <c r="Y90">
        <v>2.4500000000000002</v>
      </c>
      <c r="Z90">
        <v>0</v>
      </c>
      <c r="AA90">
        <v>0</v>
      </c>
      <c r="AB90">
        <v>0</v>
      </c>
      <c r="AC90">
        <v>0</v>
      </c>
      <c r="AD90">
        <v>1</v>
      </c>
      <c r="AE90">
        <v>0</v>
      </c>
      <c r="AF90" t="s">
        <v>6</v>
      </c>
      <c r="AG90">
        <v>4.7E-2</v>
      </c>
      <c r="AH90">
        <v>2</v>
      </c>
      <c r="AI90">
        <v>31028841</v>
      </c>
      <c r="AJ90">
        <v>77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>
      <c r="A91">
        <f>ROW(Source!A106)</f>
        <v>106</v>
      </c>
      <c r="B91">
        <v>31028863</v>
      </c>
      <c r="C91">
        <v>31028857</v>
      </c>
      <c r="D91">
        <v>29084581</v>
      </c>
      <c r="E91">
        <v>1</v>
      </c>
      <c r="F91">
        <v>1</v>
      </c>
      <c r="G91">
        <v>1</v>
      </c>
      <c r="H91">
        <v>1</v>
      </c>
      <c r="I91" t="s">
        <v>880</v>
      </c>
      <c r="J91" t="s">
        <v>6</v>
      </c>
      <c r="K91" t="s">
        <v>881</v>
      </c>
      <c r="L91">
        <v>1369</v>
      </c>
      <c r="N91">
        <v>1013</v>
      </c>
      <c r="O91" t="s">
        <v>773</v>
      </c>
      <c r="P91" t="s">
        <v>773</v>
      </c>
      <c r="Q91">
        <v>1</v>
      </c>
      <c r="X91">
        <v>361.5</v>
      </c>
      <c r="Y91">
        <v>0</v>
      </c>
      <c r="Z91">
        <v>0</v>
      </c>
      <c r="AA91">
        <v>0</v>
      </c>
      <c r="AB91">
        <v>8.02</v>
      </c>
      <c r="AC91">
        <v>0</v>
      </c>
      <c r="AD91">
        <v>1</v>
      </c>
      <c r="AE91">
        <v>1</v>
      </c>
      <c r="AF91" t="s">
        <v>36</v>
      </c>
      <c r="AG91">
        <v>415.72499999999997</v>
      </c>
      <c r="AH91">
        <v>2</v>
      </c>
      <c r="AI91">
        <v>31028858</v>
      </c>
      <c r="AJ91">
        <v>78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>
      <c r="A92">
        <f>ROW(Source!A106)</f>
        <v>106</v>
      </c>
      <c r="B92">
        <v>31028864</v>
      </c>
      <c r="C92">
        <v>31028857</v>
      </c>
      <c r="D92">
        <v>29084573</v>
      </c>
      <c r="E92">
        <v>1</v>
      </c>
      <c r="F92">
        <v>1</v>
      </c>
      <c r="G92">
        <v>1</v>
      </c>
      <c r="H92">
        <v>1</v>
      </c>
      <c r="I92" t="s">
        <v>774</v>
      </c>
      <c r="J92" t="s">
        <v>6</v>
      </c>
      <c r="K92" t="s">
        <v>775</v>
      </c>
      <c r="L92">
        <v>608254</v>
      </c>
      <c r="N92">
        <v>1013</v>
      </c>
      <c r="O92" t="s">
        <v>776</v>
      </c>
      <c r="P92" t="s">
        <v>776</v>
      </c>
      <c r="Q92">
        <v>1</v>
      </c>
      <c r="X92">
        <v>1</v>
      </c>
      <c r="Y92">
        <v>0</v>
      </c>
      <c r="Z92">
        <v>0</v>
      </c>
      <c r="AA92">
        <v>0</v>
      </c>
      <c r="AB92">
        <v>0</v>
      </c>
      <c r="AC92">
        <v>0</v>
      </c>
      <c r="AD92">
        <v>1</v>
      </c>
      <c r="AE92">
        <v>2</v>
      </c>
      <c r="AF92" t="s">
        <v>36</v>
      </c>
      <c r="AG92">
        <v>1.1499999999999999</v>
      </c>
      <c r="AH92">
        <v>2</v>
      </c>
      <c r="AI92">
        <v>31028859</v>
      </c>
      <c r="AJ92">
        <v>79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>
      <c r="A93">
        <f>ROW(Source!A106)</f>
        <v>106</v>
      </c>
      <c r="B93">
        <v>31028865</v>
      </c>
      <c r="C93">
        <v>31028857</v>
      </c>
      <c r="D93">
        <v>29147601</v>
      </c>
      <c r="E93">
        <v>1</v>
      </c>
      <c r="F93">
        <v>1</v>
      </c>
      <c r="G93">
        <v>1</v>
      </c>
      <c r="H93">
        <v>2</v>
      </c>
      <c r="I93" t="s">
        <v>781</v>
      </c>
      <c r="J93" t="s">
        <v>782</v>
      </c>
      <c r="K93" t="s">
        <v>783</v>
      </c>
      <c r="L93">
        <v>1368</v>
      </c>
      <c r="N93">
        <v>1011</v>
      </c>
      <c r="O93" t="s">
        <v>780</v>
      </c>
      <c r="P93" t="s">
        <v>780</v>
      </c>
      <c r="Q93">
        <v>1</v>
      </c>
      <c r="X93">
        <v>1</v>
      </c>
      <c r="Y93">
        <v>0</v>
      </c>
      <c r="Z93">
        <v>108.45</v>
      </c>
      <c r="AA93">
        <v>13.03</v>
      </c>
      <c r="AB93">
        <v>0</v>
      </c>
      <c r="AC93">
        <v>0</v>
      </c>
      <c r="AD93">
        <v>1</v>
      </c>
      <c r="AE93">
        <v>0</v>
      </c>
      <c r="AF93" t="s">
        <v>36</v>
      </c>
      <c r="AG93">
        <v>1.1499999999999999</v>
      </c>
      <c r="AH93">
        <v>2</v>
      </c>
      <c r="AI93">
        <v>31028860</v>
      </c>
      <c r="AJ93">
        <v>80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>
      <c r="A94">
        <f>ROW(Source!A106)</f>
        <v>106</v>
      </c>
      <c r="B94">
        <v>31028866</v>
      </c>
      <c r="C94">
        <v>31028857</v>
      </c>
      <c r="D94">
        <v>29186497</v>
      </c>
      <c r="E94">
        <v>1</v>
      </c>
      <c r="F94">
        <v>1</v>
      </c>
      <c r="G94">
        <v>1</v>
      </c>
      <c r="H94">
        <v>3</v>
      </c>
      <c r="I94" t="s">
        <v>158</v>
      </c>
      <c r="J94" t="s">
        <v>160</v>
      </c>
      <c r="K94" t="s">
        <v>159</v>
      </c>
      <c r="L94">
        <v>1339</v>
      </c>
      <c r="N94">
        <v>1007</v>
      </c>
      <c r="O94" t="s">
        <v>109</v>
      </c>
      <c r="P94" t="s">
        <v>109</v>
      </c>
      <c r="Q94">
        <v>1</v>
      </c>
      <c r="X94">
        <v>2.4</v>
      </c>
      <c r="Y94">
        <v>428.17</v>
      </c>
      <c r="Z94">
        <v>0</v>
      </c>
      <c r="AA94">
        <v>0</v>
      </c>
      <c r="AB94">
        <v>0</v>
      </c>
      <c r="AC94">
        <v>0</v>
      </c>
      <c r="AD94">
        <v>1</v>
      </c>
      <c r="AE94">
        <v>0</v>
      </c>
      <c r="AF94" t="s">
        <v>6</v>
      </c>
      <c r="AG94">
        <v>2.4</v>
      </c>
      <c r="AH94">
        <v>3</v>
      </c>
      <c r="AI94">
        <v>-1</v>
      </c>
      <c r="AJ94" t="s">
        <v>6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>
      <c r="A95">
        <f>ROW(Source!A106)</f>
        <v>106</v>
      </c>
      <c r="B95">
        <v>31028867</v>
      </c>
      <c r="C95">
        <v>31028857</v>
      </c>
      <c r="D95">
        <v>29194116</v>
      </c>
      <c r="E95">
        <v>1</v>
      </c>
      <c r="F95">
        <v>1</v>
      </c>
      <c r="G95">
        <v>1</v>
      </c>
      <c r="H95">
        <v>3</v>
      </c>
      <c r="I95" t="s">
        <v>153</v>
      </c>
      <c r="J95" t="s">
        <v>156</v>
      </c>
      <c r="K95" t="s">
        <v>154</v>
      </c>
      <c r="L95">
        <v>1356</v>
      </c>
      <c r="N95">
        <v>1010</v>
      </c>
      <c r="O95" t="s">
        <v>155</v>
      </c>
      <c r="P95" t="s">
        <v>155</v>
      </c>
      <c r="Q95">
        <v>1000</v>
      </c>
      <c r="X95">
        <v>5.2</v>
      </c>
      <c r="Y95">
        <v>1662.7</v>
      </c>
      <c r="Z95">
        <v>0</v>
      </c>
      <c r="AA95">
        <v>0</v>
      </c>
      <c r="AB95">
        <v>0</v>
      </c>
      <c r="AC95">
        <v>0</v>
      </c>
      <c r="AD95">
        <v>1</v>
      </c>
      <c r="AE95">
        <v>0</v>
      </c>
      <c r="AF95" t="s">
        <v>6</v>
      </c>
      <c r="AG95">
        <v>5.2</v>
      </c>
      <c r="AH95">
        <v>3</v>
      </c>
      <c r="AI95">
        <v>-1</v>
      </c>
      <c r="AJ95" t="s">
        <v>6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>
      <c r="A96">
        <f>ROW(Source!A106)</f>
        <v>106</v>
      </c>
      <c r="B96">
        <v>31028868</v>
      </c>
      <c r="C96">
        <v>31028857</v>
      </c>
      <c r="D96">
        <v>29195171</v>
      </c>
      <c r="E96">
        <v>1</v>
      </c>
      <c r="F96">
        <v>1</v>
      </c>
      <c r="G96">
        <v>1</v>
      </c>
      <c r="H96">
        <v>3</v>
      </c>
      <c r="I96" t="s">
        <v>830</v>
      </c>
      <c r="J96" t="s">
        <v>831</v>
      </c>
      <c r="K96" t="s">
        <v>832</v>
      </c>
      <c r="L96">
        <v>1339</v>
      </c>
      <c r="N96">
        <v>1007</v>
      </c>
      <c r="O96" t="s">
        <v>109</v>
      </c>
      <c r="P96" t="s">
        <v>109</v>
      </c>
      <c r="Q96">
        <v>1</v>
      </c>
      <c r="X96">
        <v>0.59</v>
      </c>
      <c r="Y96">
        <v>2.4500000000000002</v>
      </c>
      <c r="Z96">
        <v>0</v>
      </c>
      <c r="AA96">
        <v>0</v>
      </c>
      <c r="AB96">
        <v>0</v>
      </c>
      <c r="AC96">
        <v>0</v>
      </c>
      <c r="AD96">
        <v>1</v>
      </c>
      <c r="AE96">
        <v>0</v>
      </c>
      <c r="AF96" t="s">
        <v>6</v>
      </c>
      <c r="AG96">
        <v>0.59</v>
      </c>
      <c r="AH96">
        <v>2</v>
      </c>
      <c r="AI96">
        <v>31028861</v>
      </c>
      <c r="AJ96">
        <v>81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>
      <c r="A97">
        <f>ROW(Source!A106)</f>
        <v>106</v>
      </c>
      <c r="B97">
        <v>31028869</v>
      </c>
      <c r="C97">
        <v>31028857</v>
      </c>
      <c r="D97">
        <v>29215982</v>
      </c>
      <c r="E97">
        <v>1</v>
      </c>
      <c r="F97">
        <v>1</v>
      </c>
      <c r="G97">
        <v>1</v>
      </c>
      <c r="H97">
        <v>3</v>
      </c>
      <c r="I97" t="s">
        <v>825</v>
      </c>
      <c r="J97" t="s">
        <v>826</v>
      </c>
      <c r="K97" t="s">
        <v>827</v>
      </c>
      <c r="L97">
        <v>1348</v>
      </c>
      <c r="N97">
        <v>1009</v>
      </c>
      <c r="O97" t="s">
        <v>137</v>
      </c>
      <c r="P97" t="s">
        <v>137</v>
      </c>
      <c r="Q97">
        <v>1000</v>
      </c>
      <c r="X97">
        <v>24.8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 t="s">
        <v>6</v>
      </c>
      <c r="AG97">
        <v>24.8</v>
      </c>
      <c r="AH97">
        <v>2</v>
      </c>
      <c r="AI97">
        <v>31028862</v>
      </c>
      <c r="AJ97">
        <v>82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>
      <c r="A98">
        <f>ROW(Source!A111)</f>
        <v>111</v>
      </c>
      <c r="B98">
        <v>31028880</v>
      </c>
      <c r="C98">
        <v>31028874</v>
      </c>
      <c r="D98">
        <v>29084582</v>
      </c>
      <c r="E98">
        <v>1</v>
      </c>
      <c r="F98">
        <v>1</v>
      </c>
      <c r="G98">
        <v>1</v>
      </c>
      <c r="H98">
        <v>1</v>
      </c>
      <c r="I98" t="s">
        <v>891</v>
      </c>
      <c r="J98" t="s">
        <v>6</v>
      </c>
      <c r="K98" t="s">
        <v>892</v>
      </c>
      <c r="L98">
        <v>1369</v>
      </c>
      <c r="N98">
        <v>1013</v>
      </c>
      <c r="O98" t="s">
        <v>773</v>
      </c>
      <c r="P98" t="s">
        <v>773</v>
      </c>
      <c r="Q98">
        <v>1</v>
      </c>
      <c r="X98">
        <v>551.79999999999995</v>
      </c>
      <c r="Y98">
        <v>0</v>
      </c>
      <c r="Z98">
        <v>0</v>
      </c>
      <c r="AA98">
        <v>0</v>
      </c>
      <c r="AB98">
        <v>7.88</v>
      </c>
      <c r="AC98">
        <v>0</v>
      </c>
      <c r="AD98">
        <v>1</v>
      </c>
      <c r="AE98">
        <v>1</v>
      </c>
      <c r="AF98" t="s">
        <v>36</v>
      </c>
      <c r="AG98">
        <v>634.56999999999994</v>
      </c>
      <c r="AH98">
        <v>2</v>
      </c>
      <c r="AI98">
        <v>31028875</v>
      </c>
      <c r="AJ98">
        <v>83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>
      <c r="A99">
        <f>ROW(Source!A111)</f>
        <v>111</v>
      </c>
      <c r="B99">
        <v>31028881</v>
      </c>
      <c r="C99">
        <v>31028874</v>
      </c>
      <c r="D99">
        <v>29084573</v>
      </c>
      <c r="E99">
        <v>1</v>
      </c>
      <c r="F99">
        <v>1</v>
      </c>
      <c r="G99">
        <v>1</v>
      </c>
      <c r="H99">
        <v>1</v>
      </c>
      <c r="I99" t="s">
        <v>774</v>
      </c>
      <c r="J99" t="s">
        <v>6</v>
      </c>
      <c r="K99" t="s">
        <v>775</v>
      </c>
      <c r="L99">
        <v>608254</v>
      </c>
      <c r="N99">
        <v>1013</v>
      </c>
      <c r="O99" t="s">
        <v>776</v>
      </c>
      <c r="P99" t="s">
        <v>776</v>
      </c>
      <c r="Q99">
        <v>1</v>
      </c>
      <c r="X99">
        <v>2</v>
      </c>
      <c r="Y99">
        <v>0</v>
      </c>
      <c r="Z99">
        <v>0</v>
      </c>
      <c r="AA99">
        <v>0</v>
      </c>
      <c r="AB99">
        <v>0</v>
      </c>
      <c r="AC99">
        <v>0</v>
      </c>
      <c r="AD99">
        <v>1</v>
      </c>
      <c r="AE99">
        <v>2</v>
      </c>
      <c r="AF99" t="s">
        <v>36</v>
      </c>
      <c r="AG99">
        <v>2.2999999999999998</v>
      </c>
      <c r="AH99">
        <v>2</v>
      </c>
      <c r="AI99">
        <v>31028876</v>
      </c>
      <c r="AJ99">
        <v>84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>
      <c r="A100">
        <f>ROW(Source!A111)</f>
        <v>111</v>
      </c>
      <c r="B100">
        <v>31028882</v>
      </c>
      <c r="C100">
        <v>31028874</v>
      </c>
      <c r="D100">
        <v>29147601</v>
      </c>
      <c r="E100">
        <v>1</v>
      </c>
      <c r="F100">
        <v>1</v>
      </c>
      <c r="G100">
        <v>1</v>
      </c>
      <c r="H100">
        <v>2</v>
      </c>
      <c r="I100" t="s">
        <v>781</v>
      </c>
      <c r="J100" t="s">
        <v>782</v>
      </c>
      <c r="K100" t="s">
        <v>783</v>
      </c>
      <c r="L100">
        <v>1368</v>
      </c>
      <c r="N100">
        <v>1011</v>
      </c>
      <c r="O100" t="s">
        <v>780</v>
      </c>
      <c r="P100" t="s">
        <v>780</v>
      </c>
      <c r="Q100">
        <v>1</v>
      </c>
      <c r="X100">
        <v>2</v>
      </c>
      <c r="Y100">
        <v>0</v>
      </c>
      <c r="Z100">
        <v>108.45</v>
      </c>
      <c r="AA100">
        <v>13.03</v>
      </c>
      <c r="AB100">
        <v>0</v>
      </c>
      <c r="AC100">
        <v>0</v>
      </c>
      <c r="AD100">
        <v>1</v>
      </c>
      <c r="AE100">
        <v>0</v>
      </c>
      <c r="AF100" t="s">
        <v>36</v>
      </c>
      <c r="AG100">
        <v>2.2999999999999998</v>
      </c>
      <c r="AH100">
        <v>2</v>
      </c>
      <c r="AI100">
        <v>31028877</v>
      </c>
      <c r="AJ100">
        <v>85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>
      <c r="A101">
        <f>ROW(Source!A111)</f>
        <v>111</v>
      </c>
      <c r="B101">
        <v>31028883</v>
      </c>
      <c r="C101">
        <v>31028874</v>
      </c>
      <c r="D101">
        <v>29186497</v>
      </c>
      <c r="E101">
        <v>1</v>
      </c>
      <c r="F101">
        <v>1</v>
      </c>
      <c r="G101">
        <v>1</v>
      </c>
      <c r="H101">
        <v>3</v>
      </c>
      <c r="I101" t="s">
        <v>158</v>
      </c>
      <c r="J101" t="s">
        <v>160</v>
      </c>
      <c r="K101" t="s">
        <v>159</v>
      </c>
      <c r="L101">
        <v>1339</v>
      </c>
      <c r="N101">
        <v>1007</v>
      </c>
      <c r="O101" t="s">
        <v>109</v>
      </c>
      <c r="P101" t="s">
        <v>109</v>
      </c>
      <c r="Q101">
        <v>1</v>
      </c>
      <c r="X101">
        <v>5.8</v>
      </c>
      <c r="Y101">
        <v>428.17</v>
      </c>
      <c r="Z101">
        <v>0</v>
      </c>
      <c r="AA101">
        <v>0</v>
      </c>
      <c r="AB101">
        <v>0</v>
      </c>
      <c r="AC101">
        <v>0</v>
      </c>
      <c r="AD101">
        <v>1</v>
      </c>
      <c r="AE101">
        <v>0</v>
      </c>
      <c r="AF101" t="s">
        <v>6</v>
      </c>
      <c r="AG101">
        <v>5.8</v>
      </c>
      <c r="AH101">
        <v>3</v>
      </c>
      <c r="AI101">
        <v>-1</v>
      </c>
      <c r="AJ101" t="s">
        <v>6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>
      <c r="A102">
        <f>ROW(Source!A111)</f>
        <v>111</v>
      </c>
      <c r="B102">
        <v>31028884</v>
      </c>
      <c r="C102">
        <v>31028874</v>
      </c>
      <c r="D102">
        <v>29194116</v>
      </c>
      <c r="E102">
        <v>1</v>
      </c>
      <c r="F102">
        <v>1</v>
      </c>
      <c r="G102">
        <v>1</v>
      </c>
      <c r="H102">
        <v>3</v>
      </c>
      <c r="I102" t="s">
        <v>153</v>
      </c>
      <c r="J102" t="s">
        <v>156</v>
      </c>
      <c r="K102" t="s">
        <v>154</v>
      </c>
      <c r="L102">
        <v>1356</v>
      </c>
      <c r="N102">
        <v>1010</v>
      </c>
      <c r="O102" t="s">
        <v>155</v>
      </c>
      <c r="P102" t="s">
        <v>155</v>
      </c>
      <c r="Q102">
        <v>1000</v>
      </c>
      <c r="X102">
        <v>10.33</v>
      </c>
      <c r="Y102">
        <v>1662.7</v>
      </c>
      <c r="Z102">
        <v>0</v>
      </c>
      <c r="AA102">
        <v>0</v>
      </c>
      <c r="AB102">
        <v>0</v>
      </c>
      <c r="AC102">
        <v>0</v>
      </c>
      <c r="AD102">
        <v>1</v>
      </c>
      <c r="AE102">
        <v>0</v>
      </c>
      <c r="AF102" t="s">
        <v>6</v>
      </c>
      <c r="AG102">
        <v>10.33</v>
      </c>
      <c r="AH102">
        <v>3</v>
      </c>
      <c r="AI102">
        <v>-1</v>
      </c>
      <c r="AJ102" t="s">
        <v>6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>
      <c r="A103">
        <f>ROW(Source!A111)</f>
        <v>111</v>
      </c>
      <c r="B103">
        <v>31028885</v>
      </c>
      <c r="C103">
        <v>31028874</v>
      </c>
      <c r="D103">
        <v>29195171</v>
      </c>
      <c r="E103">
        <v>1</v>
      </c>
      <c r="F103">
        <v>1</v>
      </c>
      <c r="G103">
        <v>1</v>
      </c>
      <c r="H103">
        <v>3</v>
      </c>
      <c r="I103" t="s">
        <v>830</v>
      </c>
      <c r="J103" t="s">
        <v>831</v>
      </c>
      <c r="K103" t="s">
        <v>832</v>
      </c>
      <c r="L103">
        <v>1339</v>
      </c>
      <c r="N103">
        <v>1007</v>
      </c>
      <c r="O103" t="s">
        <v>109</v>
      </c>
      <c r="P103" t="s">
        <v>109</v>
      </c>
      <c r="Q103">
        <v>1</v>
      </c>
      <c r="X103">
        <v>1.1499999999999999</v>
      </c>
      <c r="Y103">
        <v>2.4500000000000002</v>
      </c>
      <c r="Z103">
        <v>0</v>
      </c>
      <c r="AA103">
        <v>0</v>
      </c>
      <c r="AB103">
        <v>0</v>
      </c>
      <c r="AC103">
        <v>0</v>
      </c>
      <c r="AD103">
        <v>1</v>
      </c>
      <c r="AE103">
        <v>0</v>
      </c>
      <c r="AF103" t="s">
        <v>6</v>
      </c>
      <c r="AG103">
        <v>1.1499999999999999</v>
      </c>
      <c r="AH103">
        <v>2</v>
      </c>
      <c r="AI103">
        <v>31028878</v>
      </c>
      <c r="AJ103">
        <v>86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>
      <c r="A104">
        <f>ROW(Source!A111)</f>
        <v>111</v>
      </c>
      <c r="B104">
        <v>31028886</v>
      </c>
      <c r="C104">
        <v>31028874</v>
      </c>
      <c r="D104">
        <v>29215982</v>
      </c>
      <c r="E104">
        <v>1</v>
      </c>
      <c r="F104">
        <v>1</v>
      </c>
      <c r="G104">
        <v>1</v>
      </c>
      <c r="H104">
        <v>3</v>
      </c>
      <c r="I104" t="s">
        <v>825</v>
      </c>
      <c r="J104" t="s">
        <v>826</v>
      </c>
      <c r="K104" t="s">
        <v>827</v>
      </c>
      <c r="L104">
        <v>1348</v>
      </c>
      <c r="N104">
        <v>1009</v>
      </c>
      <c r="O104" t="s">
        <v>137</v>
      </c>
      <c r="P104" t="s">
        <v>137</v>
      </c>
      <c r="Q104">
        <v>1000</v>
      </c>
      <c r="X104">
        <v>51.3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 t="s">
        <v>6</v>
      </c>
      <c r="AG104">
        <v>51.3</v>
      </c>
      <c r="AH104">
        <v>2</v>
      </c>
      <c r="AI104">
        <v>31028879</v>
      </c>
      <c r="AJ104">
        <v>87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>
      <c r="A105">
        <f>ROW(Source!A116)</f>
        <v>116</v>
      </c>
      <c r="B105">
        <v>31028898</v>
      </c>
      <c r="C105">
        <v>31028891</v>
      </c>
      <c r="D105">
        <v>29084579</v>
      </c>
      <c r="E105">
        <v>1</v>
      </c>
      <c r="F105">
        <v>1</v>
      </c>
      <c r="G105">
        <v>1</v>
      </c>
      <c r="H105">
        <v>1</v>
      </c>
      <c r="I105" t="s">
        <v>849</v>
      </c>
      <c r="J105" t="s">
        <v>6</v>
      </c>
      <c r="K105" t="s">
        <v>850</v>
      </c>
      <c r="L105">
        <v>1369</v>
      </c>
      <c r="N105">
        <v>1013</v>
      </c>
      <c r="O105" t="s">
        <v>773</v>
      </c>
      <c r="P105" t="s">
        <v>773</v>
      </c>
      <c r="Q105">
        <v>1</v>
      </c>
      <c r="X105">
        <v>70.88</v>
      </c>
      <c r="Y105">
        <v>0</v>
      </c>
      <c r="Z105">
        <v>0</v>
      </c>
      <c r="AA105">
        <v>0</v>
      </c>
      <c r="AB105">
        <v>9.2899999999999991</v>
      </c>
      <c r="AC105">
        <v>0</v>
      </c>
      <c r="AD105">
        <v>1</v>
      </c>
      <c r="AE105">
        <v>1</v>
      </c>
      <c r="AF105" t="s">
        <v>127</v>
      </c>
      <c r="AG105">
        <v>93.738799999999983</v>
      </c>
      <c r="AH105">
        <v>2</v>
      </c>
      <c r="AI105">
        <v>31028892</v>
      </c>
      <c r="AJ105">
        <v>88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>
      <c r="A106">
        <f>ROW(Source!A116)</f>
        <v>116</v>
      </c>
      <c r="B106">
        <v>31028899</v>
      </c>
      <c r="C106">
        <v>31028891</v>
      </c>
      <c r="D106">
        <v>29084573</v>
      </c>
      <c r="E106">
        <v>1</v>
      </c>
      <c r="F106">
        <v>1</v>
      </c>
      <c r="G106">
        <v>1</v>
      </c>
      <c r="H106">
        <v>1</v>
      </c>
      <c r="I106" t="s">
        <v>774</v>
      </c>
      <c r="J106" t="s">
        <v>6</v>
      </c>
      <c r="K106" t="s">
        <v>775</v>
      </c>
      <c r="L106">
        <v>608254</v>
      </c>
      <c r="N106">
        <v>1013</v>
      </c>
      <c r="O106" t="s">
        <v>776</v>
      </c>
      <c r="P106" t="s">
        <v>776</v>
      </c>
      <c r="Q106">
        <v>1</v>
      </c>
      <c r="X106">
        <v>2.78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1</v>
      </c>
      <c r="AE106">
        <v>2</v>
      </c>
      <c r="AF106" t="s">
        <v>126</v>
      </c>
      <c r="AG106">
        <v>3.9962499999999994</v>
      </c>
      <c r="AH106">
        <v>2</v>
      </c>
      <c r="AI106">
        <v>31028893</v>
      </c>
      <c r="AJ106">
        <v>89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>
      <c r="A107">
        <f>ROW(Source!A116)</f>
        <v>116</v>
      </c>
      <c r="B107">
        <v>31028900</v>
      </c>
      <c r="C107">
        <v>31028891</v>
      </c>
      <c r="D107">
        <v>29147698</v>
      </c>
      <c r="E107">
        <v>1</v>
      </c>
      <c r="F107">
        <v>1</v>
      </c>
      <c r="G107">
        <v>1</v>
      </c>
      <c r="H107">
        <v>2</v>
      </c>
      <c r="I107" t="s">
        <v>851</v>
      </c>
      <c r="J107" t="s">
        <v>852</v>
      </c>
      <c r="K107" t="s">
        <v>853</v>
      </c>
      <c r="L107">
        <v>1368</v>
      </c>
      <c r="N107">
        <v>1011</v>
      </c>
      <c r="O107" t="s">
        <v>780</v>
      </c>
      <c r="P107" t="s">
        <v>780</v>
      </c>
      <c r="Q107">
        <v>1</v>
      </c>
      <c r="X107">
        <v>0.9</v>
      </c>
      <c r="Y107">
        <v>0</v>
      </c>
      <c r="Z107">
        <v>3.28</v>
      </c>
      <c r="AA107">
        <v>0</v>
      </c>
      <c r="AB107">
        <v>0</v>
      </c>
      <c r="AC107">
        <v>0</v>
      </c>
      <c r="AD107">
        <v>1</v>
      </c>
      <c r="AE107">
        <v>0</v>
      </c>
      <c r="AF107" t="s">
        <v>126</v>
      </c>
      <c r="AG107">
        <v>1.29375</v>
      </c>
      <c r="AH107">
        <v>2</v>
      </c>
      <c r="AI107">
        <v>31028894</v>
      </c>
      <c r="AJ107">
        <v>90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>
      <c r="A108">
        <f>ROW(Source!A116)</f>
        <v>116</v>
      </c>
      <c r="B108">
        <v>31028901</v>
      </c>
      <c r="C108">
        <v>31028891</v>
      </c>
      <c r="D108">
        <v>29148147</v>
      </c>
      <c r="E108">
        <v>1</v>
      </c>
      <c r="F108">
        <v>1</v>
      </c>
      <c r="G108">
        <v>1</v>
      </c>
      <c r="H108">
        <v>2</v>
      </c>
      <c r="I108" t="s">
        <v>854</v>
      </c>
      <c r="J108" t="s">
        <v>855</v>
      </c>
      <c r="K108" t="s">
        <v>856</v>
      </c>
      <c r="L108">
        <v>1368</v>
      </c>
      <c r="N108">
        <v>1011</v>
      </c>
      <c r="O108" t="s">
        <v>780</v>
      </c>
      <c r="P108" t="s">
        <v>780</v>
      </c>
      <c r="Q108">
        <v>1</v>
      </c>
      <c r="X108">
        <v>2.78</v>
      </c>
      <c r="Y108">
        <v>0</v>
      </c>
      <c r="Z108">
        <v>20.76</v>
      </c>
      <c r="AA108">
        <v>8.6</v>
      </c>
      <c r="AB108">
        <v>0</v>
      </c>
      <c r="AC108">
        <v>0</v>
      </c>
      <c r="AD108">
        <v>1</v>
      </c>
      <c r="AE108">
        <v>0</v>
      </c>
      <c r="AF108" t="s">
        <v>126</v>
      </c>
      <c r="AG108">
        <v>3.9962499999999994</v>
      </c>
      <c r="AH108">
        <v>2</v>
      </c>
      <c r="AI108">
        <v>31028895</v>
      </c>
      <c r="AJ108">
        <v>91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>
      <c r="A109">
        <f>ROW(Source!A116)</f>
        <v>116</v>
      </c>
      <c r="B109">
        <v>31028902</v>
      </c>
      <c r="C109">
        <v>31028891</v>
      </c>
      <c r="D109">
        <v>29186566</v>
      </c>
      <c r="E109">
        <v>1</v>
      </c>
      <c r="F109">
        <v>1</v>
      </c>
      <c r="G109">
        <v>1</v>
      </c>
      <c r="H109">
        <v>3</v>
      </c>
      <c r="I109" t="s">
        <v>107</v>
      </c>
      <c r="J109" t="s">
        <v>110</v>
      </c>
      <c r="K109" t="s">
        <v>108</v>
      </c>
      <c r="L109">
        <v>1339</v>
      </c>
      <c r="N109">
        <v>1007</v>
      </c>
      <c r="O109" t="s">
        <v>109</v>
      </c>
      <c r="P109" t="s">
        <v>109</v>
      </c>
      <c r="Q109">
        <v>1</v>
      </c>
      <c r="X109">
        <v>1.89</v>
      </c>
      <c r="Y109">
        <v>570.03</v>
      </c>
      <c r="Z109">
        <v>0</v>
      </c>
      <c r="AA109">
        <v>0</v>
      </c>
      <c r="AB109">
        <v>0</v>
      </c>
      <c r="AC109">
        <v>0</v>
      </c>
      <c r="AD109">
        <v>1</v>
      </c>
      <c r="AE109">
        <v>0</v>
      </c>
      <c r="AF109" t="s">
        <v>6</v>
      </c>
      <c r="AG109">
        <v>1.89</v>
      </c>
      <c r="AH109">
        <v>2</v>
      </c>
      <c r="AI109">
        <v>31028896</v>
      </c>
      <c r="AJ109">
        <v>92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>
      <c r="A110">
        <f>ROW(Source!A116)</f>
        <v>116</v>
      </c>
      <c r="B110">
        <v>31028903</v>
      </c>
      <c r="C110">
        <v>31028891</v>
      </c>
      <c r="D110">
        <v>29195171</v>
      </c>
      <c r="E110">
        <v>1</v>
      </c>
      <c r="F110">
        <v>1</v>
      </c>
      <c r="G110">
        <v>1</v>
      </c>
      <c r="H110">
        <v>3</v>
      </c>
      <c r="I110" t="s">
        <v>830</v>
      </c>
      <c r="J110" t="s">
        <v>831</v>
      </c>
      <c r="K110" t="s">
        <v>832</v>
      </c>
      <c r="L110">
        <v>1339</v>
      </c>
      <c r="N110">
        <v>1007</v>
      </c>
      <c r="O110" t="s">
        <v>109</v>
      </c>
      <c r="P110" t="s">
        <v>109</v>
      </c>
      <c r="Q110">
        <v>1</v>
      </c>
      <c r="X110">
        <v>0.35</v>
      </c>
      <c r="Y110">
        <v>2.4500000000000002</v>
      </c>
      <c r="Z110">
        <v>0</v>
      </c>
      <c r="AA110">
        <v>0</v>
      </c>
      <c r="AB110">
        <v>0</v>
      </c>
      <c r="AC110">
        <v>0</v>
      </c>
      <c r="AD110">
        <v>1</v>
      </c>
      <c r="AE110">
        <v>0</v>
      </c>
      <c r="AF110" t="s">
        <v>6</v>
      </c>
      <c r="AG110">
        <v>0.35</v>
      </c>
      <c r="AH110">
        <v>2</v>
      </c>
      <c r="AI110">
        <v>31028897</v>
      </c>
      <c r="AJ110">
        <v>93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>
      <c r="A111">
        <f>ROW(Source!A118)</f>
        <v>118</v>
      </c>
      <c r="B111">
        <v>31028910</v>
      </c>
      <c r="C111">
        <v>31028905</v>
      </c>
      <c r="D111">
        <v>29084596</v>
      </c>
      <c r="E111">
        <v>1</v>
      </c>
      <c r="F111">
        <v>1</v>
      </c>
      <c r="G111">
        <v>1</v>
      </c>
      <c r="H111">
        <v>1</v>
      </c>
      <c r="I111" t="s">
        <v>893</v>
      </c>
      <c r="J111" t="s">
        <v>6</v>
      </c>
      <c r="K111" t="s">
        <v>894</v>
      </c>
      <c r="L111">
        <v>1369</v>
      </c>
      <c r="N111">
        <v>1013</v>
      </c>
      <c r="O111" t="s">
        <v>773</v>
      </c>
      <c r="P111" t="s">
        <v>773</v>
      </c>
      <c r="Q111">
        <v>1</v>
      </c>
      <c r="X111">
        <v>706</v>
      </c>
      <c r="Y111">
        <v>0</v>
      </c>
      <c r="Z111">
        <v>0</v>
      </c>
      <c r="AA111">
        <v>0</v>
      </c>
      <c r="AB111">
        <v>9.18</v>
      </c>
      <c r="AC111">
        <v>0</v>
      </c>
      <c r="AD111">
        <v>1</v>
      </c>
      <c r="AE111">
        <v>1</v>
      </c>
      <c r="AF111" t="s">
        <v>36</v>
      </c>
      <c r="AG111">
        <v>811.9</v>
      </c>
      <c r="AH111">
        <v>2</v>
      </c>
      <c r="AI111">
        <v>31028906</v>
      </c>
      <c r="AJ111">
        <v>94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>
      <c r="A112">
        <f>ROW(Source!A118)</f>
        <v>118</v>
      </c>
      <c r="B112">
        <v>31028911</v>
      </c>
      <c r="C112">
        <v>31028905</v>
      </c>
      <c r="D112">
        <v>29084573</v>
      </c>
      <c r="E112">
        <v>1</v>
      </c>
      <c r="F112">
        <v>1</v>
      </c>
      <c r="G112">
        <v>1</v>
      </c>
      <c r="H112">
        <v>1</v>
      </c>
      <c r="I112" t="s">
        <v>774</v>
      </c>
      <c r="J112" t="s">
        <v>6</v>
      </c>
      <c r="K112" t="s">
        <v>775</v>
      </c>
      <c r="L112">
        <v>608254</v>
      </c>
      <c r="N112">
        <v>1013</v>
      </c>
      <c r="O112" t="s">
        <v>776</v>
      </c>
      <c r="P112" t="s">
        <v>776</v>
      </c>
      <c r="Q112">
        <v>1</v>
      </c>
      <c r="X112">
        <v>39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1</v>
      </c>
      <c r="AE112">
        <v>2</v>
      </c>
      <c r="AF112" t="s">
        <v>36</v>
      </c>
      <c r="AG112">
        <v>44.849999999999994</v>
      </c>
      <c r="AH112">
        <v>2</v>
      </c>
      <c r="AI112">
        <v>31028907</v>
      </c>
      <c r="AJ112">
        <v>95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>
      <c r="A113">
        <f>ROW(Source!A118)</f>
        <v>118</v>
      </c>
      <c r="B113">
        <v>31028912</v>
      </c>
      <c r="C113">
        <v>31028905</v>
      </c>
      <c r="D113">
        <v>29147520</v>
      </c>
      <c r="E113">
        <v>1</v>
      </c>
      <c r="F113">
        <v>1</v>
      </c>
      <c r="G113">
        <v>1</v>
      </c>
      <c r="H113">
        <v>2</v>
      </c>
      <c r="I113" t="s">
        <v>777</v>
      </c>
      <c r="J113" t="s">
        <v>778</v>
      </c>
      <c r="K113" t="s">
        <v>779</v>
      </c>
      <c r="L113">
        <v>1368</v>
      </c>
      <c r="N113">
        <v>1011</v>
      </c>
      <c r="O113" t="s">
        <v>780</v>
      </c>
      <c r="P113" t="s">
        <v>780</v>
      </c>
      <c r="Q113">
        <v>1</v>
      </c>
      <c r="X113">
        <v>39</v>
      </c>
      <c r="Y113">
        <v>0</v>
      </c>
      <c r="Z113">
        <v>85.93</v>
      </c>
      <c r="AA113">
        <v>13.03</v>
      </c>
      <c r="AB113">
        <v>0</v>
      </c>
      <c r="AC113">
        <v>0</v>
      </c>
      <c r="AD113">
        <v>1</v>
      </c>
      <c r="AE113">
        <v>0</v>
      </c>
      <c r="AF113" t="s">
        <v>36</v>
      </c>
      <c r="AG113">
        <v>44.849999999999994</v>
      </c>
      <c r="AH113">
        <v>2</v>
      </c>
      <c r="AI113">
        <v>31028908</v>
      </c>
      <c r="AJ113">
        <v>96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>
      <c r="A114">
        <f>ROW(Source!A118)</f>
        <v>118</v>
      </c>
      <c r="B114">
        <v>31028913</v>
      </c>
      <c r="C114">
        <v>31028905</v>
      </c>
      <c r="D114">
        <v>29186497</v>
      </c>
      <c r="E114">
        <v>1</v>
      </c>
      <c r="F114">
        <v>1</v>
      </c>
      <c r="G114">
        <v>1</v>
      </c>
      <c r="H114">
        <v>3</v>
      </c>
      <c r="I114" t="s">
        <v>158</v>
      </c>
      <c r="J114" t="s">
        <v>160</v>
      </c>
      <c r="K114" t="s">
        <v>159</v>
      </c>
      <c r="L114">
        <v>1339</v>
      </c>
      <c r="N114">
        <v>1007</v>
      </c>
      <c r="O114" t="s">
        <v>109</v>
      </c>
      <c r="P114" t="s">
        <v>109</v>
      </c>
      <c r="Q114">
        <v>1</v>
      </c>
      <c r="X114">
        <v>24.2</v>
      </c>
      <c r="Y114">
        <v>428.17</v>
      </c>
      <c r="Z114">
        <v>0</v>
      </c>
      <c r="AA114">
        <v>0</v>
      </c>
      <c r="AB114">
        <v>0</v>
      </c>
      <c r="AC114">
        <v>0</v>
      </c>
      <c r="AD114">
        <v>1</v>
      </c>
      <c r="AE114">
        <v>0</v>
      </c>
      <c r="AF114" t="s">
        <v>6</v>
      </c>
      <c r="AG114">
        <v>24.2</v>
      </c>
      <c r="AH114">
        <v>3</v>
      </c>
      <c r="AI114">
        <v>-1</v>
      </c>
      <c r="AJ114" t="s">
        <v>6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>
      <c r="A115">
        <f>ROW(Source!A118)</f>
        <v>118</v>
      </c>
      <c r="B115">
        <v>31028914</v>
      </c>
      <c r="C115">
        <v>31028905</v>
      </c>
      <c r="D115">
        <v>29194116</v>
      </c>
      <c r="E115">
        <v>1</v>
      </c>
      <c r="F115">
        <v>1</v>
      </c>
      <c r="G115">
        <v>1</v>
      </c>
      <c r="H115">
        <v>3</v>
      </c>
      <c r="I115" t="s">
        <v>153</v>
      </c>
      <c r="J115" t="s">
        <v>156</v>
      </c>
      <c r="K115" t="s">
        <v>154</v>
      </c>
      <c r="L115">
        <v>1356</v>
      </c>
      <c r="N115">
        <v>1010</v>
      </c>
      <c r="O115" t="s">
        <v>155</v>
      </c>
      <c r="P115" t="s">
        <v>155</v>
      </c>
      <c r="Q115">
        <v>1000</v>
      </c>
      <c r="X115">
        <v>40</v>
      </c>
      <c r="Y115">
        <v>1662.7</v>
      </c>
      <c r="Z115">
        <v>0</v>
      </c>
      <c r="AA115">
        <v>0</v>
      </c>
      <c r="AB115">
        <v>0</v>
      </c>
      <c r="AC115">
        <v>0</v>
      </c>
      <c r="AD115">
        <v>1</v>
      </c>
      <c r="AE115">
        <v>0</v>
      </c>
      <c r="AF115" t="s">
        <v>6</v>
      </c>
      <c r="AG115">
        <v>40</v>
      </c>
      <c r="AH115">
        <v>3</v>
      </c>
      <c r="AI115">
        <v>-1</v>
      </c>
      <c r="AJ115" t="s">
        <v>6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>
      <c r="A116">
        <f>ROW(Source!A118)</f>
        <v>118</v>
      </c>
      <c r="B116">
        <v>31028915</v>
      </c>
      <c r="C116">
        <v>31028905</v>
      </c>
      <c r="D116">
        <v>29195171</v>
      </c>
      <c r="E116">
        <v>1</v>
      </c>
      <c r="F116">
        <v>1</v>
      </c>
      <c r="G116">
        <v>1</v>
      </c>
      <c r="H116">
        <v>3</v>
      </c>
      <c r="I116" t="s">
        <v>830</v>
      </c>
      <c r="J116" t="s">
        <v>831</v>
      </c>
      <c r="K116" t="s">
        <v>832</v>
      </c>
      <c r="L116">
        <v>1339</v>
      </c>
      <c r="N116">
        <v>1007</v>
      </c>
      <c r="O116" t="s">
        <v>109</v>
      </c>
      <c r="P116" t="s">
        <v>109</v>
      </c>
      <c r="Q116">
        <v>1</v>
      </c>
      <c r="X116">
        <v>4.4000000000000004</v>
      </c>
      <c r="Y116">
        <v>2.4500000000000002</v>
      </c>
      <c r="Z116">
        <v>0</v>
      </c>
      <c r="AA116">
        <v>0</v>
      </c>
      <c r="AB116">
        <v>0</v>
      </c>
      <c r="AC116">
        <v>0</v>
      </c>
      <c r="AD116">
        <v>1</v>
      </c>
      <c r="AE116">
        <v>0</v>
      </c>
      <c r="AF116" t="s">
        <v>6</v>
      </c>
      <c r="AG116">
        <v>4.4000000000000004</v>
      </c>
      <c r="AH116">
        <v>2</v>
      </c>
      <c r="AI116">
        <v>31028909</v>
      </c>
      <c r="AJ116">
        <v>97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>
      <c r="A117">
        <f>ROW(Source!A123)</f>
        <v>123</v>
      </c>
      <c r="B117">
        <v>31028927</v>
      </c>
      <c r="C117">
        <v>31028920</v>
      </c>
      <c r="D117">
        <v>29084581</v>
      </c>
      <c r="E117">
        <v>1</v>
      </c>
      <c r="F117">
        <v>1</v>
      </c>
      <c r="G117">
        <v>1</v>
      </c>
      <c r="H117">
        <v>1</v>
      </c>
      <c r="I117" t="s">
        <v>880</v>
      </c>
      <c r="J117" t="s">
        <v>6</v>
      </c>
      <c r="K117" t="s">
        <v>881</v>
      </c>
      <c r="L117">
        <v>1369</v>
      </c>
      <c r="N117">
        <v>1013</v>
      </c>
      <c r="O117" t="s">
        <v>773</v>
      </c>
      <c r="P117" t="s">
        <v>773</v>
      </c>
      <c r="Q117">
        <v>1</v>
      </c>
      <c r="X117">
        <v>4.58</v>
      </c>
      <c r="Y117">
        <v>0</v>
      </c>
      <c r="Z117">
        <v>0</v>
      </c>
      <c r="AA117">
        <v>0</v>
      </c>
      <c r="AB117">
        <v>8.02</v>
      </c>
      <c r="AC117">
        <v>0</v>
      </c>
      <c r="AD117">
        <v>1</v>
      </c>
      <c r="AE117">
        <v>1</v>
      </c>
      <c r="AF117" t="s">
        <v>127</v>
      </c>
      <c r="AG117">
        <v>6.0570499999999985</v>
      </c>
      <c r="AH117">
        <v>2</v>
      </c>
      <c r="AI117">
        <v>31028921</v>
      </c>
      <c r="AJ117">
        <v>98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>
      <c r="A118">
        <f>ROW(Source!A123)</f>
        <v>123</v>
      </c>
      <c r="B118">
        <v>31028928</v>
      </c>
      <c r="C118">
        <v>31028920</v>
      </c>
      <c r="D118">
        <v>29084573</v>
      </c>
      <c r="E118">
        <v>1</v>
      </c>
      <c r="F118">
        <v>1</v>
      </c>
      <c r="G118">
        <v>1</v>
      </c>
      <c r="H118">
        <v>1</v>
      </c>
      <c r="I118" t="s">
        <v>774</v>
      </c>
      <c r="J118" t="s">
        <v>6</v>
      </c>
      <c r="K118" t="s">
        <v>775</v>
      </c>
      <c r="L118">
        <v>608254</v>
      </c>
      <c r="N118">
        <v>1013</v>
      </c>
      <c r="O118" t="s">
        <v>776</v>
      </c>
      <c r="P118" t="s">
        <v>776</v>
      </c>
      <c r="Q118">
        <v>1</v>
      </c>
      <c r="X118">
        <v>0.35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1</v>
      </c>
      <c r="AE118">
        <v>2</v>
      </c>
      <c r="AF118" t="s">
        <v>6</v>
      </c>
      <c r="AG118">
        <v>0.35</v>
      </c>
      <c r="AH118">
        <v>2</v>
      </c>
      <c r="AI118">
        <v>31028922</v>
      </c>
      <c r="AJ118">
        <v>99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>
      <c r="A119">
        <f>ROW(Source!A123)</f>
        <v>123</v>
      </c>
      <c r="B119">
        <v>31028929</v>
      </c>
      <c r="C119">
        <v>31028920</v>
      </c>
      <c r="D119">
        <v>29147520</v>
      </c>
      <c r="E119">
        <v>1</v>
      </c>
      <c r="F119">
        <v>1</v>
      </c>
      <c r="G119">
        <v>1</v>
      </c>
      <c r="H119">
        <v>2</v>
      </c>
      <c r="I119" t="s">
        <v>777</v>
      </c>
      <c r="J119" t="s">
        <v>778</v>
      </c>
      <c r="K119" t="s">
        <v>779</v>
      </c>
      <c r="L119">
        <v>1368</v>
      </c>
      <c r="N119">
        <v>1011</v>
      </c>
      <c r="O119" t="s">
        <v>780</v>
      </c>
      <c r="P119" t="s">
        <v>780</v>
      </c>
      <c r="Q119">
        <v>1</v>
      </c>
      <c r="X119">
        <v>0.35</v>
      </c>
      <c r="Y119">
        <v>0</v>
      </c>
      <c r="Z119">
        <v>85.93</v>
      </c>
      <c r="AA119">
        <v>13.03</v>
      </c>
      <c r="AB119">
        <v>0</v>
      </c>
      <c r="AC119">
        <v>0</v>
      </c>
      <c r="AD119">
        <v>1</v>
      </c>
      <c r="AE119">
        <v>0</v>
      </c>
      <c r="AF119" t="s">
        <v>6</v>
      </c>
      <c r="AG119">
        <v>0.35</v>
      </c>
      <c r="AH119">
        <v>2</v>
      </c>
      <c r="AI119">
        <v>31028923</v>
      </c>
      <c r="AJ119">
        <v>100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>
      <c r="A120">
        <f>ROW(Source!A123)</f>
        <v>123</v>
      </c>
      <c r="B120">
        <v>31028930</v>
      </c>
      <c r="C120">
        <v>31028920</v>
      </c>
      <c r="D120">
        <v>29158138</v>
      </c>
      <c r="E120">
        <v>1</v>
      </c>
      <c r="F120">
        <v>1</v>
      </c>
      <c r="G120">
        <v>1</v>
      </c>
      <c r="H120">
        <v>3</v>
      </c>
      <c r="I120" t="s">
        <v>882</v>
      </c>
      <c r="J120" t="s">
        <v>883</v>
      </c>
      <c r="K120" t="s">
        <v>884</v>
      </c>
      <c r="L120">
        <v>1339</v>
      </c>
      <c r="N120">
        <v>1007</v>
      </c>
      <c r="O120" t="s">
        <v>109</v>
      </c>
      <c r="P120" t="s">
        <v>109</v>
      </c>
      <c r="Q120">
        <v>1</v>
      </c>
      <c r="X120">
        <v>1.1000000000000001E-3</v>
      </c>
      <c r="Y120">
        <v>803.98</v>
      </c>
      <c r="Z120">
        <v>0</v>
      </c>
      <c r="AA120">
        <v>0</v>
      </c>
      <c r="AB120">
        <v>0</v>
      </c>
      <c r="AC120">
        <v>0</v>
      </c>
      <c r="AD120">
        <v>1</v>
      </c>
      <c r="AE120">
        <v>0</v>
      </c>
      <c r="AF120" t="s">
        <v>6</v>
      </c>
      <c r="AG120">
        <v>1.1000000000000001E-3</v>
      </c>
      <c r="AH120">
        <v>2</v>
      </c>
      <c r="AI120">
        <v>31028924</v>
      </c>
      <c r="AJ120">
        <v>101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>
      <c r="A121">
        <f>ROW(Source!A123)</f>
        <v>123</v>
      </c>
      <c r="B121">
        <v>31028931</v>
      </c>
      <c r="C121">
        <v>31028920</v>
      </c>
      <c r="D121">
        <v>29186496</v>
      </c>
      <c r="E121">
        <v>1</v>
      </c>
      <c r="F121">
        <v>1</v>
      </c>
      <c r="G121">
        <v>1</v>
      </c>
      <c r="H121">
        <v>3</v>
      </c>
      <c r="I121" t="s">
        <v>215</v>
      </c>
      <c r="J121" t="s">
        <v>217</v>
      </c>
      <c r="K121" t="s">
        <v>216</v>
      </c>
      <c r="L121">
        <v>1339</v>
      </c>
      <c r="N121">
        <v>1007</v>
      </c>
      <c r="O121" t="s">
        <v>109</v>
      </c>
      <c r="P121" t="s">
        <v>109</v>
      </c>
      <c r="Q121">
        <v>1</v>
      </c>
      <c r="X121">
        <v>0.22</v>
      </c>
      <c r="Y121">
        <v>399.94</v>
      </c>
      <c r="Z121">
        <v>0</v>
      </c>
      <c r="AA121">
        <v>0</v>
      </c>
      <c r="AB121">
        <v>0</v>
      </c>
      <c r="AC121">
        <v>0</v>
      </c>
      <c r="AD121">
        <v>1</v>
      </c>
      <c r="AE121">
        <v>0</v>
      </c>
      <c r="AF121" t="s">
        <v>6</v>
      </c>
      <c r="AG121">
        <v>0.22</v>
      </c>
      <c r="AH121">
        <v>2</v>
      </c>
      <c r="AI121">
        <v>31028925</v>
      </c>
      <c r="AJ121">
        <v>102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>
      <c r="A122">
        <f>ROW(Source!A123)</f>
        <v>123</v>
      </c>
      <c r="B122">
        <v>31028932</v>
      </c>
      <c r="C122">
        <v>31028920</v>
      </c>
      <c r="D122">
        <v>29194130</v>
      </c>
      <c r="E122">
        <v>1</v>
      </c>
      <c r="F122">
        <v>1</v>
      </c>
      <c r="G122">
        <v>1</v>
      </c>
      <c r="H122">
        <v>3</v>
      </c>
      <c r="I122" t="s">
        <v>263</v>
      </c>
      <c r="J122" t="s">
        <v>265</v>
      </c>
      <c r="K122" t="s">
        <v>264</v>
      </c>
      <c r="L122">
        <v>1356</v>
      </c>
      <c r="N122">
        <v>1010</v>
      </c>
      <c r="O122" t="s">
        <v>155</v>
      </c>
      <c r="P122" t="s">
        <v>155</v>
      </c>
      <c r="Q122">
        <v>1000</v>
      </c>
      <c r="X122">
        <v>0.19500000000000001</v>
      </c>
      <c r="Y122">
        <v>2033</v>
      </c>
      <c r="Z122">
        <v>0</v>
      </c>
      <c r="AA122">
        <v>0</v>
      </c>
      <c r="AB122">
        <v>0</v>
      </c>
      <c r="AC122">
        <v>0</v>
      </c>
      <c r="AD122">
        <v>1</v>
      </c>
      <c r="AE122">
        <v>0</v>
      </c>
      <c r="AF122" t="s">
        <v>6</v>
      </c>
      <c r="AG122">
        <v>0.19500000000000001</v>
      </c>
      <c r="AH122">
        <v>3</v>
      </c>
      <c r="AI122">
        <v>-1</v>
      </c>
      <c r="AJ122" t="s">
        <v>6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>
      <c r="A123">
        <f>ROW(Source!A123)</f>
        <v>123</v>
      </c>
      <c r="B123">
        <v>31028933</v>
      </c>
      <c r="C123">
        <v>31028920</v>
      </c>
      <c r="D123">
        <v>29195171</v>
      </c>
      <c r="E123">
        <v>1</v>
      </c>
      <c r="F123">
        <v>1</v>
      </c>
      <c r="G123">
        <v>1</v>
      </c>
      <c r="H123">
        <v>3</v>
      </c>
      <c r="I123" t="s">
        <v>830</v>
      </c>
      <c r="J123" t="s">
        <v>831</v>
      </c>
      <c r="K123" t="s">
        <v>832</v>
      </c>
      <c r="L123">
        <v>1339</v>
      </c>
      <c r="N123">
        <v>1007</v>
      </c>
      <c r="O123" t="s">
        <v>109</v>
      </c>
      <c r="P123" t="s">
        <v>109</v>
      </c>
      <c r="Q123">
        <v>1</v>
      </c>
      <c r="X123">
        <v>0.2</v>
      </c>
      <c r="Y123">
        <v>2.4500000000000002</v>
      </c>
      <c r="Z123">
        <v>0</v>
      </c>
      <c r="AA123">
        <v>0</v>
      </c>
      <c r="AB123">
        <v>0</v>
      </c>
      <c r="AC123">
        <v>0</v>
      </c>
      <c r="AD123">
        <v>1</v>
      </c>
      <c r="AE123">
        <v>0</v>
      </c>
      <c r="AF123" t="s">
        <v>6</v>
      </c>
      <c r="AG123">
        <v>0.2</v>
      </c>
      <c r="AH123">
        <v>2</v>
      </c>
      <c r="AI123">
        <v>31028926</v>
      </c>
      <c r="AJ123">
        <v>103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>
      <c r="A124">
        <f>ROW(Source!A126)</f>
        <v>126</v>
      </c>
      <c r="B124">
        <v>31028941</v>
      </c>
      <c r="C124">
        <v>31028936</v>
      </c>
      <c r="D124">
        <v>29084583</v>
      </c>
      <c r="E124">
        <v>1</v>
      </c>
      <c r="F124">
        <v>1</v>
      </c>
      <c r="G124">
        <v>1</v>
      </c>
      <c r="H124">
        <v>1</v>
      </c>
      <c r="I124" t="s">
        <v>857</v>
      </c>
      <c r="J124" t="s">
        <v>6</v>
      </c>
      <c r="K124" t="s">
        <v>858</v>
      </c>
      <c r="L124">
        <v>1369</v>
      </c>
      <c r="N124">
        <v>1013</v>
      </c>
      <c r="O124" t="s">
        <v>773</v>
      </c>
      <c r="P124" t="s">
        <v>773</v>
      </c>
      <c r="Q124">
        <v>1</v>
      </c>
      <c r="X124">
        <v>3.45</v>
      </c>
      <c r="Y124">
        <v>0</v>
      </c>
      <c r="Z124">
        <v>0</v>
      </c>
      <c r="AA124">
        <v>0</v>
      </c>
      <c r="AB124">
        <v>8.23</v>
      </c>
      <c r="AC124">
        <v>0</v>
      </c>
      <c r="AD124">
        <v>1</v>
      </c>
      <c r="AE124">
        <v>1</v>
      </c>
      <c r="AF124" t="s">
        <v>36</v>
      </c>
      <c r="AG124">
        <v>3.9674999999999998</v>
      </c>
      <c r="AH124">
        <v>2</v>
      </c>
      <c r="AI124">
        <v>31028937</v>
      </c>
      <c r="AJ124">
        <v>104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>
      <c r="A125">
        <f>ROW(Source!A126)</f>
        <v>126</v>
      </c>
      <c r="B125">
        <v>31028942</v>
      </c>
      <c r="C125">
        <v>31028936</v>
      </c>
      <c r="D125">
        <v>29084573</v>
      </c>
      <c r="E125">
        <v>1</v>
      </c>
      <c r="F125">
        <v>1</v>
      </c>
      <c r="G125">
        <v>1</v>
      </c>
      <c r="H125">
        <v>1</v>
      </c>
      <c r="I125" t="s">
        <v>774</v>
      </c>
      <c r="J125" t="s">
        <v>6</v>
      </c>
      <c r="K125" t="s">
        <v>775</v>
      </c>
      <c r="L125">
        <v>608254</v>
      </c>
      <c r="N125">
        <v>1013</v>
      </c>
      <c r="O125" t="s">
        <v>776</v>
      </c>
      <c r="P125" t="s">
        <v>776</v>
      </c>
      <c r="Q125">
        <v>1</v>
      </c>
      <c r="X125">
        <v>0.01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1</v>
      </c>
      <c r="AE125">
        <v>2</v>
      </c>
      <c r="AF125" t="s">
        <v>36</v>
      </c>
      <c r="AG125">
        <v>1.15E-2</v>
      </c>
      <c r="AH125">
        <v>2</v>
      </c>
      <c r="AI125">
        <v>31028938</v>
      </c>
      <c r="AJ125">
        <v>105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>
      <c r="A126">
        <f>ROW(Source!A126)</f>
        <v>126</v>
      </c>
      <c r="B126">
        <v>31028943</v>
      </c>
      <c r="C126">
        <v>31028936</v>
      </c>
      <c r="D126">
        <v>29147521</v>
      </c>
      <c r="E126">
        <v>1</v>
      </c>
      <c r="F126">
        <v>1</v>
      </c>
      <c r="G126">
        <v>1</v>
      </c>
      <c r="H126">
        <v>2</v>
      </c>
      <c r="I126" t="s">
        <v>895</v>
      </c>
      <c r="J126" t="s">
        <v>896</v>
      </c>
      <c r="K126" t="s">
        <v>897</v>
      </c>
      <c r="L126">
        <v>1368</v>
      </c>
      <c r="N126">
        <v>1011</v>
      </c>
      <c r="O126" t="s">
        <v>780</v>
      </c>
      <c r="P126" t="s">
        <v>780</v>
      </c>
      <c r="Q126">
        <v>1</v>
      </c>
      <c r="X126">
        <v>0.01</v>
      </c>
      <c r="Y126">
        <v>0</v>
      </c>
      <c r="Z126">
        <v>90.33</v>
      </c>
      <c r="AA126">
        <v>13.03</v>
      </c>
      <c r="AB126">
        <v>0</v>
      </c>
      <c r="AC126">
        <v>0</v>
      </c>
      <c r="AD126">
        <v>1</v>
      </c>
      <c r="AE126">
        <v>0</v>
      </c>
      <c r="AF126" t="s">
        <v>36</v>
      </c>
      <c r="AG126">
        <v>1.15E-2</v>
      </c>
      <c r="AH126">
        <v>2</v>
      </c>
      <c r="AI126">
        <v>31028939</v>
      </c>
      <c r="AJ126">
        <v>106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>
      <c r="A127">
        <f>ROW(Source!A126)</f>
        <v>126</v>
      </c>
      <c r="B127">
        <v>31028944</v>
      </c>
      <c r="C127">
        <v>31028936</v>
      </c>
      <c r="D127">
        <v>29186489</v>
      </c>
      <c r="E127">
        <v>1</v>
      </c>
      <c r="F127">
        <v>1</v>
      </c>
      <c r="G127">
        <v>1</v>
      </c>
      <c r="H127">
        <v>3</v>
      </c>
      <c r="I127" t="s">
        <v>582</v>
      </c>
      <c r="J127" t="s">
        <v>584</v>
      </c>
      <c r="K127" t="s">
        <v>583</v>
      </c>
      <c r="L127">
        <v>1339</v>
      </c>
      <c r="N127">
        <v>1007</v>
      </c>
      <c r="O127" t="s">
        <v>109</v>
      </c>
      <c r="P127" t="s">
        <v>109</v>
      </c>
      <c r="Q127">
        <v>1</v>
      </c>
      <c r="X127">
        <v>2.5000000000000001E-2</v>
      </c>
      <c r="Y127">
        <v>589.03</v>
      </c>
      <c r="Z127">
        <v>0</v>
      </c>
      <c r="AA127">
        <v>0</v>
      </c>
      <c r="AB127">
        <v>0</v>
      </c>
      <c r="AC127">
        <v>0</v>
      </c>
      <c r="AD127">
        <v>1</v>
      </c>
      <c r="AE127">
        <v>0</v>
      </c>
      <c r="AF127" t="s">
        <v>6</v>
      </c>
      <c r="AG127">
        <v>2.5000000000000001E-2</v>
      </c>
      <c r="AH127">
        <v>2</v>
      </c>
      <c r="AI127">
        <v>31028940</v>
      </c>
      <c r="AJ127">
        <v>107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>
      <c r="A128">
        <f>ROW(Source!A126)</f>
        <v>126</v>
      </c>
      <c r="B128">
        <v>31028945</v>
      </c>
      <c r="C128">
        <v>31028936</v>
      </c>
      <c r="D128">
        <v>29194116</v>
      </c>
      <c r="E128">
        <v>1</v>
      </c>
      <c r="F128">
        <v>1</v>
      </c>
      <c r="G128">
        <v>1</v>
      </c>
      <c r="H128">
        <v>3</v>
      </c>
      <c r="I128" t="s">
        <v>153</v>
      </c>
      <c r="J128" t="s">
        <v>156</v>
      </c>
      <c r="K128" t="s">
        <v>154</v>
      </c>
      <c r="L128">
        <v>1356</v>
      </c>
      <c r="N128">
        <v>1010</v>
      </c>
      <c r="O128" t="s">
        <v>155</v>
      </c>
      <c r="P128" t="s">
        <v>155</v>
      </c>
      <c r="Q128">
        <v>1000</v>
      </c>
      <c r="X128">
        <v>0.04</v>
      </c>
      <c r="Y128">
        <v>1662.7</v>
      </c>
      <c r="Z128">
        <v>0</v>
      </c>
      <c r="AA128">
        <v>0</v>
      </c>
      <c r="AB128">
        <v>0</v>
      </c>
      <c r="AC128">
        <v>0</v>
      </c>
      <c r="AD128">
        <v>1</v>
      </c>
      <c r="AE128">
        <v>0</v>
      </c>
      <c r="AF128" t="s">
        <v>6</v>
      </c>
      <c r="AG128">
        <v>0.04</v>
      </c>
      <c r="AH128">
        <v>3</v>
      </c>
      <c r="AI128">
        <v>-1</v>
      </c>
      <c r="AJ128" t="s">
        <v>6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>
      <c r="A129">
        <f>ROW(Source!A129)</f>
        <v>129</v>
      </c>
      <c r="B129">
        <v>31028965</v>
      </c>
      <c r="C129">
        <v>31028948</v>
      </c>
      <c r="D129">
        <v>29084589</v>
      </c>
      <c r="E129">
        <v>1</v>
      </c>
      <c r="F129">
        <v>1</v>
      </c>
      <c r="G129">
        <v>1</v>
      </c>
      <c r="H129">
        <v>1</v>
      </c>
      <c r="I129" t="s">
        <v>771</v>
      </c>
      <c r="J129" t="s">
        <v>6</v>
      </c>
      <c r="K129" t="s">
        <v>772</v>
      </c>
      <c r="L129">
        <v>1369</v>
      </c>
      <c r="N129">
        <v>1013</v>
      </c>
      <c r="O129" t="s">
        <v>773</v>
      </c>
      <c r="P129" t="s">
        <v>773</v>
      </c>
      <c r="Q129">
        <v>1</v>
      </c>
      <c r="X129">
        <v>270.25</v>
      </c>
      <c r="Y129">
        <v>0</v>
      </c>
      <c r="Z129">
        <v>0</v>
      </c>
      <c r="AA129">
        <v>0</v>
      </c>
      <c r="AB129">
        <v>8.5500000000000007</v>
      </c>
      <c r="AC129">
        <v>0</v>
      </c>
      <c r="AD129">
        <v>1</v>
      </c>
      <c r="AE129">
        <v>1</v>
      </c>
      <c r="AF129" t="s">
        <v>127</v>
      </c>
      <c r="AG129">
        <v>357.40562499999993</v>
      </c>
      <c r="AH129">
        <v>2</v>
      </c>
      <c r="AI129">
        <v>31028949</v>
      </c>
      <c r="AJ129">
        <v>108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>
      <c r="A130">
        <f>ROW(Source!A129)</f>
        <v>129</v>
      </c>
      <c r="B130">
        <v>31028966</v>
      </c>
      <c r="C130">
        <v>31028948</v>
      </c>
      <c r="D130">
        <v>29084573</v>
      </c>
      <c r="E130">
        <v>1</v>
      </c>
      <c r="F130">
        <v>1</v>
      </c>
      <c r="G130">
        <v>1</v>
      </c>
      <c r="H130">
        <v>1</v>
      </c>
      <c r="I130" t="s">
        <v>774</v>
      </c>
      <c r="J130" t="s">
        <v>6</v>
      </c>
      <c r="K130" t="s">
        <v>775</v>
      </c>
      <c r="L130">
        <v>608254</v>
      </c>
      <c r="N130">
        <v>1013</v>
      </c>
      <c r="O130" t="s">
        <v>776</v>
      </c>
      <c r="P130" t="s">
        <v>776</v>
      </c>
      <c r="Q130">
        <v>1</v>
      </c>
      <c r="X130">
        <v>7.9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1</v>
      </c>
      <c r="AE130">
        <v>2</v>
      </c>
      <c r="AF130" t="s">
        <v>126</v>
      </c>
      <c r="AG130">
        <v>11.356249999999999</v>
      </c>
      <c r="AH130">
        <v>2</v>
      </c>
      <c r="AI130">
        <v>31028950</v>
      </c>
      <c r="AJ130">
        <v>109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>
      <c r="A131">
        <f>ROW(Source!A129)</f>
        <v>129</v>
      </c>
      <c r="B131">
        <v>31028967</v>
      </c>
      <c r="C131">
        <v>31028948</v>
      </c>
      <c r="D131">
        <v>29147520</v>
      </c>
      <c r="E131">
        <v>1</v>
      </c>
      <c r="F131">
        <v>1</v>
      </c>
      <c r="G131">
        <v>1</v>
      </c>
      <c r="H131">
        <v>2</v>
      </c>
      <c r="I131" t="s">
        <v>777</v>
      </c>
      <c r="J131" t="s">
        <v>778</v>
      </c>
      <c r="K131" t="s">
        <v>779</v>
      </c>
      <c r="L131">
        <v>1368</v>
      </c>
      <c r="N131">
        <v>1011</v>
      </c>
      <c r="O131" t="s">
        <v>780</v>
      </c>
      <c r="P131" t="s">
        <v>780</v>
      </c>
      <c r="Q131">
        <v>1</v>
      </c>
      <c r="X131">
        <v>6.38</v>
      </c>
      <c r="Y131">
        <v>0</v>
      </c>
      <c r="Z131">
        <v>85.93</v>
      </c>
      <c r="AA131">
        <v>13.03</v>
      </c>
      <c r="AB131">
        <v>0</v>
      </c>
      <c r="AC131">
        <v>0</v>
      </c>
      <c r="AD131">
        <v>1</v>
      </c>
      <c r="AE131">
        <v>0</v>
      </c>
      <c r="AF131" t="s">
        <v>126</v>
      </c>
      <c r="AG131">
        <v>9.1712499999999988</v>
      </c>
      <c r="AH131">
        <v>2</v>
      </c>
      <c r="AI131">
        <v>31028951</v>
      </c>
      <c r="AJ131">
        <v>110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>
      <c r="A132">
        <f>ROW(Source!A129)</f>
        <v>129</v>
      </c>
      <c r="B132">
        <v>31028968</v>
      </c>
      <c r="C132">
        <v>31028948</v>
      </c>
      <c r="D132">
        <v>29147601</v>
      </c>
      <c r="E132">
        <v>1</v>
      </c>
      <c r="F132">
        <v>1</v>
      </c>
      <c r="G132">
        <v>1</v>
      </c>
      <c r="H132">
        <v>2</v>
      </c>
      <c r="I132" t="s">
        <v>781</v>
      </c>
      <c r="J132" t="s">
        <v>782</v>
      </c>
      <c r="K132" t="s">
        <v>783</v>
      </c>
      <c r="L132">
        <v>1368</v>
      </c>
      <c r="N132">
        <v>1011</v>
      </c>
      <c r="O132" t="s">
        <v>780</v>
      </c>
      <c r="P132" t="s">
        <v>780</v>
      </c>
      <c r="Q132">
        <v>1</v>
      </c>
      <c r="X132">
        <v>1.52</v>
      </c>
      <c r="Y132">
        <v>0</v>
      </c>
      <c r="Z132">
        <v>108.45</v>
      </c>
      <c r="AA132">
        <v>13.03</v>
      </c>
      <c r="AB132">
        <v>0</v>
      </c>
      <c r="AC132">
        <v>0</v>
      </c>
      <c r="AD132">
        <v>1</v>
      </c>
      <c r="AE132">
        <v>0</v>
      </c>
      <c r="AF132" t="s">
        <v>126</v>
      </c>
      <c r="AG132">
        <v>2.1849999999999996</v>
      </c>
      <c r="AH132">
        <v>2</v>
      </c>
      <c r="AI132">
        <v>31028952</v>
      </c>
      <c r="AJ132">
        <v>111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>
      <c r="A133">
        <f>ROW(Source!A129)</f>
        <v>129</v>
      </c>
      <c r="B133">
        <v>31028969</v>
      </c>
      <c r="C133">
        <v>31028948</v>
      </c>
      <c r="D133">
        <v>29148219</v>
      </c>
      <c r="E133">
        <v>1</v>
      </c>
      <c r="F133">
        <v>1</v>
      </c>
      <c r="G133">
        <v>1</v>
      </c>
      <c r="H133">
        <v>2</v>
      </c>
      <c r="I133" t="s">
        <v>784</v>
      </c>
      <c r="J133" t="s">
        <v>785</v>
      </c>
      <c r="K133" t="s">
        <v>786</v>
      </c>
      <c r="L133">
        <v>1368</v>
      </c>
      <c r="N133">
        <v>1011</v>
      </c>
      <c r="O133" t="s">
        <v>780</v>
      </c>
      <c r="P133" t="s">
        <v>780</v>
      </c>
      <c r="Q133">
        <v>1</v>
      </c>
      <c r="X133">
        <v>5.36</v>
      </c>
      <c r="Y133">
        <v>0</v>
      </c>
      <c r="Z133">
        <v>30</v>
      </c>
      <c r="AA133">
        <v>0</v>
      </c>
      <c r="AB133">
        <v>0</v>
      </c>
      <c r="AC133">
        <v>0</v>
      </c>
      <c r="AD133">
        <v>1</v>
      </c>
      <c r="AE133">
        <v>0</v>
      </c>
      <c r="AF133" t="s">
        <v>126</v>
      </c>
      <c r="AG133">
        <v>7.7049999999999992</v>
      </c>
      <c r="AH133">
        <v>2</v>
      </c>
      <c r="AI133">
        <v>31028953</v>
      </c>
      <c r="AJ133">
        <v>112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>
      <c r="A134">
        <f>ROW(Source!A129)</f>
        <v>129</v>
      </c>
      <c r="B134">
        <v>31028970</v>
      </c>
      <c r="C134">
        <v>31028948</v>
      </c>
      <c r="D134">
        <v>29148425</v>
      </c>
      <c r="E134">
        <v>1</v>
      </c>
      <c r="F134">
        <v>1</v>
      </c>
      <c r="G134">
        <v>1</v>
      </c>
      <c r="H134">
        <v>2</v>
      </c>
      <c r="I134" t="s">
        <v>787</v>
      </c>
      <c r="J134" t="s">
        <v>788</v>
      </c>
      <c r="K134" t="s">
        <v>789</v>
      </c>
      <c r="L134">
        <v>1368</v>
      </c>
      <c r="N134">
        <v>1011</v>
      </c>
      <c r="O134" t="s">
        <v>780</v>
      </c>
      <c r="P134" t="s">
        <v>780</v>
      </c>
      <c r="Q134">
        <v>1</v>
      </c>
      <c r="X134">
        <v>10.17</v>
      </c>
      <c r="Y134">
        <v>0</v>
      </c>
      <c r="Z134">
        <v>3</v>
      </c>
      <c r="AA134">
        <v>0</v>
      </c>
      <c r="AB134">
        <v>0</v>
      </c>
      <c r="AC134">
        <v>0</v>
      </c>
      <c r="AD134">
        <v>1</v>
      </c>
      <c r="AE134">
        <v>0</v>
      </c>
      <c r="AF134" t="s">
        <v>126</v>
      </c>
      <c r="AG134">
        <v>14.619375</v>
      </c>
      <c r="AH134">
        <v>2</v>
      </c>
      <c r="AI134">
        <v>31028954</v>
      </c>
      <c r="AJ134">
        <v>113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>
      <c r="A135">
        <f>ROW(Source!A129)</f>
        <v>129</v>
      </c>
      <c r="B135">
        <v>31028971</v>
      </c>
      <c r="C135">
        <v>31028948</v>
      </c>
      <c r="D135">
        <v>29149520</v>
      </c>
      <c r="E135">
        <v>1</v>
      </c>
      <c r="F135">
        <v>1</v>
      </c>
      <c r="G135">
        <v>1</v>
      </c>
      <c r="H135">
        <v>2</v>
      </c>
      <c r="I135" t="s">
        <v>790</v>
      </c>
      <c r="J135" t="s">
        <v>791</v>
      </c>
      <c r="K135" t="s">
        <v>792</v>
      </c>
      <c r="L135">
        <v>1368</v>
      </c>
      <c r="N135">
        <v>1011</v>
      </c>
      <c r="O135" t="s">
        <v>780</v>
      </c>
      <c r="P135" t="s">
        <v>780</v>
      </c>
      <c r="Q135">
        <v>1</v>
      </c>
      <c r="X135">
        <v>2.2799999999999998</v>
      </c>
      <c r="Y135">
        <v>0</v>
      </c>
      <c r="Z135">
        <v>91.62</v>
      </c>
      <c r="AA135">
        <v>0</v>
      </c>
      <c r="AB135">
        <v>0</v>
      </c>
      <c r="AC135">
        <v>0</v>
      </c>
      <c r="AD135">
        <v>1</v>
      </c>
      <c r="AE135">
        <v>0</v>
      </c>
      <c r="AF135" t="s">
        <v>126</v>
      </c>
      <c r="AG135">
        <v>3.2774999999999994</v>
      </c>
      <c r="AH135">
        <v>2</v>
      </c>
      <c r="AI135">
        <v>31028955</v>
      </c>
      <c r="AJ135">
        <v>114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>
      <c r="A136">
        <f>ROW(Source!A129)</f>
        <v>129</v>
      </c>
      <c r="B136">
        <v>31028972</v>
      </c>
      <c r="C136">
        <v>31028948</v>
      </c>
      <c r="D136">
        <v>29150561</v>
      </c>
      <c r="E136">
        <v>1</v>
      </c>
      <c r="F136">
        <v>1</v>
      </c>
      <c r="G136">
        <v>1</v>
      </c>
      <c r="H136">
        <v>3</v>
      </c>
      <c r="I136" t="s">
        <v>793</v>
      </c>
      <c r="J136" t="s">
        <v>794</v>
      </c>
      <c r="K136" t="s">
        <v>795</v>
      </c>
      <c r="L136">
        <v>1348</v>
      </c>
      <c r="N136">
        <v>1009</v>
      </c>
      <c r="O136" t="s">
        <v>137</v>
      </c>
      <c r="P136" t="s">
        <v>137</v>
      </c>
      <c r="Q136">
        <v>1000</v>
      </c>
      <c r="X136">
        <v>4.1999999999999997E-3</v>
      </c>
      <c r="Y136">
        <v>8466.1</v>
      </c>
      <c r="Z136">
        <v>0</v>
      </c>
      <c r="AA136">
        <v>0</v>
      </c>
      <c r="AB136">
        <v>0</v>
      </c>
      <c r="AC136">
        <v>0</v>
      </c>
      <c r="AD136">
        <v>1</v>
      </c>
      <c r="AE136">
        <v>0</v>
      </c>
      <c r="AF136" t="s">
        <v>6</v>
      </c>
      <c r="AG136">
        <v>4.1999999999999997E-3</v>
      </c>
      <c r="AH136">
        <v>2</v>
      </c>
      <c r="AI136">
        <v>31028956</v>
      </c>
      <c r="AJ136">
        <v>115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>
      <c r="A137">
        <f>ROW(Source!A129)</f>
        <v>129</v>
      </c>
      <c r="B137">
        <v>31028973</v>
      </c>
      <c r="C137">
        <v>31028948</v>
      </c>
      <c r="D137">
        <v>29151759</v>
      </c>
      <c r="E137">
        <v>1</v>
      </c>
      <c r="F137">
        <v>1</v>
      </c>
      <c r="G137">
        <v>1</v>
      </c>
      <c r="H137">
        <v>3</v>
      </c>
      <c r="I137" t="s">
        <v>796</v>
      </c>
      <c r="J137" t="s">
        <v>797</v>
      </c>
      <c r="K137" t="s">
        <v>798</v>
      </c>
      <c r="L137">
        <v>1348</v>
      </c>
      <c r="N137">
        <v>1009</v>
      </c>
      <c r="O137" t="s">
        <v>137</v>
      </c>
      <c r="P137" t="s">
        <v>137</v>
      </c>
      <c r="Q137">
        <v>1000</v>
      </c>
      <c r="X137">
        <v>1.14E-2</v>
      </c>
      <c r="Y137">
        <v>9376.5</v>
      </c>
      <c r="Z137">
        <v>0</v>
      </c>
      <c r="AA137">
        <v>0</v>
      </c>
      <c r="AB137">
        <v>0</v>
      </c>
      <c r="AC137">
        <v>0</v>
      </c>
      <c r="AD137">
        <v>1</v>
      </c>
      <c r="AE137">
        <v>0</v>
      </c>
      <c r="AF137" t="s">
        <v>6</v>
      </c>
      <c r="AG137">
        <v>1.14E-2</v>
      </c>
      <c r="AH137">
        <v>2</v>
      </c>
      <c r="AI137">
        <v>31028957</v>
      </c>
      <c r="AJ137">
        <v>116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>
      <c r="A138">
        <f>ROW(Source!A129)</f>
        <v>129</v>
      </c>
      <c r="B138">
        <v>31028974</v>
      </c>
      <c r="C138">
        <v>31028948</v>
      </c>
      <c r="D138">
        <v>29151859</v>
      </c>
      <c r="E138">
        <v>1</v>
      </c>
      <c r="F138">
        <v>1</v>
      </c>
      <c r="G138">
        <v>1</v>
      </c>
      <c r="H138">
        <v>3</v>
      </c>
      <c r="I138" t="s">
        <v>799</v>
      </c>
      <c r="J138" t="s">
        <v>800</v>
      </c>
      <c r="K138" t="s">
        <v>801</v>
      </c>
      <c r="L138">
        <v>1348</v>
      </c>
      <c r="N138">
        <v>1009</v>
      </c>
      <c r="O138" t="s">
        <v>137</v>
      </c>
      <c r="P138" t="s">
        <v>137</v>
      </c>
      <c r="Q138">
        <v>1000</v>
      </c>
      <c r="X138">
        <v>5.1900000000000002E-2</v>
      </c>
      <c r="Y138">
        <v>1215.8</v>
      </c>
      <c r="Z138">
        <v>0</v>
      </c>
      <c r="AA138">
        <v>0</v>
      </c>
      <c r="AB138">
        <v>0</v>
      </c>
      <c r="AC138">
        <v>0</v>
      </c>
      <c r="AD138">
        <v>1</v>
      </c>
      <c r="AE138">
        <v>0</v>
      </c>
      <c r="AF138" t="s">
        <v>6</v>
      </c>
      <c r="AG138">
        <v>5.1900000000000002E-2</v>
      </c>
      <c r="AH138">
        <v>2</v>
      </c>
      <c r="AI138">
        <v>31028958</v>
      </c>
      <c r="AJ138">
        <v>117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>
      <c r="A139">
        <f>ROW(Source!A129)</f>
        <v>129</v>
      </c>
      <c r="B139">
        <v>31028975</v>
      </c>
      <c r="C139">
        <v>31028948</v>
      </c>
      <c r="D139">
        <v>29151997</v>
      </c>
      <c r="E139">
        <v>1</v>
      </c>
      <c r="F139">
        <v>1</v>
      </c>
      <c r="G139">
        <v>1</v>
      </c>
      <c r="H139">
        <v>3</v>
      </c>
      <c r="I139" t="s">
        <v>802</v>
      </c>
      <c r="J139" t="s">
        <v>803</v>
      </c>
      <c r="K139" t="s">
        <v>804</v>
      </c>
      <c r="L139">
        <v>1327</v>
      </c>
      <c r="N139">
        <v>1005</v>
      </c>
      <c r="O139" t="s">
        <v>284</v>
      </c>
      <c r="P139" t="s">
        <v>284</v>
      </c>
      <c r="Q139">
        <v>1</v>
      </c>
      <c r="X139">
        <v>176</v>
      </c>
      <c r="Y139">
        <v>6.17</v>
      </c>
      <c r="Z139">
        <v>0</v>
      </c>
      <c r="AA139">
        <v>0</v>
      </c>
      <c r="AB139">
        <v>0</v>
      </c>
      <c r="AC139">
        <v>0</v>
      </c>
      <c r="AD139">
        <v>1</v>
      </c>
      <c r="AE139">
        <v>0</v>
      </c>
      <c r="AF139" t="s">
        <v>6</v>
      </c>
      <c r="AG139">
        <v>176</v>
      </c>
      <c r="AH139">
        <v>2</v>
      </c>
      <c r="AI139">
        <v>31028959</v>
      </c>
      <c r="AJ139">
        <v>118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>
      <c r="A140">
        <f>ROW(Source!A129)</f>
        <v>129</v>
      </c>
      <c r="B140">
        <v>31028976</v>
      </c>
      <c r="C140">
        <v>31028948</v>
      </c>
      <c r="D140">
        <v>29152054</v>
      </c>
      <c r="E140">
        <v>1</v>
      </c>
      <c r="F140">
        <v>1</v>
      </c>
      <c r="G140">
        <v>1</v>
      </c>
      <c r="H140">
        <v>3</v>
      </c>
      <c r="I140" t="s">
        <v>805</v>
      </c>
      <c r="J140" t="s">
        <v>806</v>
      </c>
      <c r="K140" t="s">
        <v>807</v>
      </c>
      <c r="L140">
        <v>1348</v>
      </c>
      <c r="N140">
        <v>1009</v>
      </c>
      <c r="O140" t="s">
        <v>137</v>
      </c>
      <c r="P140" t="s">
        <v>137</v>
      </c>
      <c r="Q140">
        <v>1000</v>
      </c>
      <c r="X140">
        <v>2.96E-3</v>
      </c>
      <c r="Y140">
        <v>10183</v>
      </c>
      <c r="Z140">
        <v>0</v>
      </c>
      <c r="AA140">
        <v>0</v>
      </c>
      <c r="AB140">
        <v>0</v>
      </c>
      <c r="AC140">
        <v>0</v>
      </c>
      <c r="AD140">
        <v>1</v>
      </c>
      <c r="AE140">
        <v>0</v>
      </c>
      <c r="AF140" t="s">
        <v>6</v>
      </c>
      <c r="AG140">
        <v>2.96E-3</v>
      </c>
      <c r="AH140">
        <v>2</v>
      </c>
      <c r="AI140">
        <v>31028960</v>
      </c>
      <c r="AJ140">
        <v>119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>
      <c r="A141">
        <f>ROW(Source!A129)</f>
        <v>129</v>
      </c>
      <c r="B141">
        <v>31028977</v>
      </c>
      <c r="C141">
        <v>31028948</v>
      </c>
      <c r="D141">
        <v>29157674</v>
      </c>
      <c r="E141">
        <v>1</v>
      </c>
      <c r="F141">
        <v>1</v>
      </c>
      <c r="G141">
        <v>1</v>
      </c>
      <c r="H141">
        <v>3</v>
      </c>
      <c r="I141" t="s">
        <v>808</v>
      </c>
      <c r="J141" t="s">
        <v>809</v>
      </c>
      <c r="K141" t="s">
        <v>810</v>
      </c>
      <c r="L141">
        <v>1296</v>
      </c>
      <c r="N141">
        <v>1002</v>
      </c>
      <c r="O141" t="s">
        <v>142</v>
      </c>
      <c r="P141" t="s">
        <v>142</v>
      </c>
      <c r="Q141">
        <v>1</v>
      </c>
      <c r="X141">
        <v>78</v>
      </c>
      <c r="Y141">
        <v>50.49</v>
      </c>
      <c r="Z141">
        <v>0</v>
      </c>
      <c r="AA141">
        <v>0</v>
      </c>
      <c r="AB141">
        <v>0</v>
      </c>
      <c r="AC141">
        <v>0</v>
      </c>
      <c r="AD141">
        <v>1</v>
      </c>
      <c r="AE141">
        <v>0</v>
      </c>
      <c r="AF141" t="s">
        <v>6</v>
      </c>
      <c r="AG141">
        <v>78</v>
      </c>
      <c r="AH141">
        <v>2</v>
      </c>
      <c r="AI141">
        <v>31028961</v>
      </c>
      <c r="AJ141">
        <v>120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>
      <c r="A142">
        <f>ROW(Source!A129)</f>
        <v>129</v>
      </c>
      <c r="B142">
        <v>31028978</v>
      </c>
      <c r="C142">
        <v>31028948</v>
      </c>
      <c r="D142">
        <v>29157993</v>
      </c>
      <c r="E142">
        <v>1</v>
      </c>
      <c r="F142">
        <v>1</v>
      </c>
      <c r="G142">
        <v>1</v>
      </c>
      <c r="H142">
        <v>3</v>
      </c>
      <c r="I142" t="s">
        <v>811</v>
      </c>
      <c r="J142" t="s">
        <v>812</v>
      </c>
      <c r="K142" t="s">
        <v>813</v>
      </c>
      <c r="L142">
        <v>1035</v>
      </c>
      <c r="N142">
        <v>1013</v>
      </c>
      <c r="O142" t="s">
        <v>292</v>
      </c>
      <c r="P142" t="s">
        <v>292</v>
      </c>
      <c r="Q142">
        <v>1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1</v>
      </c>
      <c r="AD142">
        <v>0</v>
      </c>
      <c r="AE142">
        <v>0</v>
      </c>
      <c r="AF142" t="s">
        <v>6</v>
      </c>
      <c r="AG142">
        <v>0</v>
      </c>
      <c r="AH142">
        <v>2</v>
      </c>
      <c r="AI142">
        <v>31028962</v>
      </c>
      <c r="AJ142">
        <v>121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>
      <c r="A143">
        <f>ROW(Source!A129)</f>
        <v>129</v>
      </c>
      <c r="B143">
        <v>31028979</v>
      </c>
      <c r="C143">
        <v>31028948</v>
      </c>
      <c r="D143">
        <v>29171846</v>
      </c>
      <c r="E143">
        <v>1</v>
      </c>
      <c r="F143">
        <v>1</v>
      </c>
      <c r="G143">
        <v>1</v>
      </c>
      <c r="H143">
        <v>3</v>
      </c>
      <c r="I143" t="s">
        <v>282</v>
      </c>
      <c r="J143" t="s">
        <v>285</v>
      </c>
      <c r="K143" t="s">
        <v>283</v>
      </c>
      <c r="L143">
        <v>1327</v>
      </c>
      <c r="N143">
        <v>1005</v>
      </c>
      <c r="O143" t="s">
        <v>284</v>
      </c>
      <c r="P143" t="s">
        <v>284</v>
      </c>
      <c r="Q143">
        <v>1</v>
      </c>
      <c r="X143">
        <v>100</v>
      </c>
      <c r="Y143">
        <v>415.47</v>
      </c>
      <c r="Z143">
        <v>0</v>
      </c>
      <c r="AA143">
        <v>0</v>
      </c>
      <c r="AB143">
        <v>0</v>
      </c>
      <c r="AC143">
        <v>0</v>
      </c>
      <c r="AD143">
        <v>1</v>
      </c>
      <c r="AE143">
        <v>0</v>
      </c>
      <c r="AF143" t="s">
        <v>6</v>
      </c>
      <c r="AG143">
        <v>100</v>
      </c>
      <c r="AH143">
        <v>3</v>
      </c>
      <c r="AI143">
        <v>-1</v>
      </c>
      <c r="AJ143" t="s">
        <v>6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>
      <c r="A144">
        <f>ROW(Source!A129)</f>
        <v>129</v>
      </c>
      <c r="B144">
        <v>31028980</v>
      </c>
      <c r="C144">
        <v>31028948</v>
      </c>
      <c r="D144">
        <v>29186570</v>
      </c>
      <c r="E144">
        <v>1</v>
      </c>
      <c r="F144">
        <v>1</v>
      </c>
      <c r="G144">
        <v>1</v>
      </c>
      <c r="H144">
        <v>3</v>
      </c>
      <c r="I144" t="s">
        <v>814</v>
      </c>
      <c r="J144" t="s">
        <v>815</v>
      </c>
      <c r="K144" t="s">
        <v>816</v>
      </c>
      <c r="L144">
        <v>1339</v>
      </c>
      <c r="N144">
        <v>1007</v>
      </c>
      <c r="O144" t="s">
        <v>109</v>
      </c>
      <c r="P144" t="s">
        <v>109</v>
      </c>
      <c r="Q144">
        <v>1</v>
      </c>
      <c r="X144">
        <v>0.13800000000000001</v>
      </c>
      <c r="Y144">
        <v>476.34</v>
      </c>
      <c r="Z144">
        <v>0</v>
      </c>
      <c r="AA144">
        <v>0</v>
      </c>
      <c r="AB144">
        <v>0</v>
      </c>
      <c r="AC144">
        <v>0</v>
      </c>
      <c r="AD144">
        <v>1</v>
      </c>
      <c r="AE144">
        <v>0</v>
      </c>
      <c r="AF144" t="s">
        <v>6</v>
      </c>
      <c r="AG144">
        <v>0.13800000000000001</v>
      </c>
      <c r="AH144">
        <v>2</v>
      </c>
      <c r="AI144">
        <v>31028963</v>
      </c>
      <c r="AJ144">
        <v>122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>
      <c r="A145">
        <f>ROW(Source!A129)</f>
        <v>129</v>
      </c>
      <c r="B145">
        <v>31028981</v>
      </c>
      <c r="C145">
        <v>31028948</v>
      </c>
      <c r="D145">
        <v>29194450</v>
      </c>
      <c r="E145">
        <v>1</v>
      </c>
      <c r="F145">
        <v>1</v>
      </c>
      <c r="G145">
        <v>1</v>
      </c>
      <c r="H145">
        <v>3</v>
      </c>
      <c r="I145" t="s">
        <v>817</v>
      </c>
      <c r="J145" t="s">
        <v>818</v>
      </c>
      <c r="K145" t="s">
        <v>819</v>
      </c>
      <c r="L145">
        <v>1348</v>
      </c>
      <c r="N145">
        <v>1009</v>
      </c>
      <c r="O145" t="s">
        <v>137</v>
      </c>
      <c r="P145" t="s">
        <v>137</v>
      </c>
      <c r="Q145">
        <v>1000</v>
      </c>
      <c r="X145">
        <v>4.36E-2</v>
      </c>
      <c r="Y145">
        <v>728.98</v>
      </c>
      <c r="Z145">
        <v>0</v>
      </c>
      <c r="AA145">
        <v>0</v>
      </c>
      <c r="AB145">
        <v>0</v>
      </c>
      <c r="AC145">
        <v>0</v>
      </c>
      <c r="AD145">
        <v>1</v>
      </c>
      <c r="AE145">
        <v>0</v>
      </c>
      <c r="AF145" t="s">
        <v>6</v>
      </c>
      <c r="AG145">
        <v>4.36E-2</v>
      </c>
      <c r="AH145">
        <v>2</v>
      </c>
      <c r="AI145">
        <v>31028964</v>
      </c>
      <c r="AJ145">
        <v>123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>
      <c r="A146">
        <f>ROW(Source!A133)</f>
        <v>133</v>
      </c>
      <c r="B146">
        <v>31029002</v>
      </c>
      <c r="C146">
        <v>31028985</v>
      </c>
      <c r="D146">
        <v>29084589</v>
      </c>
      <c r="E146">
        <v>1</v>
      </c>
      <c r="F146">
        <v>1</v>
      </c>
      <c r="G146">
        <v>1</v>
      </c>
      <c r="H146">
        <v>1</v>
      </c>
      <c r="I146" t="s">
        <v>771</v>
      </c>
      <c r="J146" t="s">
        <v>6</v>
      </c>
      <c r="K146" t="s">
        <v>772</v>
      </c>
      <c r="L146">
        <v>1369</v>
      </c>
      <c r="N146">
        <v>1013</v>
      </c>
      <c r="O146" t="s">
        <v>773</v>
      </c>
      <c r="P146" t="s">
        <v>773</v>
      </c>
      <c r="Q146">
        <v>1</v>
      </c>
      <c r="X146">
        <v>182.4</v>
      </c>
      <c r="Y146">
        <v>0</v>
      </c>
      <c r="Z146">
        <v>0</v>
      </c>
      <c r="AA146">
        <v>0</v>
      </c>
      <c r="AB146">
        <v>8.5500000000000007</v>
      </c>
      <c r="AC146">
        <v>0</v>
      </c>
      <c r="AD146">
        <v>1</v>
      </c>
      <c r="AE146">
        <v>1</v>
      </c>
      <c r="AF146" t="s">
        <v>127</v>
      </c>
      <c r="AG146">
        <v>241.22399999999996</v>
      </c>
      <c r="AH146">
        <v>2</v>
      </c>
      <c r="AI146">
        <v>31028986</v>
      </c>
      <c r="AJ146">
        <v>124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>
      <c r="A147">
        <f>ROW(Source!A133)</f>
        <v>133</v>
      </c>
      <c r="B147">
        <v>31029003</v>
      </c>
      <c r="C147">
        <v>31028985</v>
      </c>
      <c r="D147">
        <v>29084573</v>
      </c>
      <c r="E147">
        <v>1</v>
      </c>
      <c r="F147">
        <v>1</v>
      </c>
      <c r="G147">
        <v>1</v>
      </c>
      <c r="H147">
        <v>1</v>
      </c>
      <c r="I147" t="s">
        <v>774</v>
      </c>
      <c r="J147" t="s">
        <v>6</v>
      </c>
      <c r="K147" t="s">
        <v>775</v>
      </c>
      <c r="L147">
        <v>608254</v>
      </c>
      <c r="N147">
        <v>1013</v>
      </c>
      <c r="O147" t="s">
        <v>776</v>
      </c>
      <c r="P147" t="s">
        <v>776</v>
      </c>
      <c r="Q147">
        <v>1</v>
      </c>
      <c r="X147">
        <v>6.03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1</v>
      </c>
      <c r="AE147">
        <v>2</v>
      </c>
      <c r="AF147" t="s">
        <v>126</v>
      </c>
      <c r="AG147">
        <v>8.6681249999999999</v>
      </c>
      <c r="AH147">
        <v>2</v>
      </c>
      <c r="AI147">
        <v>31028987</v>
      </c>
      <c r="AJ147">
        <v>125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>
      <c r="A148">
        <f>ROW(Source!A133)</f>
        <v>133</v>
      </c>
      <c r="B148">
        <v>31029004</v>
      </c>
      <c r="C148">
        <v>31028985</v>
      </c>
      <c r="D148">
        <v>29147520</v>
      </c>
      <c r="E148">
        <v>1</v>
      </c>
      <c r="F148">
        <v>1</v>
      </c>
      <c r="G148">
        <v>1</v>
      </c>
      <c r="H148">
        <v>2</v>
      </c>
      <c r="I148" t="s">
        <v>777</v>
      </c>
      <c r="J148" t="s">
        <v>778</v>
      </c>
      <c r="K148" t="s">
        <v>779</v>
      </c>
      <c r="L148">
        <v>1368</v>
      </c>
      <c r="N148">
        <v>1011</v>
      </c>
      <c r="O148" t="s">
        <v>780</v>
      </c>
      <c r="P148" t="s">
        <v>780</v>
      </c>
      <c r="Q148">
        <v>1</v>
      </c>
      <c r="X148">
        <v>4.53</v>
      </c>
      <c r="Y148">
        <v>0</v>
      </c>
      <c r="Z148">
        <v>85.93</v>
      </c>
      <c r="AA148">
        <v>13.03</v>
      </c>
      <c r="AB148">
        <v>0</v>
      </c>
      <c r="AC148">
        <v>0</v>
      </c>
      <c r="AD148">
        <v>1</v>
      </c>
      <c r="AE148">
        <v>0</v>
      </c>
      <c r="AF148" t="s">
        <v>126</v>
      </c>
      <c r="AG148">
        <v>6.5118749999999999</v>
      </c>
      <c r="AH148">
        <v>2</v>
      </c>
      <c r="AI148">
        <v>31028988</v>
      </c>
      <c r="AJ148">
        <v>126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>
      <c r="A149">
        <f>ROW(Source!A133)</f>
        <v>133</v>
      </c>
      <c r="B149">
        <v>31029005</v>
      </c>
      <c r="C149">
        <v>31028985</v>
      </c>
      <c r="D149">
        <v>29147601</v>
      </c>
      <c r="E149">
        <v>1</v>
      </c>
      <c r="F149">
        <v>1</v>
      </c>
      <c r="G149">
        <v>1</v>
      </c>
      <c r="H149">
        <v>2</v>
      </c>
      <c r="I149" t="s">
        <v>781</v>
      </c>
      <c r="J149" t="s">
        <v>782</v>
      </c>
      <c r="K149" t="s">
        <v>783</v>
      </c>
      <c r="L149">
        <v>1368</v>
      </c>
      <c r="N149">
        <v>1011</v>
      </c>
      <c r="O149" t="s">
        <v>780</v>
      </c>
      <c r="P149" t="s">
        <v>780</v>
      </c>
      <c r="Q149">
        <v>1</v>
      </c>
      <c r="X149">
        <v>1.5</v>
      </c>
      <c r="Y149">
        <v>0</v>
      </c>
      <c r="Z149">
        <v>108.45</v>
      </c>
      <c r="AA149">
        <v>13.03</v>
      </c>
      <c r="AB149">
        <v>0</v>
      </c>
      <c r="AC149">
        <v>0</v>
      </c>
      <c r="AD149">
        <v>1</v>
      </c>
      <c r="AE149">
        <v>0</v>
      </c>
      <c r="AF149" t="s">
        <v>126</v>
      </c>
      <c r="AG149">
        <v>2.15625</v>
      </c>
      <c r="AH149">
        <v>2</v>
      </c>
      <c r="AI149">
        <v>31028989</v>
      </c>
      <c r="AJ149">
        <v>127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>
      <c r="A150">
        <f>ROW(Source!A133)</f>
        <v>133</v>
      </c>
      <c r="B150">
        <v>31029006</v>
      </c>
      <c r="C150">
        <v>31028985</v>
      </c>
      <c r="D150">
        <v>29148219</v>
      </c>
      <c r="E150">
        <v>1</v>
      </c>
      <c r="F150">
        <v>1</v>
      </c>
      <c r="G150">
        <v>1</v>
      </c>
      <c r="H150">
        <v>2</v>
      </c>
      <c r="I150" t="s">
        <v>784</v>
      </c>
      <c r="J150" t="s">
        <v>785</v>
      </c>
      <c r="K150" t="s">
        <v>786</v>
      </c>
      <c r="L150">
        <v>1368</v>
      </c>
      <c r="N150">
        <v>1011</v>
      </c>
      <c r="O150" t="s">
        <v>780</v>
      </c>
      <c r="P150" t="s">
        <v>780</v>
      </c>
      <c r="Q150">
        <v>1</v>
      </c>
      <c r="X150">
        <v>3.69</v>
      </c>
      <c r="Y150">
        <v>0</v>
      </c>
      <c r="Z150">
        <v>30</v>
      </c>
      <c r="AA150">
        <v>0</v>
      </c>
      <c r="AB150">
        <v>0</v>
      </c>
      <c r="AC150">
        <v>0</v>
      </c>
      <c r="AD150">
        <v>1</v>
      </c>
      <c r="AE150">
        <v>0</v>
      </c>
      <c r="AF150" t="s">
        <v>126</v>
      </c>
      <c r="AG150">
        <v>5.3043749999999994</v>
      </c>
      <c r="AH150">
        <v>2</v>
      </c>
      <c r="AI150">
        <v>31028990</v>
      </c>
      <c r="AJ150">
        <v>128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>
      <c r="A151">
        <f>ROW(Source!A133)</f>
        <v>133</v>
      </c>
      <c r="B151">
        <v>31029007</v>
      </c>
      <c r="C151">
        <v>31028985</v>
      </c>
      <c r="D151">
        <v>29148425</v>
      </c>
      <c r="E151">
        <v>1</v>
      </c>
      <c r="F151">
        <v>1</v>
      </c>
      <c r="G151">
        <v>1</v>
      </c>
      <c r="H151">
        <v>2</v>
      </c>
      <c r="I151" t="s">
        <v>787</v>
      </c>
      <c r="J151" t="s">
        <v>788</v>
      </c>
      <c r="K151" t="s">
        <v>789</v>
      </c>
      <c r="L151">
        <v>1368</v>
      </c>
      <c r="N151">
        <v>1011</v>
      </c>
      <c r="O151" t="s">
        <v>780</v>
      </c>
      <c r="P151" t="s">
        <v>780</v>
      </c>
      <c r="Q151">
        <v>1</v>
      </c>
      <c r="X151">
        <v>6.6</v>
      </c>
      <c r="Y151">
        <v>0</v>
      </c>
      <c r="Z151">
        <v>3</v>
      </c>
      <c r="AA151">
        <v>0</v>
      </c>
      <c r="AB151">
        <v>0</v>
      </c>
      <c r="AC151">
        <v>0</v>
      </c>
      <c r="AD151">
        <v>1</v>
      </c>
      <c r="AE151">
        <v>0</v>
      </c>
      <c r="AF151" t="s">
        <v>126</v>
      </c>
      <c r="AG151">
        <v>9.4874999999999989</v>
      </c>
      <c r="AH151">
        <v>2</v>
      </c>
      <c r="AI151">
        <v>31028991</v>
      </c>
      <c r="AJ151">
        <v>129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>
      <c r="A152">
        <f>ROW(Source!A133)</f>
        <v>133</v>
      </c>
      <c r="B152">
        <v>31029008</v>
      </c>
      <c r="C152">
        <v>31028985</v>
      </c>
      <c r="D152">
        <v>29149520</v>
      </c>
      <c r="E152">
        <v>1</v>
      </c>
      <c r="F152">
        <v>1</v>
      </c>
      <c r="G152">
        <v>1</v>
      </c>
      <c r="H152">
        <v>2</v>
      </c>
      <c r="I152" t="s">
        <v>790</v>
      </c>
      <c r="J152" t="s">
        <v>791</v>
      </c>
      <c r="K152" t="s">
        <v>792</v>
      </c>
      <c r="L152">
        <v>1368</v>
      </c>
      <c r="N152">
        <v>1011</v>
      </c>
      <c r="O152" t="s">
        <v>780</v>
      </c>
      <c r="P152" t="s">
        <v>780</v>
      </c>
      <c r="Q152">
        <v>1</v>
      </c>
      <c r="X152">
        <v>2.23</v>
      </c>
      <c r="Y152">
        <v>0</v>
      </c>
      <c r="Z152">
        <v>91.62</v>
      </c>
      <c r="AA152">
        <v>0</v>
      </c>
      <c r="AB152">
        <v>0</v>
      </c>
      <c r="AC152">
        <v>0</v>
      </c>
      <c r="AD152">
        <v>1</v>
      </c>
      <c r="AE152">
        <v>0</v>
      </c>
      <c r="AF152" t="s">
        <v>126</v>
      </c>
      <c r="AG152">
        <v>3.2056249999999999</v>
      </c>
      <c r="AH152">
        <v>2</v>
      </c>
      <c r="AI152">
        <v>31028992</v>
      </c>
      <c r="AJ152">
        <v>130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>
      <c r="A153">
        <f>ROW(Source!A133)</f>
        <v>133</v>
      </c>
      <c r="B153">
        <v>31029009</v>
      </c>
      <c r="C153">
        <v>31028985</v>
      </c>
      <c r="D153">
        <v>29150561</v>
      </c>
      <c r="E153">
        <v>1</v>
      </c>
      <c r="F153">
        <v>1</v>
      </c>
      <c r="G153">
        <v>1</v>
      </c>
      <c r="H153">
        <v>3</v>
      </c>
      <c r="I153" t="s">
        <v>793</v>
      </c>
      <c r="J153" t="s">
        <v>794</v>
      </c>
      <c r="K153" t="s">
        <v>795</v>
      </c>
      <c r="L153">
        <v>1348</v>
      </c>
      <c r="N153">
        <v>1009</v>
      </c>
      <c r="O153" t="s">
        <v>137</v>
      </c>
      <c r="P153" t="s">
        <v>137</v>
      </c>
      <c r="Q153">
        <v>1000</v>
      </c>
      <c r="X153">
        <v>2.8E-3</v>
      </c>
      <c r="Y153">
        <v>8466.1</v>
      </c>
      <c r="Z153">
        <v>0</v>
      </c>
      <c r="AA153">
        <v>0</v>
      </c>
      <c r="AB153">
        <v>0</v>
      </c>
      <c r="AC153">
        <v>0</v>
      </c>
      <c r="AD153">
        <v>1</v>
      </c>
      <c r="AE153">
        <v>0</v>
      </c>
      <c r="AF153" t="s">
        <v>6</v>
      </c>
      <c r="AG153">
        <v>2.8E-3</v>
      </c>
      <c r="AH153">
        <v>2</v>
      </c>
      <c r="AI153">
        <v>31028993</v>
      </c>
      <c r="AJ153">
        <v>131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>
      <c r="A154">
        <f>ROW(Source!A133)</f>
        <v>133</v>
      </c>
      <c r="B154">
        <v>31029010</v>
      </c>
      <c r="C154">
        <v>31028985</v>
      </c>
      <c r="D154">
        <v>29151759</v>
      </c>
      <c r="E154">
        <v>1</v>
      </c>
      <c r="F154">
        <v>1</v>
      </c>
      <c r="G154">
        <v>1</v>
      </c>
      <c r="H154">
        <v>3</v>
      </c>
      <c r="I154" t="s">
        <v>796</v>
      </c>
      <c r="J154" t="s">
        <v>797</v>
      </c>
      <c r="K154" t="s">
        <v>798</v>
      </c>
      <c r="L154">
        <v>1348</v>
      </c>
      <c r="N154">
        <v>1009</v>
      </c>
      <c r="O154" t="s">
        <v>137</v>
      </c>
      <c r="P154" t="s">
        <v>137</v>
      </c>
      <c r="Q154">
        <v>1000</v>
      </c>
      <c r="X154">
        <v>7.4000000000000003E-3</v>
      </c>
      <c r="Y154">
        <v>9376.5</v>
      </c>
      <c r="Z154">
        <v>0</v>
      </c>
      <c r="AA154">
        <v>0</v>
      </c>
      <c r="AB154">
        <v>0</v>
      </c>
      <c r="AC154">
        <v>0</v>
      </c>
      <c r="AD154">
        <v>1</v>
      </c>
      <c r="AE154">
        <v>0</v>
      </c>
      <c r="AF154" t="s">
        <v>6</v>
      </c>
      <c r="AG154">
        <v>7.4000000000000003E-3</v>
      </c>
      <c r="AH154">
        <v>2</v>
      </c>
      <c r="AI154">
        <v>31028994</v>
      </c>
      <c r="AJ154">
        <v>132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>
      <c r="A155">
        <f>ROW(Source!A133)</f>
        <v>133</v>
      </c>
      <c r="B155">
        <v>31029011</v>
      </c>
      <c r="C155">
        <v>31028985</v>
      </c>
      <c r="D155">
        <v>29151859</v>
      </c>
      <c r="E155">
        <v>1</v>
      </c>
      <c r="F155">
        <v>1</v>
      </c>
      <c r="G155">
        <v>1</v>
      </c>
      <c r="H155">
        <v>3</v>
      </c>
      <c r="I155" t="s">
        <v>799</v>
      </c>
      <c r="J155" t="s">
        <v>800</v>
      </c>
      <c r="K155" t="s">
        <v>801</v>
      </c>
      <c r="L155">
        <v>1348</v>
      </c>
      <c r="N155">
        <v>1009</v>
      </c>
      <c r="O155" t="s">
        <v>137</v>
      </c>
      <c r="P155" t="s">
        <v>137</v>
      </c>
      <c r="Q155">
        <v>1000</v>
      </c>
      <c r="X155">
        <v>3.5999999999999997E-2</v>
      </c>
      <c r="Y155">
        <v>1215.8</v>
      </c>
      <c r="Z155">
        <v>0</v>
      </c>
      <c r="AA155">
        <v>0</v>
      </c>
      <c r="AB155">
        <v>0</v>
      </c>
      <c r="AC155">
        <v>0</v>
      </c>
      <c r="AD155">
        <v>1</v>
      </c>
      <c r="AE155">
        <v>0</v>
      </c>
      <c r="AF155" t="s">
        <v>6</v>
      </c>
      <c r="AG155">
        <v>3.5999999999999997E-2</v>
      </c>
      <c r="AH155">
        <v>2</v>
      </c>
      <c r="AI155">
        <v>31028995</v>
      </c>
      <c r="AJ155">
        <v>133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>
      <c r="A156">
        <f>ROW(Source!A133)</f>
        <v>133</v>
      </c>
      <c r="B156">
        <v>31029012</v>
      </c>
      <c r="C156">
        <v>31028985</v>
      </c>
      <c r="D156">
        <v>29151997</v>
      </c>
      <c r="E156">
        <v>1</v>
      </c>
      <c r="F156">
        <v>1</v>
      </c>
      <c r="G156">
        <v>1</v>
      </c>
      <c r="H156">
        <v>3</v>
      </c>
      <c r="I156" t="s">
        <v>802</v>
      </c>
      <c r="J156" t="s">
        <v>803</v>
      </c>
      <c r="K156" t="s">
        <v>804</v>
      </c>
      <c r="L156">
        <v>1327</v>
      </c>
      <c r="N156">
        <v>1005</v>
      </c>
      <c r="O156" t="s">
        <v>284</v>
      </c>
      <c r="P156" t="s">
        <v>284</v>
      </c>
      <c r="Q156">
        <v>1</v>
      </c>
      <c r="X156">
        <v>122</v>
      </c>
      <c r="Y156">
        <v>6.17</v>
      </c>
      <c r="Z156">
        <v>0</v>
      </c>
      <c r="AA156">
        <v>0</v>
      </c>
      <c r="AB156">
        <v>0</v>
      </c>
      <c r="AC156">
        <v>0</v>
      </c>
      <c r="AD156">
        <v>1</v>
      </c>
      <c r="AE156">
        <v>0</v>
      </c>
      <c r="AF156" t="s">
        <v>6</v>
      </c>
      <c r="AG156">
        <v>122</v>
      </c>
      <c r="AH156">
        <v>2</v>
      </c>
      <c r="AI156">
        <v>31028996</v>
      </c>
      <c r="AJ156">
        <v>134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>
      <c r="A157">
        <f>ROW(Source!A133)</f>
        <v>133</v>
      </c>
      <c r="B157">
        <v>31029013</v>
      </c>
      <c r="C157">
        <v>31028985</v>
      </c>
      <c r="D157">
        <v>29152054</v>
      </c>
      <c r="E157">
        <v>1</v>
      </c>
      <c r="F157">
        <v>1</v>
      </c>
      <c r="G157">
        <v>1</v>
      </c>
      <c r="H157">
        <v>3</v>
      </c>
      <c r="I157" t="s">
        <v>805</v>
      </c>
      <c r="J157" t="s">
        <v>806</v>
      </c>
      <c r="K157" t="s">
        <v>807</v>
      </c>
      <c r="L157">
        <v>1348</v>
      </c>
      <c r="N157">
        <v>1009</v>
      </c>
      <c r="O157" t="s">
        <v>137</v>
      </c>
      <c r="P157" t="s">
        <v>137</v>
      </c>
      <c r="Q157">
        <v>1000</v>
      </c>
      <c r="X157">
        <v>1.9300000000000001E-3</v>
      </c>
      <c r="Y157">
        <v>10183</v>
      </c>
      <c r="Z157">
        <v>0</v>
      </c>
      <c r="AA157">
        <v>0</v>
      </c>
      <c r="AB157">
        <v>0</v>
      </c>
      <c r="AC157">
        <v>0</v>
      </c>
      <c r="AD157">
        <v>1</v>
      </c>
      <c r="AE157">
        <v>0</v>
      </c>
      <c r="AF157" t="s">
        <v>6</v>
      </c>
      <c r="AG157">
        <v>1.9300000000000001E-3</v>
      </c>
      <c r="AH157">
        <v>2</v>
      </c>
      <c r="AI157">
        <v>31028997</v>
      </c>
      <c r="AJ157">
        <v>135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>
      <c r="A158">
        <f>ROW(Source!A133)</f>
        <v>133</v>
      </c>
      <c r="B158">
        <v>31029014</v>
      </c>
      <c r="C158">
        <v>31028985</v>
      </c>
      <c r="D158">
        <v>29157674</v>
      </c>
      <c r="E158">
        <v>1</v>
      </c>
      <c r="F158">
        <v>1</v>
      </c>
      <c r="G158">
        <v>1</v>
      </c>
      <c r="H158">
        <v>3</v>
      </c>
      <c r="I158" t="s">
        <v>808</v>
      </c>
      <c r="J158" t="s">
        <v>809</v>
      </c>
      <c r="K158" t="s">
        <v>810</v>
      </c>
      <c r="L158">
        <v>1296</v>
      </c>
      <c r="N158">
        <v>1002</v>
      </c>
      <c r="O158" t="s">
        <v>142</v>
      </c>
      <c r="P158" t="s">
        <v>142</v>
      </c>
      <c r="Q158">
        <v>1</v>
      </c>
      <c r="X158">
        <v>54</v>
      </c>
      <c r="Y158">
        <v>50.49</v>
      </c>
      <c r="Z158">
        <v>0</v>
      </c>
      <c r="AA158">
        <v>0</v>
      </c>
      <c r="AB158">
        <v>0</v>
      </c>
      <c r="AC158">
        <v>0</v>
      </c>
      <c r="AD158">
        <v>1</v>
      </c>
      <c r="AE158">
        <v>0</v>
      </c>
      <c r="AF158" t="s">
        <v>6</v>
      </c>
      <c r="AG158">
        <v>54</v>
      </c>
      <c r="AH158">
        <v>2</v>
      </c>
      <c r="AI158">
        <v>31028998</v>
      </c>
      <c r="AJ158">
        <v>136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>
      <c r="A159">
        <f>ROW(Source!A133)</f>
        <v>133</v>
      </c>
      <c r="B159">
        <v>31029015</v>
      </c>
      <c r="C159">
        <v>31028985</v>
      </c>
      <c r="D159">
        <v>29157993</v>
      </c>
      <c r="E159">
        <v>1</v>
      </c>
      <c r="F159">
        <v>1</v>
      </c>
      <c r="G159">
        <v>1</v>
      </c>
      <c r="H159">
        <v>3</v>
      </c>
      <c r="I159" t="s">
        <v>811</v>
      </c>
      <c r="J159" t="s">
        <v>812</v>
      </c>
      <c r="K159" t="s">
        <v>813</v>
      </c>
      <c r="L159">
        <v>1035</v>
      </c>
      <c r="N159">
        <v>1013</v>
      </c>
      <c r="O159" t="s">
        <v>292</v>
      </c>
      <c r="P159" t="s">
        <v>292</v>
      </c>
      <c r="Q159">
        <v>1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1</v>
      </c>
      <c r="AD159">
        <v>0</v>
      </c>
      <c r="AE159">
        <v>0</v>
      </c>
      <c r="AF159" t="s">
        <v>6</v>
      </c>
      <c r="AG159">
        <v>0</v>
      </c>
      <c r="AH159">
        <v>2</v>
      </c>
      <c r="AI159">
        <v>31028999</v>
      </c>
      <c r="AJ159">
        <v>137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>
      <c r="A160">
        <f>ROW(Source!A133)</f>
        <v>133</v>
      </c>
      <c r="B160">
        <v>31029016</v>
      </c>
      <c r="C160">
        <v>31028985</v>
      </c>
      <c r="D160">
        <v>29171848</v>
      </c>
      <c r="E160">
        <v>1</v>
      </c>
      <c r="F160">
        <v>1</v>
      </c>
      <c r="G160">
        <v>1</v>
      </c>
      <c r="H160">
        <v>3</v>
      </c>
      <c r="I160" t="s">
        <v>297</v>
      </c>
      <c r="J160" t="s">
        <v>299</v>
      </c>
      <c r="K160" t="s">
        <v>298</v>
      </c>
      <c r="L160">
        <v>1327</v>
      </c>
      <c r="N160">
        <v>1005</v>
      </c>
      <c r="O160" t="s">
        <v>284</v>
      </c>
      <c r="P160" t="s">
        <v>284</v>
      </c>
      <c r="Q160">
        <v>1</v>
      </c>
      <c r="X160">
        <v>100</v>
      </c>
      <c r="Y160">
        <v>415.47</v>
      </c>
      <c r="Z160">
        <v>0</v>
      </c>
      <c r="AA160">
        <v>0</v>
      </c>
      <c r="AB160">
        <v>0</v>
      </c>
      <c r="AC160">
        <v>0</v>
      </c>
      <c r="AD160">
        <v>1</v>
      </c>
      <c r="AE160">
        <v>0</v>
      </c>
      <c r="AF160" t="s">
        <v>6</v>
      </c>
      <c r="AG160">
        <v>100</v>
      </c>
      <c r="AH160">
        <v>3</v>
      </c>
      <c r="AI160">
        <v>-1</v>
      </c>
      <c r="AJ160" t="s">
        <v>6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>
      <c r="A161">
        <f>ROW(Source!A133)</f>
        <v>133</v>
      </c>
      <c r="B161">
        <v>31029017</v>
      </c>
      <c r="C161">
        <v>31028985</v>
      </c>
      <c r="D161">
        <v>29186570</v>
      </c>
      <c r="E161">
        <v>1</v>
      </c>
      <c r="F161">
        <v>1</v>
      </c>
      <c r="G161">
        <v>1</v>
      </c>
      <c r="H161">
        <v>3</v>
      </c>
      <c r="I161" t="s">
        <v>814</v>
      </c>
      <c r="J161" t="s">
        <v>815</v>
      </c>
      <c r="K161" t="s">
        <v>816</v>
      </c>
      <c r="L161">
        <v>1339</v>
      </c>
      <c r="N161">
        <v>1007</v>
      </c>
      <c r="O161" t="s">
        <v>109</v>
      </c>
      <c r="P161" t="s">
        <v>109</v>
      </c>
      <c r="Q161">
        <v>1</v>
      </c>
      <c r="X161">
        <v>9.6000000000000002E-2</v>
      </c>
      <c r="Y161">
        <v>476.34</v>
      </c>
      <c r="Z161">
        <v>0</v>
      </c>
      <c r="AA161">
        <v>0</v>
      </c>
      <c r="AB161">
        <v>0</v>
      </c>
      <c r="AC161">
        <v>0</v>
      </c>
      <c r="AD161">
        <v>1</v>
      </c>
      <c r="AE161">
        <v>0</v>
      </c>
      <c r="AF161" t="s">
        <v>6</v>
      </c>
      <c r="AG161">
        <v>9.6000000000000002E-2</v>
      </c>
      <c r="AH161">
        <v>2</v>
      </c>
      <c r="AI161">
        <v>31029000</v>
      </c>
      <c r="AJ161">
        <v>138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>
      <c r="A162">
        <f>ROW(Source!A133)</f>
        <v>133</v>
      </c>
      <c r="B162">
        <v>31029018</v>
      </c>
      <c r="C162">
        <v>31028985</v>
      </c>
      <c r="D162">
        <v>29194450</v>
      </c>
      <c r="E162">
        <v>1</v>
      </c>
      <c r="F162">
        <v>1</v>
      </c>
      <c r="G162">
        <v>1</v>
      </c>
      <c r="H162">
        <v>3</v>
      </c>
      <c r="I162" t="s">
        <v>817</v>
      </c>
      <c r="J162" t="s">
        <v>818</v>
      </c>
      <c r="K162" t="s">
        <v>819</v>
      </c>
      <c r="L162">
        <v>1348</v>
      </c>
      <c r="N162">
        <v>1009</v>
      </c>
      <c r="O162" t="s">
        <v>137</v>
      </c>
      <c r="P162" t="s">
        <v>137</v>
      </c>
      <c r="Q162">
        <v>1000</v>
      </c>
      <c r="X162">
        <v>3.0200000000000001E-2</v>
      </c>
      <c r="Y162">
        <v>728.98</v>
      </c>
      <c r="Z162">
        <v>0</v>
      </c>
      <c r="AA162">
        <v>0</v>
      </c>
      <c r="AB162">
        <v>0</v>
      </c>
      <c r="AC162">
        <v>0</v>
      </c>
      <c r="AD162">
        <v>1</v>
      </c>
      <c r="AE162">
        <v>0</v>
      </c>
      <c r="AF162" t="s">
        <v>6</v>
      </c>
      <c r="AG162">
        <v>3.0200000000000001E-2</v>
      </c>
      <c r="AH162">
        <v>2</v>
      </c>
      <c r="AI162">
        <v>31029001</v>
      </c>
      <c r="AJ162">
        <v>139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>
      <c r="A163">
        <f>ROW(Source!A138)</f>
        <v>138</v>
      </c>
      <c r="B163">
        <v>31029037</v>
      </c>
      <c r="C163">
        <v>31029023</v>
      </c>
      <c r="D163">
        <v>29084584</v>
      </c>
      <c r="E163">
        <v>1</v>
      </c>
      <c r="F163">
        <v>1</v>
      </c>
      <c r="G163">
        <v>1</v>
      </c>
      <c r="H163">
        <v>1</v>
      </c>
      <c r="I163" t="s">
        <v>898</v>
      </c>
      <c r="J163" t="s">
        <v>6</v>
      </c>
      <c r="K163" t="s">
        <v>899</v>
      </c>
      <c r="L163">
        <v>1369</v>
      </c>
      <c r="N163">
        <v>1013</v>
      </c>
      <c r="O163" t="s">
        <v>773</v>
      </c>
      <c r="P163" t="s">
        <v>773</v>
      </c>
      <c r="Q163">
        <v>1</v>
      </c>
      <c r="X163">
        <v>45.43</v>
      </c>
      <c r="Y163">
        <v>0</v>
      </c>
      <c r="Z163">
        <v>0</v>
      </c>
      <c r="AA163">
        <v>0</v>
      </c>
      <c r="AB163">
        <v>8.33</v>
      </c>
      <c r="AC163">
        <v>0</v>
      </c>
      <c r="AD163">
        <v>1</v>
      </c>
      <c r="AE163">
        <v>1</v>
      </c>
      <c r="AF163" t="s">
        <v>127</v>
      </c>
      <c r="AG163">
        <v>60.081174999999988</v>
      </c>
      <c r="AH163">
        <v>2</v>
      </c>
      <c r="AI163">
        <v>31029024</v>
      </c>
      <c r="AJ163">
        <v>140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>
      <c r="A164">
        <f>ROW(Source!A138)</f>
        <v>138</v>
      </c>
      <c r="B164">
        <v>31029038</v>
      </c>
      <c r="C164">
        <v>31029023</v>
      </c>
      <c r="D164">
        <v>29084573</v>
      </c>
      <c r="E164">
        <v>1</v>
      </c>
      <c r="F164">
        <v>1</v>
      </c>
      <c r="G164">
        <v>1</v>
      </c>
      <c r="H164">
        <v>1</v>
      </c>
      <c r="I164" t="s">
        <v>774</v>
      </c>
      <c r="J164" t="s">
        <v>6</v>
      </c>
      <c r="K164" t="s">
        <v>775</v>
      </c>
      <c r="L164">
        <v>608254</v>
      </c>
      <c r="N164">
        <v>1013</v>
      </c>
      <c r="O164" t="s">
        <v>776</v>
      </c>
      <c r="P164" t="s">
        <v>776</v>
      </c>
      <c r="Q164">
        <v>1</v>
      </c>
      <c r="X164">
        <v>0.11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1</v>
      </c>
      <c r="AE164">
        <v>2</v>
      </c>
      <c r="AF164" t="s">
        <v>126</v>
      </c>
      <c r="AG164">
        <v>0.15812499999999999</v>
      </c>
      <c r="AH164">
        <v>2</v>
      </c>
      <c r="AI164">
        <v>31029025</v>
      </c>
      <c r="AJ164">
        <v>141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>
      <c r="A165">
        <f>ROW(Source!A138)</f>
        <v>138</v>
      </c>
      <c r="B165">
        <v>31029039</v>
      </c>
      <c r="C165">
        <v>31029023</v>
      </c>
      <c r="D165">
        <v>29147520</v>
      </c>
      <c r="E165">
        <v>1</v>
      </c>
      <c r="F165">
        <v>1</v>
      </c>
      <c r="G165">
        <v>1</v>
      </c>
      <c r="H165">
        <v>2</v>
      </c>
      <c r="I165" t="s">
        <v>777</v>
      </c>
      <c r="J165" t="s">
        <v>778</v>
      </c>
      <c r="K165" t="s">
        <v>779</v>
      </c>
      <c r="L165">
        <v>1368</v>
      </c>
      <c r="N165">
        <v>1011</v>
      </c>
      <c r="O165" t="s">
        <v>780</v>
      </c>
      <c r="P165" t="s">
        <v>780</v>
      </c>
      <c r="Q165">
        <v>1</v>
      </c>
      <c r="X165">
        <v>0.11</v>
      </c>
      <c r="Y165">
        <v>0</v>
      </c>
      <c r="Z165">
        <v>85.93</v>
      </c>
      <c r="AA165">
        <v>13.03</v>
      </c>
      <c r="AB165">
        <v>0</v>
      </c>
      <c r="AC165">
        <v>0</v>
      </c>
      <c r="AD165">
        <v>1</v>
      </c>
      <c r="AE165">
        <v>0</v>
      </c>
      <c r="AF165" t="s">
        <v>126</v>
      </c>
      <c r="AG165">
        <v>0.15812499999999999</v>
      </c>
      <c r="AH165">
        <v>2</v>
      </c>
      <c r="AI165">
        <v>31029026</v>
      </c>
      <c r="AJ165">
        <v>142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>
      <c r="A166">
        <f>ROW(Source!A138)</f>
        <v>138</v>
      </c>
      <c r="B166">
        <v>31029040</v>
      </c>
      <c r="C166">
        <v>31029023</v>
      </c>
      <c r="D166">
        <v>29148219</v>
      </c>
      <c r="E166">
        <v>1</v>
      </c>
      <c r="F166">
        <v>1</v>
      </c>
      <c r="G166">
        <v>1</v>
      </c>
      <c r="H166">
        <v>2</v>
      </c>
      <c r="I166" t="s">
        <v>784</v>
      </c>
      <c r="J166" t="s">
        <v>785</v>
      </c>
      <c r="K166" t="s">
        <v>786</v>
      </c>
      <c r="L166">
        <v>1368</v>
      </c>
      <c r="N166">
        <v>1011</v>
      </c>
      <c r="O166" t="s">
        <v>780</v>
      </c>
      <c r="P166" t="s">
        <v>780</v>
      </c>
      <c r="Q166">
        <v>1</v>
      </c>
      <c r="X166">
        <v>1</v>
      </c>
      <c r="Y166">
        <v>0</v>
      </c>
      <c r="Z166">
        <v>30</v>
      </c>
      <c r="AA166">
        <v>0</v>
      </c>
      <c r="AB166">
        <v>0</v>
      </c>
      <c r="AC166">
        <v>0</v>
      </c>
      <c r="AD166">
        <v>1</v>
      </c>
      <c r="AE166">
        <v>0</v>
      </c>
      <c r="AF166" t="s">
        <v>126</v>
      </c>
      <c r="AG166">
        <v>1.4375</v>
      </c>
      <c r="AH166">
        <v>2</v>
      </c>
      <c r="AI166">
        <v>31029027</v>
      </c>
      <c r="AJ166">
        <v>143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>
      <c r="A167">
        <f>ROW(Source!A138)</f>
        <v>138</v>
      </c>
      <c r="B167">
        <v>31029041</v>
      </c>
      <c r="C167">
        <v>31029023</v>
      </c>
      <c r="D167">
        <v>29149520</v>
      </c>
      <c r="E167">
        <v>1</v>
      </c>
      <c r="F167">
        <v>1</v>
      </c>
      <c r="G167">
        <v>1</v>
      </c>
      <c r="H167">
        <v>2</v>
      </c>
      <c r="I167" t="s">
        <v>790</v>
      </c>
      <c r="J167" t="s">
        <v>791</v>
      </c>
      <c r="K167" t="s">
        <v>792</v>
      </c>
      <c r="L167">
        <v>1368</v>
      </c>
      <c r="N167">
        <v>1011</v>
      </c>
      <c r="O167" t="s">
        <v>780</v>
      </c>
      <c r="P167" t="s">
        <v>780</v>
      </c>
      <c r="Q167">
        <v>1</v>
      </c>
      <c r="X167">
        <v>0.15</v>
      </c>
      <c r="Y167">
        <v>0</v>
      </c>
      <c r="Z167">
        <v>91.62</v>
      </c>
      <c r="AA167">
        <v>0</v>
      </c>
      <c r="AB167">
        <v>0</v>
      </c>
      <c r="AC167">
        <v>0</v>
      </c>
      <c r="AD167">
        <v>1</v>
      </c>
      <c r="AE167">
        <v>0</v>
      </c>
      <c r="AF167" t="s">
        <v>126</v>
      </c>
      <c r="AG167">
        <v>0.21562499999999998</v>
      </c>
      <c r="AH167">
        <v>2</v>
      </c>
      <c r="AI167">
        <v>31029028</v>
      </c>
      <c r="AJ167">
        <v>144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>
      <c r="A168">
        <f>ROW(Source!A138)</f>
        <v>138</v>
      </c>
      <c r="B168">
        <v>31029042</v>
      </c>
      <c r="C168">
        <v>31029023</v>
      </c>
      <c r="D168">
        <v>29151859</v>
      </c>
      <c r="E168">
        <v>1</v>
      </c>
      <c r="F168">
        <v>1</v>
      </c>
      <c r="G168">
        <v>1</v>
      </c>
      <c r="H168">
        <v>3</v>
      </c>
      <c r="I168" t="s">
        <v>799</v>
      </c>
      <c r="J168" t="s">
        <v>800</v>
      </c>
      <c r="K168" t="s">
        <v>801</v>
      </c>
      <c r="L168">
        <v>1348</v>
      </c>
      <c r="N168">
        <v>1009</v>
      </c>
      <c r="O168" t="s">
        <v>137</v>
      </c>
      <c r="P168" t="s">
        <v>137</v>
      </c>
      <c r="Q168">
        <v>1000</v>
      </c>
      <c r="X168">
        <v>4.0000000000000001E-3</v>
      </c>
      <c r="Y168">
        <v>1215.8</v>
      </c>
      <c r="Z168">
        <v>0</v>
      </c>
      <c r="AA168">
        <v>0</v>
      </c>
      <c r="AB168">
        <v>0</v>
      </c>
      <c r="AC168">
        <v>0</v>
      </c>
      <c r="AD168">
        <v>1</v>
      </c>
      <c r="AE168">
        <v>0</v>
      </c>
      <c r="AF168" t="s">
        <v>6</v>
      </c>
      <c r="AG168">
        <v>4.0000000000000001E-3</v>
      </c>
      <c r="AH168">
        <v>2</v>
      </c>
      <c r="AI168">
        <v>31029029</v>
      </c>
      <c r="AJ168">
        <v>145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>
      <c r="A169">
        <f>ROW(Source!A138)</f>
        <v>138</v>
      </c>
      <c r="B169">
        <v>31029043</v>
      </c>
      <c r="C169">
        <v>31029023</v>
      </c>
      <c r="D169">
        <v>29151963</v>
      </c>
      <c r="E169">
        <v>1</v>
      </c>
      <c r="F169">
        <v>1</v>
      </c>
      <c r="G169">
        <v>1</v>
      </c>
      <c r="H169">
        <v>3</v>
      </c>
      <c r="I169" t="s">
        <v>900</v>
      </c>
      <c r="J169" t="s">
        <v>901</v>
      </c>
      <c r="K169" t="s">
        <v>902</v>
      </c>
      <c r="L169">
        <v>1348</v>
      </c>
      <c r="N169">
        <v>1009</v>
      </c>
      <c r="O169" t="s">
        <v>137</v>
      </c>
      <c r="P169" t="s">
        <v>137</v>
      </c>
      <c r="Q169">
        <v>1000</v>
      </c>
      <c r="X169">
        <v>3.5000000000000003E-2</v>
      </c>
      <c r="Y169">
        <v>10000</v>
      </c>
      <c r="Z169">
        <v>0</v>
      </c>
      <c r="AA169">
        <v>0</v>
      </c>
      <c r="AB169">
        <v>0</v>
      </c>
      <c r="AC169">
        <v>0</v>
      </c>
      <c r="AD169">
        <v>1</v>
      </c>
      <c r="AE169">
        <v>0</v>
      </c>
      <c r="AF169" t="s">
        <v>6</v>
      </c>
      <c r="AG169">
        <v>3.5000000000000003E-2</v>
      </c>
      <c r="AH169">
        <v>2</v>
      </c>
      <c r="AI169">
        <v>31029030</v>
      </c>
      <c r="AJ169">
        <v>146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>
      <c r="A170">
        <f>ROW(Source!A138)</f>
        <v>138</v>
      </c>
      <c r="B170">
        <v>31029044</v>
      </c>
      <c r="C170">
        <v>31029023</v>
      </c>
      <c r="D170">
        <v>29151997</v>
      </c>
      <c r="E170">
        <v>1</v>
      </c>
      <c r="F170">
        <v>1</v>
      </c>
      <c r="G170">
        <v>1</v>
      </c>
      <c r="H170">
        <v>3</v>
      </c>
      <c r="I170" t="s">
        <v>802</v>
      </c>
      <c r="J170" t="s">
        <v>803</v>
      </c>
      <c r="K170" t="s">
        <v>804</v>
      </c>
      <c r="L170">
        <v>1327</v>
      </c>
      <c r="N170">
        <v>1005</v>
      </c>
      <c r="O170" t="s">
        <v>284</v>
      </c>
      <c r="P170" t="s">
        <v>284</v>
      </c>
      <c r="Q170">
        <v>1</v>
      </c>
      <c r="X170">
        <v>5</v>
      </c>
      <c r="Y170">
        <v>6.17</v>
      </c>
      <c r="Z170">
        <v>0</v>
      </c>
      <c r="AA170">
        <v>0</v>
      </c>
      <c r="AB170">
        <v>0</v>
      </c>
      <c r="AC170">
        <v>0</v>
      </c>
      <c r="AD170">
        <v>1</v>
      </c>
      <c r="AE170">
        <v>0</v>
      </c>
      <c r="AF170" t="s">
        <v>6</v>
      </c>
      <c r="AG170">
        <v>5</v>
      </c>
      <c r="AH170">
        <v>2</v>
      </c>
      <c r="AI170">
        <v>31029031</v>
      </c>
      <c r="AJ170">
        <v>147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>
      <c r="A171">
        <f>ROW(Source!A138)</f>
        <v>138</v>
      </c>
      <c r="B171">
        <v>31029045</v>
      </c>
      <c r="C171">
        <v>31029023</v>
      </c>
      <c r="D171">
        <v>29152054</v>
      </c>
      <c r="E171">
        <v>1</v>
      </c>
      <c r="F171">
        <v>1</v>
      </c>
      <c r="G171">
        <v>1</v>
      </c>
      <c r="H171">
        <v>3</v>
      </c>
      <c r="I171" t="s">
        <v>805</v>
      </c>
      <c r="J171" t="s">
        <v>806</v>
      </c>
      <c r="K171" t="s">
        <v>807</v>
      </c>
      <c r="L171">
        <v>1348</v>
      </c>
      <c r="N171">
        <v>1009</v>
      </c>
      <c r="O171" t="s">
        <v>137</v>
      </c>
      <c r="P171" t="s">
        <v>137</v>
      </c>
      <c r="Q171">
        <v>1000</v>
      </c>
      <c r="X171">
        <v>3.7000000000000002E-3</v>
      </c>
      <c r="Y171">
        <v>10183</v>
      </c>
      <c r="Z171">
        <v>0</v>
      </c>
      <c r="AA171">
        <v>0</v>
      </c>
      <c r="AB171">
        <v>0</v>
      </c>
      <c r="AC171">
        <v>0</v>
      </c>
      <c r="AD171">
        <v>1</v>
      </c>
      <c r="AE171">
        <v>0</v>
      </c>
      <c r="AF171" t="s">
        <v>6</v>
      </c>
      <c r="AG171">
        <v>3.7000000000000002E-3</v>
      </c>
      <c r="AH171">
        <v>2</v>
      </c>
      <c r="AI171">
        <v>31029032</v>
      </c>
      <c r="AJ171">
        <v>148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>
      <c r="A172">
        <f>ROW(Source!A138)</f>
        <v>138</v>
      </c>
      <c r="B172">
        <v>31029046</v>
      </c>
      <c r="C172">
        <v>31029023</v>
      </c>
      <c r="D172">
        <v>29152514</v>
      </c>
      <c r="E172">
        <v>1</v>
      </c>
      <c r="F172">
        <v>1</v>
      </c>
      <c r="G172">
        <v>1</v>
      </c>
      <c r="H172">
        <v>3</v>
      </c>
      <c r="I172" t="s">
        <v>903</v>
      </c>
      <c r="J172" t="s">
        <v>904</v>
      </c>
      <c r="K172" t="s">
        <v>905</v>
      </c>
      <c r="L172">
        <v>1348</v>
      </c>
      <c r="N172">
        <v>1009</v>
      </c>
      <c r="O172" t="s">
        <v>137</v>
      </c>
      <c r="P172" t="s">
        <v>137</v>
      </c>
      <c r="Q172">
        <v>1000</v>
      </c>
      <c r="X172">
        <v>5.0000000000000001E-4</v>
      </c>
      <c r="Y172">
        <v>3821.99</v>
      </c>
      <c r="Z172">
        <v>0</v>
      </c>
      <c r="AA172">
        <v>0</v>
      </c>
      <c r="AB172">
        <v>0</v>
      </c>
      <c r="AC172">
        <v>0</v>
      </c>
      <c r="AD172">
        <v>1</v>
      </c>
      <c r="AE172">
        <v>0</v>
      </c>
      <c r="AF172" t="s">
        <v>6</v>
      </c>
      <c r="AG172">
        <v>5.0000000000000001E-4</v>
      </c>
      <c r="AH172">
        <v>2</v>
      </c>
      <c r="AI172">
        <v>31029033</v>
      </c>
      <c r="AJ172">
        <v>149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>
      <c r="A173">
        <f>ROW(Source!A138)</f>
        <v>138</v>
      </c>
      <c r="B173">
        <v>31029047</v>
      </c>
      <c r="C173">
        <v>31029023</v>
      </c>
      <c r="D173">
        <v>29172201</v>
      </c>
      <c r="E173">
        <v>1</v>
      </c>
      <c r="F173">
        <v>1</v>
      </c>
      <c r="G173">
        <v>1</v>
      </c>
      <c r="H173">
        <v>3</v>
      </c>
      <c r="I173" t="s">
        <v>313</v>
      </c>
      <c r="J173" t="s">
        <v>316</v>
      </c>
      <c r="K173" t="s">
        <v>314</v>
      </c>
      <c r="L173">
        <v>1301</v>
      </c>
      <c r="N173">
        <v>1003</v>
      </c>
      <c r="O173" t="s">
        <v>315</v>
      </c>
      <c r="P173" t="s">
        <v>315</v>
      </c>
      <c r="Q173">
        <v>1</v>
      </c>
      <c r="X173">
        <v>50.7</v>
      </c>
      <c r="Y173">
        <v>37.44</v>
      </c>
      <c r="Z173">
        <v>0</v>
      </c>
      <c r="AA173">
        <v>0</v>
      </c>
      <c r="AB173">
        <v>0</v>
      </c>
      <c r="AC173">
        <v>0</v>
      </c>
      <c r="AD173">
        <v>1</v>
      </c>
      <c r="AE173">
        <v>0</v>
      </c>
      <c r="AF173" t="s">
        <v>6</v>
      </c>
      <c r="AG173">
        <v>50.7</v>
      </c>
      <c r="AH173">
        <v>3</v>
      </c>
      <c r="AI173">
        <v>-1</v>
      </c>
      <c r="AJ173" t="s">
        <v>6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>
      <c r="A174">
        <f>ROW(Source!A138)</f>
        <v>138</v>
      </c>
      <c r="B174">
        <v>31029048</v>
      </c>
      <c r="C174">
        <v>31029023</v>
      </c>
      <c r="D174">
        <v>29186568</v>
      </c>
      <c r="E174">
        <v>1</v>
      </c>
      <c r="F174">
        <v>1</v>
      </c>
      <c r="G174">
        <v>1</v>
      </c>
      <c r="H174">
        <v>3</v>
      </c>
      <c r="I174" t="s">
        <v>906</v>
      </c>
      <c r="J174" t="s">
        <v>907</v>
      </c>
      <c r="K174" t="s">
        <v>908</v>
      </c>
      <c r="L174">
        <v>1339</v>
      </c>
      <c r="N174">
        <v>1007</v>
      </c>
      <c r="O174" t="s">
        <v>109</v>
      </c>
      <c r="P174" t="s">
        <v>109</v>
      </c>
      <c r="Q174">
        <v>1</v>
      </c>
      <c r="X174">
        <v>0.23</v>
      </c>
      <c r="Y174">
        <v>444.73</v>
      </c>
      <c r="Z174">
        <v>0</v>
      </c>
      <c r="AA174">
        <v>0</v>
      </c>
      <c r="AB174">
        <v>0</v>
      </c>
      <c r="AC174">
        <v>0</v>
      </c>
      <c r="AD174">
        <v>1</v>
      </c>
      <c r="AE174">
        <v>0</v>
      </c>
      <c r="AF174" t="s">
        <v>6</v>
      </c>
      <c r="AG174">
        <v>0.23</v>
      </c>
      <c r="AH174">
        <v>2</v>
      </c>
      <c r="AI174">
        <v>31029034</v>
      </c>
      <c r="AJ174">
        <v>150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>
      <c r="A175">
        <f>ROW(Source!A138)</f>
        <v>138</v>
      </c>
      <c r="B175">
        <v>31029049</v>
      </c>
      <c r="C175">
        <v>31029023</v>
      </c>
      <c r="D175">
        <v>29194450</v>
      </c>
      <c r="E175">
        <v>1</v>
      </c>
      <c r="F175">
        <v>1</v>
      </c>
      <c r="G175">
        <v>1</v>
      </c>
      <c r="H175">
        <v>3</v>
      </c>
      <c r="I175" t="s">
        <v>817</v>
      </c>
      <c r="J175" t="s">
        <v>818</v>
      </c>
      <c r="K175" t="s">
        <v>819</v>
      </c>
      <c r="L175">
        <v>1348</v>
      </c>
      <c r="N175">
        <v>1009</v>
      </c>
      <c r="O175" t="s">
        <v>137</v>
      </c>
      <c r="P175" t="s">
        <v>137</v>
      </c>
      <c r="Q175">
        <v>1000</v>
      </c>
      <c r="X175">
        <v>0.2</v>
      </c>
      <c r="Y175">
        <v>728.98</v>
      </c>
      <c r="Z175">
        <v>0</v>
      </c>
      <c r="AA175">
        <v>0</v>
      </c>
      <c r="AB175">
        <v>0</v>
      </c>
      <c r="AC175">
        <v>0</v>
      </c>
      <c r="AD175">
        <v>1</v>
      </c>
      <c r="AE175">
        <v>0</v>
      </c>
      <c r="AF175" t="s">
        <v>6</v>
      </c>
      <c r="AG175">
        <v>0.2</v>
      </c>
      <c r="AH175">
        <v>2</v>
      </c>
      <c r="AI175">
        <v>31029035</v>
      </c>
      <c r="AJ175">
        <v>151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>
      <c r="A176">
        <f>ROW(Source!A138)</f>
        <v>138</v>
      </c>
      <c r="B176">
        <v>31029050</v>
      </c>
      <c r="C176">
        <v>31029023</v>
      </c>
      <c r="D176">
        <v>29195171</v>
      </c>
      <c r="E176">
        <v>1</v>
      </c>
      <c r="F176">
        <v>1</v>
      </c>
      <c r="G176">
        <v>1</v>
      </c>
      <c r="H176">
        <v>3</v>
      </c>
      <c r="I176" t="s">
        <v>830</v>
      </c>
      <c r="J176" t="s">
        <v>831</v>
      </c>
      <c r="K176" t="s">
        <v>832</v>
      </c>
      <c r="L176">
        <v>1339</v>
      </c>
      <c r="N176">
        <v>1007</v>
      </c>
      <c r="O176" t="s">
        <v>109</v>
      </c>
      <c r="P176" t="s">
        <v>109</v>
      </c>
      <c r="Q176">
        <v>1</v>
      </c>
      <c r="X176">
        <v>0.4</v>
      </c>
      <c r="Y176">
        <v>2.4500000000000002</v>
      </c>
      <c r="Z176">
        <v>0</v>
      </c>
      <c r="AA176">
        <v>0</v>
      </c>
      <c r="AB176">
        <v>0</v>
      </c>
      <c r="AC176">
        <v>0</v>
      </c>
      <c r="AD176">
        <v>1</v>
      </c>
      <c r="AE176">
        <v>0</v>
      </c>
      <c r="AF176" t="s">
        <v>6</v>
      </c>
      <c r="AG176">
        <v>0.4</v>
      </c>
      <c r="AH176">
        <v>2</v>
      </c>
      <c r="AI176">
        <v>31029036</v>
      </c>
      <c r="AJ176">
        <v>152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>
      <c r="A177">
        <f>ROW(Source!A141)</f>
        <v>141</v>
      </c>
      <c r="B177">
        <v>31029064</v>
      </c>
      <c r="C177">
        <v>31029053</v>
      </c>
      <c r="D177">
        <v>29084588</v>
      </c>
      <c r="E177">
        <v>1</v>
      </c>
      <c r="F177">
        <v>1</v>
      </c>
      <c r="G177">
        <v>1</v>
      </c>
      <c r="H177">
        <v>1</v>
      </c>
      <c r="I177" t="s">
        <v>909</v>
      </c>
      <c r="J177" t="s">
        <v>6</v>
      </c>
      <c r="K177" t="s">
        <v>910</v>
      </c>
      <c r="L177">
        <v>1369</v>
      </c>
      <c r="N177">
        <v>1013</v>
      </c>
      <c r="O177" t="s">
        <v>773</v>
      </c>
      <c r="P177" t="s">
        <v>773</v>
      </c>
      <c r="Q177">
        <v>1</v>
      </c>
      <c r="X177">
        <v>138.6</v>
      </c>
      <c r="Y177">
        <v>0</v>
      </c>
      <c r="Z177">
        <v>0</v>
      </c>
      <c r="AA177">
        <v>0</v>
      </c>
      <c r="AB177">
        <v>8.76</v>
      </c>
      <c r="AC177">
        <v>0</v>
      </c>
      <c r="AD177">
        <v>1</v>
      </c>
      <c r="AE177">
        <v>1</v>
      </c>
      <c r="AF177" t="s">
        <v>127</v>
      </c>
      <c r="AG177">
        <v>183.29849999999996</v>
      </c>
      <c r="AH177">
        <v>2</v>
      </c>
      <c r="AI177">
        <v>31029054</v>
      </c>
      <c r="AJ177">
        <v>153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>
      <c r="A178">
        <f>ROW(Source!A141)</f>
        <v>141</v>
      </c>
      <c r="B178">
        <v>31029065</v>
      </c>
      <c r="C178">
        <v>31029053</v>
      </c>
      <c r="D178">
        <v>29084573</v>
      </c>
      <c r="E178">
        <v>1</v>
      </c>
      <c r="F178">
        <v>1</v>
      </c>
      <c r="G178">
        <v>1</v>
      </c>
      <c r="H178">
        <v>1</v>
      </c>
      <c r="I178" t="s">
        <v>774</v>
      </c>
      <c r="J178" t="s">
        <v>6</v>
      </c>
      <c r="K178" t="s">
        <v>775</v>
      </c>
      <c r="L178">
        <v>608254</v>
      </c>
      <c r="N178">
        <v>1013</v>
      </c>
      <c r="O178" t="s">
        <v>776</v>
      </c>
      <c r="P178" t="s">
        <v>776</v>
      </c>
      <c r="Q178">
        <v>1</v>
      </c>
      <c r="X178">
        <v>0.01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1</v>
      </c>
      <c r="AE178">
        <v>2</v>
      </c>
      <c r="AF178" t="s">
        <v>126</v>
      </c>
      <c r="AG178">
        <v>1.4374999999999999E-2</v>
      </c>
      <c r="AH178">
        <v>2</v>
      </c>
      <c r="AI178">
        <v>31029055</v>
      </c>
      <c r="AJ178">
        <v>154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>
      <c r="A179">
        <f>ROW(Source!A141)</f>
        <v>141</v>
      </c>
      <c r="B179">
        <v>31029066</v>
      </c>
      <c r="C179">
        <v>31029053</v>
      </c>
      <c r="D179">
        <v>29147732</v>
      </c>
      <c r="E179">
        <v>1</v>
      </c>
      <c r="F179">
        <v>1</v>
      </c>
      <c r="G179">
        <v>1</v>
      </c>
      <c r="H179">
        <v>2</v>
      </c>
      <c r="I179" t="s">
        <v>846</v>
      </c>
      <c r="J179" t="s">
        <v>847</v>
      </c>
      <c r="K179" t="s">
        <v>848</v>
      </c>
      <c r="L179">
        <v>1368</v>
      </c>
      <c r="N179">
        <v>1011</v>
      </c>
      <c r="O179" t="s">
        <v>780</v>
      </c>
      <c r="P179" t="s">
        <v>780</v>
      </c>
      <c r="Q179">
        <v>1</v>
      </c>
      <c r="X179">
        <v>0.01</v>
      </c>
      <c r="Y179">
        <v>0</v>
      </c>
      <c r="Z179">
        <v>30.85</v>
      </c>
      <c r="AA179">
        <v>13.03</v>
      </c>
      <c r="AB179">
        <v>0</v>
      </c>
      <c r="AC179">
        <v>0</v>
      </c>
      <c r="AD179">
        <v>1</v>
      </c>
      <c r="AE179">
        <v>0</v>
      </c>
      <c r="AF179" t="s">
        <v>126</v>
      </c>
      <c r="AG179">
        <v>1.4374999999999999E-2</v>
      </c>
      <c r="AH179">
        <v>2</v>
      </c>
      <c r="AI179">
        <v>31029056</v>
      </c>
      <c r="AJ179">
        <v>155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>
      <c r="A180">
        <f>ROW(Source!A141)</f>
        <v>141</v>
      </c>
      <c r="B180">
        <v>31029067</v>
      </c>
      <c r="C180">
        <v>31029053</v>
      </c>
      <c r="D180">
        <v>29149520</v>
      </c>
      <c r="E180">
        <v>1</v>
      </c>
      <c r="F180">
        <v>1</v>
      </c>
      <c r="G180">
        <v>1</v>
      </c>
      <c r="H180">
        <v>2</v>
      </c>
      <c r="I180" t="s">
        <v>790</v>
      </c>
      <c r="J180" t="s">
        <v>791</v>
      </c>
      <c r="K180" t="s">
        <v>792</v>
      </c>
      <c r="L180">
        <v>1368</v>
      </c>
      <c r="N180">
        <v>1011</v>
      </c>
      <c r="O180" t="s">
        <v>780</v>
      </c>
      <c r="P180" t="s">
        <v>780</v>
      </c>
      <c r="Q180">
        <v>1</v>
      </c>
      <c r="X180">
        <v>0.09</v>
      </c>
      <c r="Y180">
        <v>0</v>
      </c>
      <c r="Z180">
        <v>91.62</v>
      </c>
      <c r="AA180">
        <v>0</v>
      </c>
      <c r="AB180">
        <v>0</v>
      </c>
      <c r="AC180">
        <v>0</v>
      </c>
      <c r="AD180">
        <v>1</v>
      </c>
      <c r="AE180">
        <v>0</v>
      </c>
      <c r="AF180" t="s">
        <v>126</v>
      </c>
      <c r="AG180">
        <v>0.12937499999999999</v>
      </c>
      <c r="AH180">
        <v>2</v>
      </c>
      <c r="AI180">
        <v>31029057</v>
      </c>
      <c r="AJ180">
        <v>156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>
      <c r="A181">
        <f>ROW(Source!A141)</f>
        <v>141</v>
      </c>
      <c r="B181">
        <v>31029068</v>
      </c>
      <c r="C181">
        <v>31029053</v>
      </c>
      <c r="D181">
        <v>29150778</v>
      </c>
      <c r="E181">
        <v>1</v>
      </c>
      <c r="F181">
        <v>1</v>
      </c>
      <c r="G181">
        <v>1</v>
      </c>
      <c r="H181">
        <v>3</v>
      </c>
      <c r="I181" t="s">
        <v>911</v>
      </c>
      <c r="J181" t="s">
        <v>912</v>
      </c>
      <c r="K181" t="s">
        <v>913</v>
      </c>
      <c r="L181">
        <v>1348</v>
      </c>
      <c r="N181">
        <v>1009</v>
      </c>
      <c r="O181" t="s">
        <v>137</v>
      </c>
      <c r="P181" t="s">
        <v>137</v>
      </c>
      <c r="Q181">
        <v>1000</v>
      </c>
      <c r="X181">
        <v>2.5440000000000001E-2</v>
      </c>
      <c r="Y181">
        <v>14970</v>
      </c>
      <c r="Z181">
        <v>0</v>
      </c>
      <c r="AA181">
        <v>0</v>
      </c>
      <c r="AB181">
        <v>0</v>
      </c>
      <c r="AC181">
        <v>0</v>
      </c>
      <c r="AD181">
        <v>1</v>
      </c>
      <c r="AE181">
        <v>0</v>
      </c>
      <c r="AF181" t="s">
        <v>6</v>
      </c>
      <c r="AG181">
        <v>2.5440000000000001E-2</v>
      </c>
      <c r="AH181">
        <v>2</v>
      </c>
      <c r="AI181">
        <v>31029058</v>
      </c>
      <c r="AJ181">
        <v>157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>
      <c r="A182">
        <f>ROW(Source!A141)</f>
        <v>141</v>
      </c>
      <c r="B182">
        <v>31029069</v>
      </c>
      <c r="C182">
        <v>31029053</v>
      </c>
      <c r="D182">
        <v>29151861</v>
      </c>
      <c r="E182">
        <v>1</v>
      </c>
      <c r="F182">
        <v>1</v>
      </c>
      <c r="G182">
        <v>1</v>
      </c>
      <c r="H182">
        <v>3</v>
      </c>
      <c r="I182" t="s">
        <v>835</v>
      </c>
      <c r="J182" t="s">
        <v>836</v>
      </c>
      <c r="K182" t="s">
        <v>837</v>
      </c>
      <c r="L182">
        <v>1327</v>
      </c>
      <c r="N182">
        <v>1005</v>
      </c>
      <c r="O182" t="s">
        <v>284</v>
      </c>
      <c r="P182" t="s">
        <v>284</v>
      </c>
      <c r="Q182">
        <v>1</v>
      </c>
      <c r="X182">
        <v>0.84</v>
      </c>
      <c r="Y182">
        <v>73.39</v>
      </c>
      <c r="Z182">
        <v>0</v>
      </c>
      <c r="AA182">
        <v>0</v>
      </c>
      <c r="AB182">
        <v>0</v>
      </c>
      <c r="AC182">
        <v>0</v>
      </c>
      <c r="AD182">
        <v>1</v>
      </c>
      <c r="AE182">
        <v>0</v>
      </c>
      <c r="AF182" t="s">
        <v>6</v>
      </c>
      <c r="AG182">
        <v>0.84</v>
      </c>
      <c r="AH182">
        <v>2</v>
      </c>
      <c r="AI182">
        <v>31029059</v>
      </c>
      <c r="AJ182">
        <v>158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>
      <c r="A183">
        <f>ROW(Source!A141)</f>
        <v>141</v>
      </c>
      <c r="B183">
        <v>31029070</v>
      </c>
      <c r="C183">
        <v>31029053</v>
      </c>
      <c r="D183">
        <v>29151929</v>
      </c>
      <c r="E183">
        <v>1</v>
      </c>
      <c r="F183">
        <v>1</v>
      </c>
      <c r="G183">
        <v>1</v>
      </c>
      <c r="H183">
        <v>3</v>
      </c>
      <c r="I183" t="s">
        <v>914</v>
      </c>
      <c r="J183" t="s">
        <v>915</v>
      </c>
      <c r="K183" t="s">
        <v>916</v>
      </c>
      <c r="L183">
        <v>1348</v>
      </c>
      <c r="N183">
        <v>1009</v>
      </c>
      <c r="O183" t="s">
        <v>137</v>
      </c>
      <c r="P183" t="s">
        <v>137</v>
      </c>
      <c r="Q183">
        <v>1000</v>
      </c>
      <c r="X183">
        <v>3.9E-2</v>
      </c>
      <c r="Y183">
        <v>3151.95</v>
      </c>
      <c r="Z183">
        <v>0</v>
      </c>
      <c r="AA183">
        <v>0</v>
      </c>
      <c r="AB183">
        <v>0</v>
      </c>
      <c r="AC183">
        <v>0</v>
      </c>
      <c r="AD183">
        <v>1</v>
      </c>
      <c r="AE183">
        <v>0</v>
      </c>
      <c r="AF183" t="s">
        <v>6</v>
      </c>
      <c r="AG183">
        <v>3.9E-2</v>
      </c>
      <c r="AH183">
        <v>2</v>
      </c>
      <c r="AI183">
        <v>31029060</v>
      </c>
      <c r="AJ183">
        <v>159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>
      <c r="A184">
        <f>ROW(Source!A141)</f>
        <v>141</v>
      </c>
      <c r="B184">
        <v>31029071</v>
      </c>
      <c r="C184">
        <v>31029053</v>
      </c>
      <c r="D184">
        <v>29152014</v>
      </c>
      <c r="E184">
        <v>1</v>
      </c>
      <c r="F184">
        <v>1</v>
      </c>
      <c r="G184">
        <v>1</v>
      </c>
      <c r="H184">
        <v>3</v>
      </c>
      <c r="I184" t="s">
        <v>838</v>
      </c>
      <c r="J184" t="s">
        <v>839</v>
      </c>
      <c r="K184" t="s">
        <v>840</v>
      </c>
      <c r="L184">
        <v>1346</v>
      </c>
      <c r="N184">
        <v>1009</v>
      </c>
      <c r="O184" t="s">
        <v>118</v>
      </c>
      <c r="P184" t="s">
        <v>118</v>
      </c>
      <c r="Q184">
        <v>1</v>
      </c>
      <c r="X184">
        <v>0.31</v>
      </c>
      <c r="Y184">
        <v>1.94</v>
      </c>
      <c r="Z184">
        <v>0</v>
      </c>
      <c r="AA184">
        <v>0</v>
      </c>
      <c r="AB184">
        <v>0</v>
      </c>
      <c r="AC184">
        <v>0</v>
      </c>
      <c r="AD184">
        <v>1</v>
      </c>
      <c r="AE184">
        <v>0</v>
      </c>
      <c r="AF184" t="s">
        <v>6</v>
      </c>
      <c r="AG184">
        <v>0.31</v>
      </c>
      <c r="AH184">
        <v>2</v>
      </c>
      <c r="AI184">
        <v>31029061</v>
      </c>
      <c r="AJ184">
        <v>160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>
      <c r="A185">
        <f>ROW(Source!A141)</f>
        <v>141</v>
      </c>
      <c r="B185">
        <v>31029072</v>
      </c>
      <c r="C185">
        <v>31029053</v>
      </c>
      <c r="D185">
        <v>29152072</v>
      </c>
      <c r="E185">
        <v>1</v>
      </c>
      <c r="F185">
        <v>1</v>
      </c>
      <c r="G185">
        <v>1</v>
      </c>
      <c r="H185">
        <v>3</v>
      </c>
      <c r="I185" t="s">
        <v>917</v>
      </c>
      <c r="J185" t="s">
        <v>918</v>
      </c>
      <c r="K185" t="s">
        <v>919</v>
      </c>
      <c r="L185">
        <v>1348</v>
      </c>
      <c r="N185">
        <v>1009</v>
      </c>
      <c r="O185" t="s">
        <v>137</v>
      </c>
      <c r="P185" t="s">
        <v>137</v>
      </c>
      <c r="Q185">
        <v>1000</v>
      </c>
      <c r="X185">
        <v>2.0999999999999999E-3</v>
      </c>
      <c r="Y185">
        <v>17644</v>
      </c>
      <c r="Z185">
        <v>0</v>
      </c>
      <c r="AA185">
        <v>0</v>
      </c>
      <c r="AB185">
        <v>0</v>
      </c>
      <c r="AC185">
        <v>0</v>
      </c>
      <c r="AD185">
        <v>1</v>
      </c>
      <c r="AE185">
        <v>0</v>
      </c>
      <c r="AF185" t="s">
        <v>6</v>
      </c>
      <c r="AG185">
        <v>2.0999999999999999E-3</v>
      </c>
      <c r="AH185">
        <v>2</v>
      </c>
      <c r="AI185">
        <v>31029062</v>
      </c>
      <c r="AJ185">
        <v>161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>
      <c r="A186">
        <f>ROW(Source!A141)</f>
        <v>141</v>
      </c>
      <c r="B186">
        <v>31029073</v>
      </c>
      <c r="C186">
        <v>31029053</v>
      </c>
      <c r="D186">
        <v>29195057</v>
      </c>
      <c r="E186">
        <v>1</v>
      </c>
      <c r="F186">
        <v>1</v>
      </c>
      <c r="G186">
        <v>1</v>
      </c>
      <c r="H186">
        <v>3</v>
      </c>
      <c r="I186" t="s">
        <v>871</v>
      </c>
      <c r="J186" t="s">
        <v>872</v>
      </c>
      <c r="K186" t="s">
        <v>873</v>
      </c>
      <c r="L186">
        <v>1339</v>
      </c>
      <c r="N186">
        <v>1007</v>
      </c>
      <c r="O186" t="s">
        <v>109</v>
      </c>
      <c r="P186" t="s">
        <v>109</v>
      </c>
      <c r="Q186">
        <v>1</v>
      </c>
      <c r="X186">
        <v>2.3999999999999998E-3</v>
      </c>
      <c r="Y186">
        <v>74.58</v>
      </c>
      <c r="Z186">
        <v>0</v>
      </c>
      <c r="AA186">
        <v>0</v>
      </c>
      <c r="AB186">
        <v>0</v>
      </c>
      <c r="AC186">
        <v>0</v>
      </c>
      <c r="AD186">
        <v>1</v>
      </c>
      <c r="AE186">
        <v>0</v>
      </c>
      <c r="AF186" t="s">
        <v>6</v>
      </c>
      <c r="AG186">
        <v>2.3999999999999998E-3</v>
      </c>
      <c r="AH186">
        <v>2</v>
      </c>
      <c r="AI186">
        <v>31029063</v>
      </c>
      <c r="AJ186">
        <v>162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>
      <c r="A187">
        <f>ROW(Source!A142)</f>
        <v>142</v>
      </c>
      <c r="B187">
        <v>31029082</v>
      </c>
      <c r="C187">
        <v>31029074</v>
      </c>
      <c r="D187">
        <v>29084583</v>
      </c>
      <c r="E187">
        <v>1</v>
      </c>
      <c r="F187">
        <v>1</v>
      </c>
      <c r="G187">
        <v>1</v>
      </c>
      <c r="H187">
        <v>1</v>
      </c>
      <c r="I187" t="s">
        <v>857</v>
      </c>
      <c r="J187" t="s">
        <v>6</v>
      </c>
      <c r="K187" t="s">
        <v>858</v>
      </c>
      <c r="L187">
        <v>1369</v>
      </c>
      <c r="N187">
        <v>1013</v>
      </c>
      <c r="O187" t="s">
        <v>773</v>
      </c>
      <c r="P187" t="s">
        <v>773</v>
      </c>
      <c r="Q187">
        <v>1</v>
      </c>
      <c r="X187">
        <v>112.75</v>
      </c>
      <c r="Y187">
        <v>0</v>
      </c>
      <c r="Z187">
        <v>0</v>
      </c>
      <c r="AA187">
        <v>0</v>
      </c>
      <c r="AB187">
        <v>8.23</v>
      </c>
      <c r="AC187">
        <v>0</v>
      </c>
      <c r="AD187">
        <v>1</v>
      </c>
      <c r="AE187">
        <v>1</v>
      </c>
      <c r="AF187" t="s">
        <v>127</v>
      </c>
      <c r="AG187">
        <v>149.11187499999997</v>
      </c>
      <c r="AH187">
        <v>2</v>
      </c>
      <c r="AI187">
        <v>31029075</v>
      </c>
      <c r="AJ187">
        <v>163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>
      <c r="A188">
        <f>ROW(Source!A142)</f>
        <v>142</v>
      </c>
      <c r="B188">
        <v>31029083</v>
      </c>
      <c r="C188">
        <v>31029074</v>
      </c>
      <c r="D188">
        <v>29084573</v>
      </c>
      <c r="E188">
        <v>1</v>
      </c>
      <c r="F188">
        <v>1</v>
      </c>
      <c r="G188">
        <v>1</v>
      </c>
      <c r="H188">
        <v>1</v>
      </c>
      <c r="I188" t="s">
        <v>774</v>
      </c>
      <c r="J188" t="s">
        <v>6</v>
      </c>
      <c r="K188" t="s">
        <v>775</v>
      </c>
      <c r="L188">
        <v>608254</v>
      </c>
      <c r="N188">
        <v>1013</v>
      </c>
      <c r="O188" t="s">
        <v>776</v>
      </c>
      <c r="P188" t="s">
        <v>776</v>
      </c>
      <c r="Q188">
        <v>1</v>
      </c>
      <c r="X188">
        <v>0.2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1</v>
      </c>
      <c r="AE188">
        <v>2</v>
      </c>
      <c r="AF188" t="s">
        <v>126</v>
      </c>
      <c r="AG188">
        <v>0.28749999999999998</v>
      </c>
      <c r="AH188">
        <v>2</v>
      </c>
      <c r="AI188">
        <v>31029076</v>
      </c>
      <c r="AJ188">
        <v>164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>
      <c r="A189">
        <f>ROW(Source!A142)</f>
        <v>142</v>
      </c>
      <c r="B189">
        <v>31029084</v>
      </c>
      <c r="C189">
        <v>31029074</v>
      </c>
      <c r="D189">
        <v>29147520</v>
      </c>
      <c r="E189">
        <v>1</v>
      </c>
      <c r="F189">
        <v>1</v>
      </c>
      <c r="G189">
        <v>1</v>
      </c>
      <c r="H189">
        <v>2</v>
      </c>
      <c r="I189" t="s">
        <v>777</v>
      </c>
      <c r="J189" t="s">
        <v>778</v>
      </c>
      <c r="K189" t="s">
        <v>779</v>
      </c>
      <c r="L189">
        <v>1368</v>
      </c>
      <c r="N189">
        <v>1011</v>
      </c>
      <c r="O189" t="s">
        <v>780</v>
      </c>
      <c r="P189" t="s">
        <v>780</v>
      </c>
      <c r="Q189">
        <v>1</v>
      </c>
      <c r="X189">
        <v>0.2</v>
      </c>
      <c r="Y189">
        <v>0</v>
      </c>
      <c r="Z189">
        <v>85.93</v>
      </c>
      <c r="AA189">
        <v>13.03</v>
      </c>
      <c r="AB189">
        <v>0</v>
      </c>
      <c r="AC189">
        <v>0</v>
      </c>
      <c r="AD189">
        <v>1</v>
      </c>
      <c r="AE189">
        <v>0</v>
      </c>
      <c r="AF189" t="s">
        <v>126</v>
      </c>
      <c r="AG189">
        <v>0.28749999999999998</v>
      </c>
      <c r="AH189">
        <v>2</v>
      </c>
      <c r="AI189">
        <v>31029077</v>
      </c>
      <c r="AJ189">
        <v>165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>
      <c r="A190">
        <f>ROW(Source!A142)</f>
        <v>142</v>
      </c>
      <c r="B190">
        <v>31029085</v>
      </c>
      <c r="C190">
        <v>31029074</v>
      </c>
      <c r="D190">
        <v>29149520</v>
      </c>
      <c r="E190">
        <v>1</v>
      </c>
      <c r="F190">
        <v>1</v>
      </c>
      <c r="G190">
        <v>1</v>
      </c>
      <c r="H190">
        <v>2</v>
      </c>
      <c r="I190" t="s">
        <v>790</v>
      </c>
      <c r="J190" t="s">
        <v>791</v>
      </c>
      <c r="K190" t="s">
        <v>792</v>
      </c>
      <c r="L190">
        <v>1368</v>
      </c>
      <c r="N190">
        <v>1011</v>
      </c>
      <c r="O190" t="s">
        <v>780</v>
      </c>
      <c r="P190" t="s">
        <v>780</v>
      </c>
      <c r="Q190">
        <v>1</v>
      </c>
      <c r="X190">
        <v>7.0000000000000007E-2</v>
      </c>
      <c r="Y190">
        <v>0</v>
      </c>
      <c r="Z190">
        <v>91.62</v>
      </c>
      <c r="AA190">
        <v>0</v>
      </c>
      <c r="AB190">
        <v>0</v>
      </c>
      <c r="AC190">
        <v>0</v>
      </c>
      <c r="AD190">
        <v>1</v>
      </c>
      <c r="AE190">
        <v>0</v>
      </c>
      <c r="AF190" t="s">
        <v>126</v>
      </c>
      <c r="AG190">
        <v>0.10062500000000001</v>
      </c>
      <c r="AH190">
        <v>2</v>
      </c>
      <c r="AI190">
        <v>31029078</v>
      </c>
      <c r="AJ190">
        <v>166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>
      <c r="A191">
        <f>ROW(Source!A142)</f>
        <v>142</v>
      </c>
      <c r="B191">
        <v>31029086</v>
      </c>
      <c r="C191">
        <v>31029074</v>
      </c>
      <c r="D191">
        <v>29150561</v>
      </c>
      <c r="E191">
        <v>1</v>
      </c>
      <c r="F191">
        <v>1</v>
      </c>
      <c r="G191">
        <v>1</v>
      </c>
      <c r="H191">
        <v>3</v>
      </c>
      <c r="I191" t="s">
        <v>793</v>
      </c>
      <c r="J191" t="s">
        <v>794</v>
      </c>
      <c r="K191" t="s">
        <v>795</v>
      </c>
      <c r="L191">
        <v>1348</v>
      </c>
      <c r="N191">
        <v>1009</v>
      </c>
      <c r="O191" t="s">
        <v>137</v>
      </c>
      <c r="P191" t="s">
        <v>137</v>
      </c>
      <c r="Q191">
        <v>1000</v>
      </c>
      <c r="X191">
        <v>4.0000000000000001E-3</v>
      </c>
      <c r="Y191">
        <v>8466.1</v>
      </c>
      <c r="Z191">
        <v>0</v>
      </c>
      <c r="AA191">
        <v>0</v>
      </c>
      <c r="AB191">
        <v>0</v>
      </c>
      <c r="AC191">
        <v>0</v>
      </c>
      <c r="AD191">
        <v>1</v>
      </c>
      <c r="AE191">
        <v>0</v>
      </c>
      <c r="AF191" t="s">
        <v>6</v>
      </c>
      <c r="AG191">
        <v>4.0000000000000001E-3</v>
      </c>
      <c r="AH191">
        <v>2</v>
      </c>
      <c r="AI191">
        <v>31029079</v>
      </c>
      <c r="AJ191">
        <v>167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>
      <c r="A192">
        <f>ROW(Source!A142)</f>
        <v>142</v>
      </c>
      <c r="B192">
        <v>31029087</v>
      </c>
      <c r="C192">
        <v>31029074</v>
      </c>
      <c r="D192">
        <v>29151141</v>
      </c>
      <c r="E192">
        <v>1</v>
      </c>
      <c r="F192">
        <v>1</v>
      </c>
      <c r="G192">
        <v>1</v>
      </c>
      <c r="H192">
        <v>3</v>
      </c>
      <c r="I192" t="s">
        <v>859</v>
      </c>
      <c r="J192" t="s">
        <v>860</v>
      </c>
      <c r="K192" t="s">
        <v>861</v>
      </c>
      <c r="L192">
        <v>1348</v>
      </c>
      <c r="N192">
        <v>1009</v>
      </c>
      <c r="O192" t="s">
        <v>137</v>
      </c>
      <c r="P192" t="s">
        <v>137</v>
      </c>
      <c r="Q192">
        <v>1000</v>
      </c>
      <c r="X192">
        <v>1.2E-2</v>
      </c>
      <c r="Y192">
        <v>8907.8799999999992</v>
      </c>
      <c r="Z192">
        <v>0</v>
      </c>
      <c r="AA192">
        <v>0</v>
      </c>
      <c r="AB192">
        <v>0</v>
      </c>
      <c r="AC192">
        <v>0</v>
      </c>
      <c r="AD192">
        <v>1</v>
      </c>
      <c r="AE192">
        <v>0</v>
      </c>
      <c r="AF192" t="s">
        <v>6</v>
      </c>
      <c r="AG192">
        <v>1.2E-2</v>
      </c>
      <c r="AH192">
        <v>2</v>
      </c>
      <c r="AI192">
        <v>31029080</v>
      </c>
      <c r="AJ192">
        <v>168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>
      <c r="A193">
        <f>ROW(Source!A142)</f>
        <v>142</v>
      </c>
      <c r="B193">
        <v>31029088</v>
      </c>
      <c r="C193">
        <v>31029074</v>
      </c>
      <c r="D193">
        <v>29152118</v>
      </c>
      <c r="E193">
        <v>1</v>
      </c>
      <c r="F193">
        <v>1</v>
      </c>
      <c r="G193">
        <v>1</v>
      </c>
      <c r="H193">
        <v>3</v>
      </c>
      <c r="I193" t="s">
        <v>862</v>
      </c>
      <c r="J193" t="s">
        <v>863</v>
      </c>
      <c r="K193" t="s">
        <v>864</v>
      </c>
      <c r="L193">
        <v>1348</v>
      </c>
      <c r="N193">
        <v>1009</v>
      </c>
      <c r="O193" t="s">
        <v>137</v>
      </c>
      <c r="P193" t="s">
        <v>137</v>
      </c>
      <c r="Q193">
        <v>1000</v>
      </c>
      <c r="X193">
        <v>0.78200000000000003</v>
      </c>
      <c r="Y193">
        <v>12167.44</v>
      </c>
      <c r="Z193">
        <v>0</v>
      </c>
      <c r="AA193">
        <v>0</v>
      </c>
      <c r="AB193">
        <v>0</v>
      </c>
      <c r="AC193">
        <v>0</v>
      </c>
      <c r="AD193">
        <v>1</v>
      </c>
      <c r="AE193">
        <v>0</v>
      </c>
      <c r="AF193" t="s">
        <v>6</v>
      </c>
      <c r="AG193">
        <v>0.78200000000000003</v>
      </c>
      <c r="AH193">
        <v>2</v>
      </c>
      <c r="AI193">
        <v>31029081</v>
      </c>
      <c r="AJ193">
        <v>169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>
      <c r="A194">
        <f>ROW(Source!A144)</f>
        <v>144</v>
      </c>
      <c r="B194">
        <v>31029092</v>
      </c>
      <c r="C194">
        <v>31029090</v>
      </c>
      <c r="D194">
        <v>29084574</v>
      </c>
      <c r="E194">
        <v>1</v>
      </c>
      <c r="F194">
        <v>1</v>
      </c>
      <c r="G194">
        <v>1</v>
      </c>
      <c r="H194">
        <v>1</v>
      </c>
      <c r="I194" t="s">
        <v>820</v>
      </c>
      <c r="J194" t="s">
        <v>6</v>
      </c>
      <c r="K194" t="s">
        <v>821</v>
      </c>
      <c r="L194">
        <v>1369</v>
      </c>
      <c r="N194">
        <v>1013</v>
      </c>
      <c r="O194" t="s">
        <v>773</v>
      </c>
      <c r="P194" t="s">
        <v>773</v>
      </c>
      <c r="Q194">
        <v>1</v>
      </c>
      <c r="X194">
        <v>22.82</v>
      </c>
      <c r="Y194">
        <v>0</v>
      </c>
      <c r="Z194">
        <v>0</v>
      </c>
      <c r="AA194">
        <v>0</v>
      </c>
      <c r="AB194">
        <v>7.53</v>
      </c>
      <c r="AC194">
        <v>0</v>
      </c>
      <c r="AD194">
        <v>1</v>
      </c>
      <c r="AE194">
        <v>1</v>
      </c>
      <c r="AF194" t="s">
        <v>36</v>
      </c>
      <c r="AG194">
        <v>26.242999999999999</v>
      </c>
      <c r="AH194">
        <v>2</v>
      </c>
      <c r="AI194">
        <v>31029091</v>
      </c>
      <c r="AJ194">
        <v>170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>
      <c r="A195">
        <f>ROW(Source!A145)</f>
        <v>145</v>
      </c>
      <c r="B195">
        <v>31029097</v>
      </c>
      <c r="C195">
        <v>31029093</v>
      </c>
      <c r="D195">
        <v>29084590</v>
      </c>
      <c r="E195">
        <v>1</v>
      </c>
      <c r="F195">
        <v>1</v>
      </c>
      <c r="G195">
        <v>1</v>
      </c>
      <c r="H195">
        <v>1</v>
      </c>
      <c r="I195" t="s">
        <v>920</v>
      </c>
      <c r="J195" t="s">
        <v>6</v>
      </c>
      <c r="K195" t="s">
        <v>921</v>
      </c>
      <c r="L195">
        <v>1369</v>
      </c>
      <c r="N195">
        <v>1013</v>
      </c>
      <c r="O195" t="s">
        <v>773</v>
      </c>
      <c r="P195" t="s">
        <v>773</v>
      </c>
      <c r="Q195">
        <v>1</v>
      </c>
      <c r="X195">
        <v>103.91</v>
      </c>
      <c r="Y195">
        <v>0</v>
      </c>
      <c r="Z195">
        <v>0</v>
      </c>
      <c r="AA195">
        <v>0</v>
      </c>
      <c r="AB195">
        <v>7.81</v>
      </c>
      <c r="AC195">
        <v>0</v>
      </c>
      <c r="AD195">
        <v>1</v>
      </c>
      <c r="AE195">
        <v>1</v>
      </c>
      <c r="AF195" t="s">
        <v>36</v>
      </c>
      <c r="AG195">
        <v>119.49649999999998</v>
      </c>
      <c r="AH195">
        <v>2</v>
      </c>
      <c r="AI195">
        <v>31029094</v>
      </c>
      <c r="AJ195">
        <v>171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>
      <c r="A196">
        <f>ROW(Source!A145)</f>
        <v>145</v>
      </c>
      <c r="B196">
        <v>31029098</v>
      </c>
      <c r="C196">
        <v>31029093</v>
      </c>
      <c r="D196">
        <v>29084573</v>
      </c>
      <c r="E196">
        <v>1</v>
      </c>
      <c r="F196">
        <v>1</v>
      </c>
      <c r="G196">
        <v>1</v>
      </c>
      <c r="H196">
        <v>1</v>
      </c>
      <c r="I196" t="s">
        <v>774</v>
      </c>
      <c r="J196" t="s">
        <v>6</v>
      </c>
      <c r="K196" t="s">
        <v>775</v>
      </c>
      <c r="L196">
        <v>608254</v>
      </c>
      <c r="N196">
        <v>1013</v>
      </c>
      <c r="O196" t="s">
        <v>776</v>
      </c>
      <c r="P196" t="s">
        <v>776</v>
      </c>
      <c r="Q196">
        <v>1</v>
      </c>
      <c r="X196">
        <v>7.74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1</v>
      </c>
      <c r="AE196">
        <v>2</v>
      </c>
      <c r="AF196" t="s">
        <v>36</v>
      </c>
      <c r="AG196">
        <v>8.9009999999999998</v>
      </c>
      <c r="AH196">
        <v>2</v>
      </c>
      <c r="AI196">
        <v>31029095</v>
      </c>
      <c r="AJ196">
        <v>172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>
      <c r="A197">
        <f>ROW(Source!A145)</f>
        <v>145</v>
      </c>
      <c r="B197">
        <v>31029099</v>
      </c>
      <c r="C197">
        <v>31029093</v>
      </c>
      <c r="D197">
        <v>29147732</v>
      </c>
      <c r="E197">
        <v>1</v>
      </c>
      <c r="F197">
        <v>1</v>
      </c>
      <c r="G197">
        <v>1</v>
      </c>
      <c r="H197">
        <v>2</v>
      </c>
      <c r="I197" t="s">
        <v>846</v>
      </c>
      <c r="J197" t="s">
        <v>847</v>
      </c>
      <c r="K197" t="s">
        <v>848</v>
      </c>
      <c r="L197">
        <v>1368</v>
      </c>
      <c r="N197">
        <v>1011</v>
      </c>
      <c r="O197" t="s">
        <v>780</v>
      </c>
      <c r="P197" t="s">
        <v>780</v>
      </c>
      <c r="Q197">
        <v>1</v>
      </c>
      <c r="X197">
        <v>7.74</v>
      </c>
      <c r="Y197">
        <v>0</v>
      </c>
      <c r="Z197">
        <v>30.85</v>
      </c>
      <c r="AA197">
        <v>13.03</v>
      </c>
      <c r="AB197">
        <v>0</v>
      </c>
      <c r="AC197">
        <v>0</v>
      </c>
      <c r="AD197">
        <v>1</v>
      </c>
      <c r="AE197">
        <v>0</v>
      </c>
      <c r="AF197" t="s">
        <v>36</v>
      </c>
      <c r="AG197">
        <v>8.9009999999999998</v>
      </c>
      <c r="AH197">
        <v>2</v>
      </c>
      <c r="AI197">
        <v>31029096</v>
      </c>
      <c r="AJ197">
        <v>173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>
      <c r="A198">
        <f>ROW(Source!A147)</f>
        <v>147</v>
      </c>
      <c r="B198">
        <v>31029112</v>
      </c>
      <c r="C198">
        <v>31029101</v>
      </c>
      <c r="D198">
        <v>29084594</v>
      </c>
      <c r="E198">
        <v>1</v>
      </c>
      <c r="F198">
        <v>1</v>
      </c>
      <c r="G198">
        <v>1</v>
      </c>
      <c r="H198">
        <v>1</v>
      </c>
      <c r="I198" t="s">
        <v>922</v>
      </c>
      <c r="J198" t="s">
        <v>6</v>
      </c>
      <c r="K198" t="s">
        <v>923</v>
      </c>
      <c r="L198">
        <v>1369</v>
      </c>
      <c r="N198">
        <v>1013</v>
      </c>
      <c r="O198" t="s">
        <v>773</v>
      </c>
      <c r="P198" t="s">
        <v>773</v>
      </c>
      <c r="Q198">
        <v>1</v>
      </c>
      <c r="X198">
        <v>129.94999999999999</v>
      </c>
      <c r="Y198">
        <v>0</v>
      </c>
      <c r="Z198">
        <v>0</v>
      </c>
      <c r="AA198">
        <v>0</v>
      </c>
      <c r="AB198">
        <v>8.86</v>
      </c>
      <c r="AC198">
        <v>0</v>
      </c>
      <c r="AD198">
        <v>1</v>
      </c>
      <c r="AE198">
        <v>1</v>
      </c>
      <c r="AF198" t="s">
        <v>127</v>
      </c>
      <c r="AG198">
        <v>171.85887499999995</v>
      </c>
      <c r="AH198">
        <v>2</v>
      </c>
      <c r="AI198">
        <v>31029102</v>
      </c>
      <c r="AJ198">
        <v>174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>
      <c r="A199">
        <f>ROW(Source!A147)</f>
        <v>147</v>
      </c>
      <c r="B199">
        <v>31029113</v>
      </c>
      <c r="C199">
        <v>31029101</v>
      </c>
      <c r="D199">
        <v>29084573</v>
      </c>
      <c r="E199">
        <v>1</v>
      </c>
      <c r="F199">
        <v>1</v>
      </c>
      <c r="G199">
        <v>1</v>
      </c>
      <c r="H199">
        <v>1</v>
      </c>
      <c r="I199" t="s">
        <v>774</v>
      </c>
      <c r="J199" t="s">
        <v>6</v>
      </c>
      <c r="K199" t="s">
        <v>775</v>
      </c>
      <c r="L199">
        <v>608254</v>
      </c>
      <c r="N199">
        <v>1013</v>
      </c>
      <c r="O199" t="s">
        <v>776</v>
      </c>
      <c r="P199" t="s">
        <v>776</v>
      </c>
      <c r="Q199">
        <v>1</v>
      </c>
      <c r="X199">
        <v>1.44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1</v>
      </c>
      <c r="AE199">
        <v>2</v>
      </c>
      <c r="AF199" t="s">
        <v>126</v>
      </c>
      <c r="AG199">
        <v>2.0699999999999998</v>
      </c>
      <c r="AH199">
        <v>2</v>
      </c>
      <c r="AI199">
        <v>31029103</v>
      </c>
      <c r="AJ199">
        <v>175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>
      <c r="A200">
        <f>ROW(Source!A147)</f>
        <v>147</v>
      </c>
      <c r="B200">
        <v>31029114</v>
      </c>
      <c r="C200">
        <v>31029101</v>
      </c>
      <c r="D200">
        <v>29147673</v>
      </c>
      <c r="E200">
        <v>1</v>
      </c>
      <c r="F200">
        <v>1</v>
      </c>
      <c r="G200">
        <v>1</v>
      </c>
      <c r="H200">
        <v>2</v>
      </c>
      <c r="I200" t="s">
        <v>924</v>
      </c>
      <c r="J200" t="s">
        <v>925</v>
      </c>
      <c r="K200" t="s">
        <v>926</v>
      </c>
      <c r="L200">
        <v>1368</v>
      </c>
      <c r="N200">
        <v>1011</v>
      </c>
      <c r="O200" t="s">
        <v>780</v>
      </c>
      <c r="P200" t="s">
        <v>780</v>
      </c>
      <c r="Q200">
        <v>1</v>
      </c>
      <c r="X200">
        <v>0.14000000000000001</v>
      </c>
      <c r="Y200">
        <v>0</v>
      </c>
      <c r="Z200">
        <v>97.95</v>
      </c>
      <c r="AA200">
        <v>9.7100000000000009</v>
      </c>
      <c r="AB200">
        <v>0</v>
      </c>
      <c r="AC200">
        <v>0</v>
      </c>
      <c r="AD200">
        <v>1</v>
      </c>
      <c r="AE200">
        <v>0</v>
      </c>
      <c r="AF200" t="s">
        <v>126</v>
      </c>
      <c r="AG200">
        <v>0.20125000000000001</v>
      </c>
      <c r="AH200">
        <v>2</v>
      </c>
      <c r="AI200">
        <v>31029104</v>
      </c>
      <c r="AJ200">
        <v>176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>
      <c r="A201">
        <f>ROW(Source!A147)</f>
        <v>147</v>
      </c>
      <c r="B201">
        <v>31029115</v>
      </c>
      <c r="C201">
        <v>31029101</v>
      </c>
      <c r="D201">
        <v>29147732</v>
      </c>
      <c r="E201">
        <v>1</v>
      </c>
      <c r="F201">
        <v>1</v>
      </c>
      <c r="G201">
        <v>1</v>
      </c>
      <c r="H201">
        <v>2</v>
      </c>
      <c r="I201" t="s">
        <v>846</v>
      </c>
      <c r="J201" t="s">
        <v>847</v>
      </c>
      <c r="K201" t="s">
        <v>848</v>
      </c>
      <c r="L201">
        <v>1368</v>
      </c>
      <c r="N201">
        <v>1011</v>
      </c>
      <c r="O201" t="s">
        <v>780</v>
      </c>
      <c r="P201" t="s">
        <v>780</v>
      </c>
      <c r="Q201">
        <v>1</v>
      </c>
      <c r="X201">
        <v>1.3</v>
      </c>
      <c r="Y201">
        <v>0</v>
      </c>
      <c r="Z201">
        <v>30.85</v>
      </c>
      <c r="AA201">
        <v>13.03</v>
      </c>
      <c r="AB201">
        <v>0</v>
      </c>
      <c r="AC201">
        <v>0</v>
      </c>
      <c r="AD201">
        <v>1</v>
      </c>
      <c r="AE201">
        <v>0</v>
      </c>
      <c r="AF201" t="s">
        <v>126</v>
      </c>
      <c r="AG201">
        <v>1.8687499999999999</v>
      </c>
      <c r="AH201">
        <v>2</v>
      </c>
      <c r="AI201">
        <v>31029105</v>
      </c>
      <c r="AJ201">
        <v>177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>
      <c r="A202">
        <f>ROW(Source!A147)</f>
        <v>147</v>
      </c>
      <c r="B202">
        <v>31029116</v>
      </c>
      <c r="C202">
        <v>31029101</v>
      </c>
      <c r="D202">
        <v>29150545</v>
      </c>
      <c r="E202">
        <v>1</v>
      </c>
      <c r="F202">
        <v>1</v>
      </c>
      <c r="G202">
        <v>1</v>
      </c>
      <c r="H202">
        <v>3</v>
      </c>
      <c r="I202" t="s">
        <v>927</v>
      </c>
      <c r="J202" t="s">
        <v>928</v>
      </c>
      <c r="K202" t="s">
        <v>929</v>
      </c>
      <c r="L202">
        <v>1348</v>
      </c>
      <c r="N202">
        <v>1009</v>
      </c>
      <c r="O202" t="s">
        <v>137</v>
      </c>
      <c r="P202" t="s">
        <v>137</v>
      </c>
      <c r="Q202">
        <v>1000</v>
      </c>
      <c r="X202">
        <v>2.5000000000000001E-3</v>
      </c>
      <c r="Y202">
        <v>9206.16</v>
      </c>
      <c r="Z202">
        <v>0</v>
      </c>
      <c r="AA202">
        <v>0</v>
      </c>
      <c r="AB202">
        <v>0</v>
      </c>
      <c r="AC202">
        <v>0</v>
      </c>
      <c r="AD202">
        <v>1</v>
      </c>
      <c r="AE202">
        <v>0</v>
      </c>
      <c r="AF202" t="s">
        <v>6</v>
      </c>
      <c r="AG202">
        <v>2.5000000000000001E-3</v>
      </c>
      <c r="AH202">
        <v>2</v>
      </c>
      <c r="AI202">
        <v>31029106</v>
      </c>
      <c r="AJ202">
        <v>178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>
      <c r="A203">
        <f>ROW(Source!A147)</f>
        <v>147</v>
      </c>
      <c r="B203">
        <v>31029117</v>
      </c>
      <c r="C203">
        <v>31029101</v>
      </c>
      <c r="D203">
        <v>29151213</v>
      </c>
      <c r="E203">
        <v>1</v>
      </c>
      <c r="F203">
        <v>1</v>
      </c>
      <c r="G203">
        <v>1</v>
      </c>
      <c r="H203">
        <v>3</v>
      </c>
      <c r="I203" t="s">
        <v>930</v>
      </c>
      <c r="J203" t="s">
        <v>931</v>
      </c>
      <c r="K203" t="s">
        <v>932</v>
      </c>
      <c r="L203">
        <v>1327</v>
      </c>
      <c r="N203">
        <v>1005</v>
      </c>
      <c r="O203" t="s">
        <v>284</v>
      </c>
      <c r="P203" t="s">
        <v>284</v>
      </c>
      <c r="Q203">
        <v>1</v>
      </c>
      <c r="X203">
        <v>108</v>
      </c>
      <c r="Y203">
        <v>9.39</v>
      </c>
      <c r="Z203">
        <v>0</v>
      </c>
      <c r="AA203">
        <v>0</v>
      </c>
      <c r="AB203">
        <v>0</v>
      </c>
      <c r="AC203">
        <v>0</v>
      </c>
      <c r="AD203">
        <v>1</v>
      </c>
      <c r="AE203">
        <v>0</v>
      </c>
      <c r="AF203" t="s">
        <v>6</v>
      </c>
      <c r="AG203">
        <v>108</v>
      </c>
      <c r="AH203">
        <v>2</v>
      </c>
      <c r="AI203">
        <v>31029107</v>
      </c>
      <c r="AJ203">
        <v>179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>
      <c r="A204">
        <f>ROW(Source!A147)</f>
        <v>147</v>
      </c>
      <c r="B204">
        <v>31029118</v>
      </c>
      <c r="C204">
        <v>31029101</v>
      </c>
      <c r="D204">
        <v>29151587</v>
      </c>
      <c r="E204">
        <v>1</v>
      </c>
      <c r="F204">
        <v>1</v>
      </c>
      <c r="G204">
        <v>1</v>
      </c>
      <c r="H204">
        <v>3</v>
      </c>
      <c r="I204" t="s">
        <v>933</v>
      </c>
      <c r="J204" t="s">
        <v>934</v>
      </c>
      <c r="K204" t="s">
        <v>935</v>
      </c>
      <c r="L204">
        <v>1348</v>
      </c>
      <c r="N204">
        <v>1009</v>
      </c>
      <c r="O204" t="s">
        <v>137</v>
      </c>
      <c r="P204" t="s">
        <v>137</v>
      </c>
      <c r="Q204">
        <v>1000</v>
      </c>
      <c r="X204">
        <v>1.2999999999999999E-2</v>
      </c>
      <c r="Y204">
        <v>418.43</v>
      </c>
      <c r="Z204">
        <v>0</v>
      </c>
      <c r="AA204">
        <v>0</v>
      </c>
      <c r="AB204">
        <v>0</v>
      </c>
      <c r="AC204">
        <v>0</v>
      </c>
      <c r="AD204">
        <v>1</v>
      </c>
      <c r="AE204">
        <v>0</v>
      </c>
      <c r="AF204" t="s">
        <v>6</v>
      </c>
      <c r="AG204">
        <v>1.2999999999999999E-2</v>
      </c>
      <c r="AH204">
        <v>2</v>
      </c>
      <c r="AI204">
        <v>31029108</v>
      </c>
      <c r="AJ204">
        <v>180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>
      <c r="A205">
        <f>ROW(Source!A147)</f>
        <v>147</v>
      </c>
      <c r="B205">
        <v>31029119</v>
      </c>
      <c r="C205">
        <v>31029101</v>
      </c>
      <c r="D205">
        <v>29151964</v>
      </c>
      <c r="E205">
        <v>1</v>
      </c>
      <c r="F205">
        <v>1</v>
      </c>
      <c r="G205">
        <v>1</v>
      </c>
      <c r="H205">
        <v>3</v>
      </c>
      <c r="I205" t="s">
        <v>936</v>
      </c>
      <c r="J205" t="s">
        <v>937</v>
      </c>
      <c r="K205" t="s">
        <v>938</v>
      </c>
      <c r="L205">
        <v>1346</v>
      </c>
      <c r="N205">
        <v>1009</v>
      </c>
      <c r="O205" t="s">
        <v>118</v>
      </c>
      <c r="P205" t="s">
        <v>118</v>
      </c>
      <c r="Q205">
        <v>1</v>
      </c>
      <c r="X205">
        <v>12</v>
      </c>
      <c r="Y205">
        <v>9.8000000000000007</v>
      </c>
      <c r="Z205">
        <v>0</v>
      </c>
      <c r="AA205">
        <v>0</v>
      </c>
      <c r="AB205">
        <v>0</v>
      </c>
      <c r="AC205">
        <v>0</v>
      </c>
      <c r="AD205">
        <v>1</v>
      </c>
      <c r="AE205">
        <v>0</v>
      </c>
      <c r="AF205" t="s">
        <v>6</v>
      </c>
      <c r="AG205">
        <v>12</v>
      </c>
      <c r="AH205">
        <v>2</v>
      </c>
      <c r="AI205">
        <v>31029109</v>
      </c>
      <c r="AJ205">
        <v>181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>
      <c r="A206">
        <f>ROW(Source!A147)</f>
        <v>147</v>
      </c>
      <c r="B206">
        <v>31029120</v>
      </c>
      <c r="C206">
        <v>31029101</v>
      </c>
      <c r="D206">
        <v>29186569</v>
      </c>
      <c r="E206">
        <v>1</v>
      </c>
      <c r="F206">
        <v>1</v>
      </c>
      <c r="G206">
        <v>1</v>
      </c>
      <c r="H206">
        <v>3</v>
      </c>
      <c r="I206" t="s">
        <v>939</v>
      </c>
      <c r="J206" t="s">
        <v>940</v>
      </c>
      <c r="K206" t="s">
        <v>941</v>
      </c>
      <c r="L206">
        <v>1339</v>
      </c>
      <c r="N206">
        <v>1007</v>
      </c>
      <c r="O206" t="s">
        <v>109</v>
      </c>
      <c r="P206" t="s">
        <v>109</v>
      </c>
      <c r="Q206">
        <v>1</v>
      </c>
      <c r="X206">
        <v>3.1</v>
      </c>
      <c r="Y206">
        <v>458.28</v>
      </c>
      <c r="Z206">
        <v>0</v>
      </c>
      <c r="AA206">
        <v>0</v>
      </c>
      <c r="AB206">
        <v>0</v>
      </c>
      <c r="AC206">
        <v>0</v>
      </c>
      <c r="AD206">
        <v>1</v>
      </c>
      <c r="AE206">
        <v>0</v>
      </c>
      <c r="AF206" t="s">
        <v>6</v>
      </c>
      <c r="AG206">
        <v>3.1</v>
      </c>
      <c r="AH206">
        <v>2</v>
      </c>
      <c r="AI206">
        <v>31029110</v>
      </c>
      <c r="AJ206">
        <v>182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>
      <c r="A207">
        <f>ROW(Source!A147)</f>
        <v>147</v>
      </c>
      <c r="B207">
        <v>31029121</v>
      </c>
      <c r="C207">
        <v>31029101</v>
      </c>
      <c r="D207">
        <v>29195171</v>
      </c>
      <c r="E207">
        <v>1</v>
      </c>
      <c r="F207">
        <v>1</v>
      </c>
      <c r="G207">
        <v>1</v>
      </c>
      <c r="H207">
        <v>3</v>
      </c>
      <c r="I207" t="s">
        <v>830</v>
      </c>
      <c r="J207" t="s">
        <v>831</v>
      </c>
      <c r="K207" t="s">
        <v>832</v>
      </c>
      <c r="L207">
        <v>1339</v>
      </c>
      <c r="N207">
        <v>1007</v>
      </c>
      <c r="O207" t="s">
        <v>109</v>
      </c>
      <c r="P207" t="s">
        <v>109</v>
      </c>
      <c r="Q207">
        <v>1</v>
      </c>
      <c r="X207">
        <v>0.01</v>
      </c>
      <c r="Y207">
        <v>2.4500000000000002</v>
      </c>
      <c r="Z207">
        <v>0</v>
      </c>
      <c r="AA207">
        <v>0</v>
      </c>
      <c r="AB207">
        <v>0</v>
      </c>
      <c r="AC207">
        <v>0</v>
      </c>
      <c r="AD207">
        <v>1</v>
      </c>
      <c r="AE207">
        <v>0</v>
      </c>
      <c r="AF207" t="s">
        <v>6</v>
      </c>
      <c r="AG207">
        <v>0.01</v>
      </c>
      <c r="AH207">
        <v>2</v>
      </c>
      <c r="AI207">
        <v>31029111</v>
      </c>
      <c r="AJ207">
        <v>183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>
      <c r="A208">
        <f>ROW(Source!A148)</f>
        <v>148</v>
      </c>
      <c r="B208">
        <v>31029130</v>
      </c>
      <c r="C208">
        <v>31029122</v>
      </c>
      <c r="D208">
        <v>29084596</v>
      </c>
      <c r="E208">
        <v>1</v>
      </c>
      <c r="F208">
        <v>1</v>
      </c>
      <c r="G208">
        <v>1</v>
      </c>
      <c r="H208">
        <v>1</v>
      </c>
      <c r="I208" t="s">
        <v>893</v>
      </c>
      <c r="J208" t="s">
        <v>6</v>
      </c>
      <c r="K208" t="s">
        <v>894</v>
      </c>
      <c r="L208">
        <v>1369</v>
      </c>
      <c r="N208">
        <v>1013</v>
      </c>
      <c r="O208" t="s">
        <v>773</v>
      </c>
      <c r="P208" t="s">
        <v>773</v>
      </c>
      <c r="Q208">
        <v>1</v>
      </c>
      <c r="X208">
        <v>11.99</v>
      </c>
      <c r="Y208">
        <v>0</v>
      </c>
      <c r="Z208">
        <v>0</v>
      </c>
      <c r="AA208">
        <v>0</v>
      </c>
      <c r="AB208">
        <v>9.18</v>
      </c>
      <c r="AC208">
        <v>0</v>
      </c>
      <c r="AD208">
        <v>1</v>
      </c>
      <c r="AE208">
        <v>1</v>
      </c>
      <c r="AF208" t="s">
        <v>127</v>
      </c>
      <c r="AG208">
        <v>15.856774999999997</v>
      </c>
      <c r="AH208">
        <v>2</v>
      </c>
      <c r="AI208">
        <v>31029123</v>
      </c>
      <c r="AJ208">
        <v>184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>
      <c r="A209">
        <f>ROW(Source!A148)</f>
        <v>148</v>
      </c>
      <c r="B209">
        <v>31029131</v>
      </c>
      <c r="C209">
        <v>31029122</v>
      </c>
      <c r="D209">
        <v>29084573</v>
      </c>
      <c r="E209">
        <v>1</v>
      </c>
      <c r="F209">
        <v>1</v>
      </c>
      <c r="G209">
        <v>1</v>
      </c>
      <c r="H209">
        <v>1</v>
      </c>
      <c r="I209" t="s">
        <v>774</v>
      </c>
      <c r="J209" t="s">
        <v>6</v>
      </c>
      <c r="K209" t="s">
        <v>775</v>
      </c>
      <c r="L209">
        <v>608254</v>
      </c>
      <c r="N209">
        <v>1013</v>
      </c>
      <c r="O209" t="s">
        <v>776</v>
      </c>
      <c r="P209" t="s">
        <v>776</v>
      </c>
      <c r="Q209">
        <v>1</v>
      </c>
      <c r="X209">
        <v>0.01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1</v>
      </c>
      <c r="AE209">
        <v>2</v>
      </c>
      <c r="AF209" t="s">
        <v>126</v>
      </c>
      <c r="AG209">
        <v>1.4374999999999999E-2</v>
      </c>
      <c r="AH209">
        <v>2</v>
      </c>
      <c r="AI209">
        <v>31029124</v>
      </c>
      <c r="AJ209">
        <v>185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>
      <c r="A210">
        <f>ROW(Source!A148)</f>
        <v>148</v>
      </c>
      <c r="B210">
        <v>31029132</v>
      </c>
      <c r="C210">
        <v>31029122</v>
      </c>
      <c r="D210">
        <v>29147732</v>
      </c>
      <c r="E210">
        <v>1</v>
      </c>
      <c r="F210">
        <v>1</v>
      </c>
      <c r="G210">
        <v>1</v>
      </c>
      <c r="H210">
        <v>2</v>
      </c>
      <c r="I210" t="s">
        <v>846</v>
      </c>
      <c r="J210" t="s">
        <v>847</v>
      </c>
      <c r="K210" t="s">
        <v>848</v>
      </c>
      <c r="L210">
        <v>1368</v>
      </c>
      <c r="N210">
        <v>1011</v>
      </c>
      <c r="O210" t="s">
        <v>780</v>
      </c>
      <c r="P210" t="s">
        <v>780</v>
      </c>
      <c r="Q210">
        <v>1</v>
      </c>
      <c r="X210">
        <v>0.01</v>
      </c>
      <c r="Y210">
        <v>0</v>
      </c>
      <c r="Z210">
        <v>30.85</v>
      </c>
      <c r="AA210">
        <v>13.03</v>
      </c>
      <c r="AB210">
        <v>0</v>
      </c>
      <c r="AC210">
        <v>0</v>
      </c>
      <c r="AD210">
        <v>1</v>
      </c>
      <c r="AE210">
        <v>0</v>
      </c>
      <c r="AF210" t="s">
        <v>126</v>
      </c>
      <c r="AG210">
        <v>1.4374999999999999E-2</v>
      </c>
      <c r="AH210">
        <v>2</v>
      </c>
      <c r="AI210">
        <v>31029125</v>
      </c>
      <c r="AJ210">
        <v>186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>
      <c r="A211">
        <f>ROW(Source!A148)</f>
        <v>148</v>
      </c>
      <c r="B211">
        <v>31029133</v>
      </c>
      <c r="C211">
        <v>31029122</v>
      </c>
      <c r="D211">
        <v>29149520</v>
      </c>
      <c r="E211">
        <v>1</v>
      </c>
      <c r="F211">
        <v>1</v>
      </c>
      <c r="G211">
        <v>1</v>
      </c>
      <c r="H211">
        <v>2</v>
      </c>
      <c r="I211" t="s">
        <v>790</v>
      </c>
      <c r="J211" t="s">
        <v>791</v>
      </c>
      <c r="K211" t="s">
        <v>792</v>
      </c>
      <c r="L211">
        <v>1368</v>
      </c>
      <c r="N211">
        <v>1011</v>
      </c>
      <c r="O211" t="s">
        <v>780</v>
      </c>
      <c r="P211" t="s">
        <v>780</v>
      </c>
      <c r="Q211">
        <v>1</v>
      </c>
      <c r="X211">
        <v>0.03</v>
      </c>
      <c r="Y211">
        <v>0</v>
      </c>
      <c r="Z211">
        <v>91.62</v>
      </c>
      <c r="AA211">
        <v>0</v>
      </c>
      <c r="AB211">
        <v>0</v>
      </c>
      <c r="AC211">
        <v>0</v>
      </c>
      <c r="AD211">
        <v>1</v>
      </c>
      <c r="AE211">
        <v>0</v>
      </c>
      <c r="AF211" t="s">
        <v>126</v>
      </c>
      <c r="AG211">
        <v>4.3124999999999997E-2</v>
      </c>
      <c r="AH211">
        <v>2</v>
      </c>
      <c r="AI211">
        <v>31029126</v>
      </c>
      <c r="AJ211">
        <v>187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>
      <c r="A212">
        <f>ROW(Source!A148)</f>
        <v>148</v>
      </c>
      <c r="B212">
        <v>31029134</v>
      </c>
      <c r="C212">
        <v>31029122</v>
      </c>
      <c r="D212">
        <v>29151861</v>
      </c>
      <c r="E212">
        <v>1</v>
      </c>
      <c r="F212">
        <v>1</v>
      </c>
      <c r="G212">
        <v>1</v>
      </c>
      <c r="H212">
        <v>3</v>
      </c>
      <c r="I212" t="s">
        <v>835</v>
      </c>
      <c r="J212" t="s">
        <v>836</v>
      </c>
      <c r="K212" t="s">
        <v>837</v>
      </c>
      <c r="L212">
        <v>1327</v>
      </c>
      <c r="N212">
        <v>1005</v>
      </c>
      <c r="O212" t="s">
        <v>284</v>
      </c>
      <c r="P212" t="s">
        <v>284</v>
      </c>
      <c r="Q212">
        <v>1</v>
      </c>
      <c r="X212">
        <v>4.4000000000000004</v>
      </c>
      <c r="Y212">
        <v>73.39</v>
      </c>
      <c r="Z212">
        <v>0</v>
      </c>
      <c r="AA212">
        <v>0</v>
      </c>
      <c r="AB212">
        <v>0</v>
      </c>
      <c r="AC212">
        <v>0</v>
      </c>
      <c r="AD212">
        <v>1</v>
      </c>
      <c r="AE212">
        <v>0</v>
      </c>
      <c r="AF212" t="s">
        <v>6</v>
      </c>
      <c r="AG212">
        <v>4.4000000000000004</v>
      </c>
      <c r="AH212">
        <v>2</v>
      </c>
      <c r="AI212">
        <v>31029127</v>
      </c>
      <c r="AJ212">
        <v>188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>
      <c r="A213">
        <f>ROW(Source!A148)</f>
        <v>148</v>
      </c>
      <c r="B213">
        <v>31029135</v>
      </c>
      <c r="C213">
        <v>31029122</v>
      </c>
      <c r="D213">
        <v>29151929</v>
      </c>
      <c r="E213">
        <v>1</v>
      </c>
      <c r="F213">
        <v>1</v>
      </c>
      <c r="G213">
        <v>1</v>
      </c>
      <c r="H213">
        <v>3</v>
      </c>
      <c r="I213" t="s">
        <v>914</v>
      </c>
      <c r="J213" t="s">
        <v>915</v>
      </c>
      <c r="K213" t="s">
        <v>916</v>
      </c>
      <c r="L213">
        <v>1348</v>
      </c>
      <c r="N213">
        <v>1009</v>
      </c>
      <c r="O213" t="s">
        <v>137</v>
      </c>
      <c r="P213" t="s">
        <v>137</v>
      </c>
      <c r="Q213">
        <v>1000</v>
      </c>
      <c r="X213">
        <v>2.9000000000000001E-2</v>
      </c>
      <c r="Y213">
        <v>3151.95</v>
      </c>
      <c r="Z213">
        <v>0</v>
      </c>
      <c r="AA213">
        <v>0</v>
      </c>
      <c r="AB213">
        <v>0</v>
      </c>
      <c r="AC213">
        <v>0</v>
      </c>
      <c r="AD213">
        <v>1</v>
      </c>
      <c r="AE213">
        <v>0</v>
      </c>
      <c r="AF213" t="s">
        <v>6</v>
      </c>
      <c r="AG213">
        <v>2.9000000000000001E-2</v>
      </c>
      <c r="AH213">
        <v>2</v>
      </c>
      <c r="AI213">
        <v>31029128</v>
      </c>
      <c r="AJ213">
        <v>189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>
      <c r="A214">
        <f>ROW(Source!A148)</f>
        <v>148</v>
      </c>
      <c r="B214">
        <v>31029136</v>
      </c>
      <c r="C214">
        <v>31029122</v>
      </c>
      <c r="D214">
        <v>29152014</v>
      </c>
      <c r="E214">
        <v>1</v>
      </c>
      <c r="F214">
        <v>1</v>
      </c>
      <c r="G214">
        <v>1</v>
      </c>
      <c r="H214">
        <v>3</v>
      </c>
      <c r="I214" t="s">
        <v>838</v>
      </c>
      <c r="J214" t="s">
        <v>839</v>
      </c>
      <c r="K214" t="s">
        <v>840</v>
      </c>
      <c r="L214">
        <v>1346</v>
      </c>
      <c r="N214">
        <v>1009</v>
      </c>
      <c r="O214" t="s">
        <v>118</v>
      </c>
      <c r="P214" t="s">
        <v>118</v>
      </c>
      <c r="Q214">
        <v>1</v>
      </c>
      <c r="X214">
        <v>0.15</v>
      </c>
      <c r="Y214">
        <v>1.94</v>
      </c>
      <c r="Z214">
        <v>0</v>
      </c>
      <c r="AA214">
        <v>0</v>
      </c>
      <c r="AB214">
        <v>0</v>
      </c>
      <c r="AC214">
        <v>0</v>
      </c>
      <c r="AD214">
        <v>1</v>
      </c>
      <c r="AE214">
        <v>0</v>
      </c>
      <c r="AF214" t="s">
        <v>6</v>
      </c>
      <c r="AG214">
        <v>0.15</v>
      </c>
      <c r="AH214">
        <v>2</v>
      </c>
      <c r="AI214">
        <v>31029129</v>
      </c>
      <c r="AJ214">
        <v>190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>
      <c r="A215">
        <f>ROW(Source!A149)</f>
        <v>149</v>
      </c>
      <c r="B215">
        <v>31029146</v>
      </c>
      <c r="C215">
        <v>31029137</v>
      </c>
      <c r="D215">
        <v>29084579</v>
      </c>
      <c r="E215">
        <v>1</v>
      </c>
      <c r="F215">
        <v>1</v>
      </c>
      <c r="G215">
        <v>1</v>
      </c>
      <c r="H215">
        <v>1</v>
      </c>
      <c r="I215" t="s">
        <v>849</v>
      </c>
      <c r="J215" t="s">
        <v>6</v>
      </c>
      <c r="K215" t="s">
        <v>850</v>
      </c>
      <c r="L215">
        <v>1369</v>
      </c>
      <c r="N215">
        <v>1013</v>
      </c>
      <c r="O215" t="s">
        <v>773</v>
      </c>
      <c r="P215" t="s">
        <v>773</v>
      </c>
      <c r="Q215">
        <v>1</v>
      </c>
      <c r="X215">
        <v>68.75</v>
      </c>
      <c r="Y215">
        <v>0</v>
      </c>
      <c r="Z215">
        <v>0</v>
      </c>
      <c r="AA215">
        <v>0</v>
      </c>
      <c r="AB215">
        <v>9.2899999999999991</v>
      </c>
      <c r="AC215">
        <v>0</v>
      </c>
      <c r="AD215">
        <v>1</v>
      </c>
      <c r="AE215">
        <v>1</v>
      </c>
      <c r="AF215" t="s">
        <v>127</v>
      </c>
      <c r="AG215">
        <v>90.921875</v>
      </c>
      <c r="AH215">
        <v>2</v>
      </c>
      <c r="AI215">
        <v>31029138</v>
      </c>
      <c r="AJ215">
        <v>191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>
      <c r="A216">
        <f>ROW(Source!A149)</f>
        <v>149</v>
      </c>
      <c r="B216">
        <v>31029147</v>
      </c>
      <c r="C216">
        <v>31029137</v>
      </c>
      <c r="D216">
        <v>29084573</v>
      </c>
      <c r="E216">
        <v>1</v>
      </c>
      <c r="F216">
        <v>1</v>
      </c>
      <c r="G216">
        <v>1</v>
      </c>
      <c r="H216">
        <v>1</v>
      </c>
      <c r="I216" t="s">
        <v>774</v>
      </c>
      <c r="J216" t="s">
        <v>6</v>
      </c>
      <c r="K216" t="s">
        <v>775</v>
      </c>
      <c r="L216">
        <v>608254</v>
      </c>
      <c r="N216">
        <v>1013</v>
      </c>
      <c r="O216" t="s">
        <v>776</v>
      </c>
      <c r="P216" t="s">
        <v>776</v>
      </c>
      <c r="Q216">
        <v>1</v>
      </c>
      <c r="X216">
        <v>0.03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1</v>
      </c>
      <c r="AE216">
        <v>2</v>
      </c>
      <c r="AF216" t="s">
        <v>126</v>
      </c>
      <c r="AG216">
        <v>4.3124999999999997E-2</v>
      </c>
      <c r="AH216">
        <v>2</v>
      </c>
      <c r="AI216">
        <v>31029139</v>
      </c>
      <c r="AJ216">
        <v>192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>
      <c r="A217">
        <f>ROW(Source!A149)</f>
        <v>149</v>
      </c>
      <c r="B217">
        <v>31029148</v>
      </c>
      <c r="C217">
        <v>31029137</v>
      </c>
      <c r="D217">
        <v>29147732</v>
      </c>
      <c r="E217">
        <v>1</v>
      </c>
      <c r="F217">
        <v>1</v>
      </c>
      <c r="G217">
        <v>1</v>
      </c>
      <c r="H217">
        <v>2</v>
      </c>
      <c r="I217" t="s">
        <v>846</v>
      </c>
      <c r="J217" t="s">
        <v>847</v>
      </c>
      <c r="K217" t="s">
        <v>848</v>
      </c>
      <c r="L217">
        <v>1368</v>
      </c>
      <c r="N217">
        <v>1011</v>
      </c>
      <c r="O217" t="s">
        <v>780</v>
      </c>
      <c r="P217" t="s">
        <v>780</v>
      </c>
      <c r="Q217">
        <v>1</v>
      </c>
      <c r="X217">
        <v>0.03</v>
      </c>
      <c r="Y217">
        <v>0</v>
      </c>
      <c r="Z217">
        <v>30.85</v>
      </c>
      <c r="AA217">
        <v>13.03</v>
      </c>
      <c r="AB217">
        <v>0</v>
      </c>
      <c r="AC217">
        <v>0</v>
      </c>
      <c r="AD217">
        <v>1</v>
      </c>
      <c r="AE217">
        <v>0</v>
      </c>
      <c r="AF217" t="s">
        <v>126</v>
      </c>
      <c r="AG217">
        <v>4.3124999999999997E-2</v>
      </c>
      <c r="AH217">
        <v>2</v>
      </c>
      <c r="AI217">
        <v>31029140</v>
      </c>
      <c r="AJ217">
        <v>193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>
      <c r="A218">
        <f>ROW(Source!A149)</f>
        <v>149</v>
      </c>
      <c r="B218">
        <v>31029149</v>
      </c>
      <c r="C218">
        <v>31029137</v>
      </c>
      <c r="D218">
        <v>29149520</v>
      </c>
      <c r="E218">
        <v>1</v>
      </c>
      <c r="F218">
        <v>1</v>
      </c>
      <c r="G218">
        <v>1</v>
      </c>
      <c r="H218">
        <v>2</v>
      </c>
      <c r="I218" t="s">
        <v>790</v>
      </c>
      <c r="J218" t="s">
        <v>791</v>
      </c>
      <c r="K218" t="s">
        <v>792</v>
      </c>
      <c r="L218">
        <v>1368</v>
      </c>
      <c r="N218">
        <v>1011</v>
      </c>
      <c r="O218" t="s">
        <v>780</v>
      </c>
      <c r="P218" t="s">
        <v>780</v>
      </c>
      <c r="Q218">
        <v>1</v>
      </c>
      <c r="X218">
        <v>0.2</v>
      </c>
      <c r="Y218">
        <v>0</v>
      </c>
      <c r="Z218">
        <v>91.62</v>
      </c>
      <c r="AA218">
        <v>0</v>
      </c>
      <c r="AB218">
        <v>0</v>
      </c>
      <c r="AC218">
        <v>0</v>
      </c>
      <c r="AD218">
        <v>1</v>
      </c>
      <c r="AE218">
        <v>0</v>
      </c>
      <c r="AF218" t="s">
        <v>126</v>
      </c>
      <c r="AG218">
        <v>0.28749999999999998</v>
      </c>
      <c r="AH218">
        <v>2</v>
      </c>
      <c r="AI218">
        <v>31029141</v>
      </c>
      <c r="AJ218">
        <v>194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>
      <c r="A219">
        <f>ROW(Source!A149)</f>
        <v>149</v>
      </c>
      <c r="B219">
        <v>31029150</v>
      </c>
      <c r="C219">
        <v>31029137</v>
      </c>
      <c r="D219">
        <v>29151861</v>
      </c>
      <c r="E219">
        <v>1</v>
      </c>
      <c r="F219">
        <v>1</v>
      </c>
      <c r="G219">
        <v>1</v>
      </c>
      <c r="H219">
        <v>3</v>
      </c>
      <c r="I219" t="s">
        <v>835</v>
      </c>
      <c r="J219" t="s">
        <v>836</v>
      </c>
      <c r="K219" t="s">
        <v>837</v>
      </c>
      <c r="L219">
        <v>1327</v>
      </c>
      <c r="N219">
        <v>1005</v>
      </c>
      <c r="O219" t="s">
        <v>284</v>
      </c>
      <c r="P219" t="s">
        <v>284</v>
      </c>
      <c r="Q219">
        <v>1</v>
      </c>
      <c r="X219">
        <v>0.88</v>
      </c>
      <c r="Y219">
        <v>73.39</v>
      </c>
      <c r="Z219">
        <v>0</v>
      </c>
      <c r="AA219">
        <v>0</v>
      </c>
      <c r="AB219">
        <v>0</v>
      </c>
      <c r="AC219">
        <v>0</v>
      </c>
      <c r="AD219">
        <v>1</v>
      </c>
      <c r="AE219">
        <v>0</v>
      </c>
      <c r="AF219" t="s">
        <v>6</v>
      </c>
      <c r="AG219">
        <v>0.88</v>
      </c>
      <c r="AH219">
        <v>2</v>
      </c>
      <c r="AI219">
        <v>31029142</v>
      </c>
      <c r="AJ219">
        <v>195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>
      <c r="A220">
        <f>ROW(Source!A149)</f>
        <v>149</v>
      </c>
      <c r="B220">
        <v>31029151</v>
      </c>
      <c r="C220">
        <v>31029137</v>
      </c>
      <c r="D220">
        <v>29151971</v>
      </c>
      <c r="E220">
        <v>1</v>
      </c>
      <c r="F220">
        <v>1</v>
      </c>
      <c r="G220">
        <v>1</v>
      </c>
      <c r="H220">
        <v>3</v>
      </c>
      <c r="I220" t="s">
        <v>942</v>
      </c>
      <c r="J220" t="s">
        <v>943</v>
      </c>
      <c r="K220" t="s">
        <v>944</v>
      </c>
      <c r="L220">
        <v>1348</v>
      </c>
      <c r="N220">
        <v>1009</v>
      </c>
      <c r="O220" t="s">
        <v>137</v>
      </c>
      <c r="P220" t="s">
        <v>137</v>
      </c>
      <c r="Q220">
        <v>1000</v>
      </c>
      <c r="X220">
        <v>7.9000000000000001E-2</v>
      </c>
      <c r="Y220">
        <v>3311.4</v>
      </c>
      <c r="Z220">
        <v>0</v>
      </c>
      <c r="AA220">
        <v>0</v>
      </c>
      <c r="AB220">
        <v>0</v>
      </c>
      <c r="AC220">
        <v>0</v>
      </c>
      <c r="AD220">
        <v>1</v>
      </c>
      <c r="AE220">
        <v>0</v>
      </c>
      <c r="AF220" t="s">
        <v>6</v>
      </c>
      <c r="AG220">
        <v>7.9000000000000001E-2</v>
      </c>
      <c r="AH220">
        <v>2</v>
      </c>
      <c r="AI220">
        <v>31029143</v>
      </c>
      <c r="AJ220">
        <v>196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>
      <c r="A221">
        <f>ROW(Source!A149)</f>
        <v>149</v>
      </c>
      <c r="B221">
        <v>31029152</v>
      </c>
      <c r="C221">
        <v>31029137</v>
      </c>
      <c r="D221">
        <v>29152014</v>
      </c>
      <c r="E221">
        <v>1</v>
      </c>
      <c r="F221">
        <v>1</v>
      </c>
      <c r="G221">
        <v>1</v>
      </c>
      <c r="H221">
        <v>3</v>
      </c>
      <c r="I221" t="s">
        <v>838</v>
      </c>
      <c r="J221" t="s">
        <v>839</v>
      </c>
      <c r="K221" t="s">
        <v>840</v>
      </c>
      <c r="L221">
        <v>1346</v>
      </c>
      <c r="N221">
        <v>1009</v>
      </c>
      <c r="O221" t="s">
        <v>118</v>
      </c>
      <c r="P221" t="s">
        <v>118</v>
      </c>
      <c r="Q221">
        <v>1</v>
      </c>
      <c r="X221">
        <v>0.36</v>
      </c>
      <c r="Y221">
        <v>1.94</v>
      </c>
      <c r="Z221">
        <v>0</v>
      </c>
      <c r="AA221">
        <v>0</v>
      </c>
      <c r="AB221">
        <v>0</v>
      </c>
      <c r="AC221">
        <v>0</v>
      </c>
      <c r="AD221">
        <v>1</v>
      </c>
      <c r="AE221">
        <v>0</v>
      </c>
      <c r="AF221" t="s">
        <v>6</v>
      </c>
      <c r="AG221">
        <v>0.36</v>
      </c>
      <c r="AH221">
        <v>2</v>
      </c>
      <c r="AI221">
        <v>31029144</v>
      </c>
      <c r="AJ221">
        <v>197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>
      <c r="A222">
        <f>ROW(Source!A149)</f>
        <v>149</v>
      </c>
      <c r="B222">
        <v>31029153</v>
      </c>
      <c r="C222">
        <v>31029137</v>
      </c>
      <c r="D222">
        <v>29152186</v>
      </c>
      <c r="E222">
        <v>1</v>
      </c>
      <c r="F222">
        <v>1</v>
      </c>
      <c r="G222">
        <v>1</v>
      </c>
      <c r="H222">
        <v>3</v>
      </c>
      <c r="I222" t="s">
        <v>945</v>
      </c>
      <c r="J222" t="s">
        <v>946</v>
      </c>
      <c r="K222" t="s">
        <v>947</v>
      </c>
      <c r="L222">
        <v>1348</v>
      </c>
      <c r="N222">
        <v>1009</v>
      </c>
      <c r="O222" t="s">
        <v>137</v>
      </c>
      <c r="P222" t="s">
        <v>137</v>
      </c>
      <c r="Q222">
        <v>1000</v>
      </c>
      <c r="X222">
        <v>6.3E-2</v>
      </c>
      <c r="Y222">
        <v>16802.490000000002</v>
      </c>
      <c r="Z222">
        <v>0</v>
      </c>
      <c r="AA222">
        <v>0</v>
      </c>
      <c r="AB222">
        <v>0</v>
      </c>
      <c r="AC222">
        <v>0</v>
      </c>
      <c r="AD222">
        <v>1</v>
      </c>
      <c r="AE222">
        <v>0</v>
      </c>
      <c r="AF222" t="s">
        <v>6</v>
      </c>
      <c r="AG222">
        <v>6.3E-2</v>
      </c>
      <c r="AH222">
        <v>2</v>
      </c>
      <c r="AI222">
        <v>31029145</v>
      </c>
      <c r="AJ222">
        <v>198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>
      <c r="A223">
        <f>ROW(Source!A151)</f>
        <v>151</v>
      </c>
      <c r="B223">
        <v>31029166</v>
      </c>
      <c r="C223">
        <v>31029155</v>
      </c>
      <c r="D223">
        <v>29084594</v>
      </c>
      <c r="E223">
        <v>1</v>
      </c>
      <c r="F223">
        <v>1</v>
      </c>
      <c r="G223">
        <v>1</v>
      </c>
      <c r="H223">
        <v>1</v>
      </c>
      <c r="I223" t="s">
        <v>922</v>
      </c>
      <c r="J223" t="s">
        <v>6</v>
      </c>
      <c r="K223" t="s">
        <v>923</v>
      </c>
      <c r="L223">
        <v>1369</v>
      </c>
      <c r="N223">
        <v>1013</v>
      </c>
      <c r="O223" t="s">
        <v>773</v>
      </c>
      <c r="P223" t="s">
        <v>773</v>
      </c>
      <c r="Q223">
        <v>1</v>
      </c>
      <c r="X223">
        <v>144.63999999999999</v>
      </c>
      <c r="Y223">
        <v>0</v>
      </c>
      <c r="Z223">
        <v>0</v>
      </c>
      <c r="AA223">
        <v>0</v>
      </c>
      <c r="AB223">
        <v>8.86</v>
      </c>
      <c r="AC223">
        <v>0</v>
      </c>
      <c r="AD223">
        <v>1</v>
      </c>
      <c r="AE223">
        <v>1</v>
      </c>
      <c r="AF223" t="s">
        <v>127</v>
      </c>
      <c r="AG223">
        <v>191.28639999999996</v>
      </c>
      <c r="AH223">
        <v>2</v>
      </c>
      <c r="AI223">
        <v>31029156</v>
      </c>
      <c r="AJ223">
        <v>199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>
      <c r="A224">
        <f>ROW(Source!A151)</f>
        <v>151</v>
      </c>
      <c r="B224">
        <v>31029167</v>
      </c>
      <c r="C224">
        <v>31029155</v>
      </c>
      <c r="D224">
        <v>29084573</v>
      </c>
      <c r="E224">
        <v>1</v>
      </c>
      <c r="F224">
        <v>1</v>
      </c>
      <c r="G224">
        <v>1</v>
      </c>
      <c r="H224">
        <v>1</v>
      </c>
      <c r="I224" t="s">
        <v>774</v>
      </c>
      <c r="J224" t="s">
        <v>6</v>
      </c>
      <c r="K224" t="s">
        <v>775</v>
      </c>
      <c r="L224">
        <v>608254</v>
      </c>
      <c r="N224">
        <v>1013</v>
      </c>
      <c r="O224" t="s">
        <v>776</v>
      </c>
      <c r="P224" t="s">
        <v>776</v>
      </c>
      <c r="Q224">
        <v>1</v>
      </c>
      <c r="X224">
        <v>1.44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1</v>
      </c>
      <c r="AE224">
        <v>2</v>
      </c>
      <c r="AF224" t="s">
        <v>126</v>
      </c>
      <c r="AG224">
        <v>2.0699999999999998</v>
      </c>
      <c r="AH224">
        <v>2</v>
      </c>
      <c r="AI224">
        <v>31029157</v>
      </c>
      <c r="AJ224">
        <v>200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>
      <c r="A225">
        <f>ROW(Source!A151)</f>
        <v>151</v>
      </c>
      <c r="B225">
        <v>31029168</v>
      </c>
      <c r="C225">
        <v>31029155</v>
      </c>
      <c r="D225">
        <v>29147673</v>
      </c>
      <c r="E225">
        <v>1</v>
      </c>
      <c r="F225">
        <v>1</v>
      </c>
      <c r="G225">
        <v>1</v>
      </c>
      <c r="H225">
        <v>2</v>
      </c>
      <c r="I225" t="s">
        <v>924</v>
      </c>
      <c r="J225" t="s">
        <v>925</v>
      </c>
      <c r="K225" t="s">
        <v>926</v>
      </c>
      <c r="L225">
        <v>1368</v>
      </c>
      <c r="N225">
        <v>1011</v>
      </c>
      <c r="O225" t="s">
        <v>780</v>
      </c>
      <c r="P225" t="s">
        <v>780</v>
      </c>
      <c r="Q225">
        <v>1</v>
      </c>
      <c r="X225">
        <v>0.14000000000000001</v>
      </c>
      <c r="Y225">
        <v>0</v>
      </c>
      <c r="Z225">
        <v>97.95</v>
      </c>
      <c r="AA225">
        <v>9.7100000000000009</v>
      </c>
      <c r="AB225">
        <v>0</v>
      </c>
      <c r="AC225">
        <v>0</v>
      </c>
      <c r="AD225">
        <v>1</v>
      </c>
      <c r="AE225">
        <v>0</v>
      </c>
      <c r="AF225" t="s">
        <v>126</v>
      </c>
      <c r="AG225">
        <v>0.20125000000000001</v>
      </c>
      <c r="AH225">
        <v>2</v>
      </c>
      <c r="AI225">
        <v>31029158</v>
      </c>
      <c r="AJ225">
        <v>201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>
      <c r="A226">
        <f>ROW(Source!A151)</f>
        <v>151</v>
      </c>
      <c r="B226">
        <v>31029169</v>
      </c>
      <c r="C226">
        <v>31029155</v>
      </c>
      <c r="D226">
        <v>29147732</v>
      </c>
      <c r="E226">
        <v>1</v>
      </c>
      <c r="F226">
        <v>1</v>
      </c>
      <c r="G226">
        <v>1</v>
      </c>
      <c r="H226">
        <v>2</v>
      </c>
      <c r="I226" t="s">
        <v>846</v>
      </c>
      <c r="J226" t="s">
        <v>847</v>
      </c>
      <c r="K226" t="s">
        <v>848</v>
      </c>
      <c r="L226">
        <v>1368</v>
      </c>
      <c r="N226">
        <v>1011</v>
      </c>
      <c r="O226" t="s">
        <v>780</v>
      </c>
      <c r="P226" t="s">
        <v>780</v>
      </c>
      <c r="Q226">
        <v>1</v>
      </c>
      <c r="X226">
        <v>1.3</v>
      </c>
      <c r="Y226">
        <v>0</v>
      </c>
      <c r="Z226">
        <v>30.85</v>
      </c>
      <c r="AA226">
        <v>13.03</v>
      </c>
      <c r="AB226">
        <v>0</v>
      </c>
      <c r="AC226">
        <v>0</v>
      </c>
      <c r="AD226">
        <v>1</v>
      </c>
      <c r="AE226">
        <v>0</v>
      </c>
      <c r="AF226" t="s">
        <v>126</v>
      </c>
      <c r="AG226">
        <v>1.8687499999999999</v>
      </c>
      <c r="AH226">
        <v>2</v>
      </c>
      <c r="AI226">
        <v>31029159</v>
      </c>
      <c r="AJ226">
        <v>202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>
      <c r="A227">
        <f>ROW(Source!A151)</f>
        <v>151</v>
      </c>
      <c r="B227">
        <v>31029170</v>
      </c>
      <c r="C227">
        <v>31029155</v>
      </c>
      <c r="D227">
        <v>29150545</v>
      </c>
      <c r="E227">
        <v>1</v>
      </c>
      <c r="F227">
        <v>1</v>
      </c>
      <c r="G227">
        <v>1</v>
      </c>
      <c r="H227">
        <v>3</v>
      </c>
      <c r="I227" t="s">
        <v>927</v>
      </c>
      <c r="J227" t="s">
        <v>928</v>
      </c>
      <c r="K227" t="s">
        <v>929</v>
      </c>
      <c r="L227">
        <v>1348</v>
      </c>
      <c r="N227">
        <v>1009</v>
      </c>
      <c r="O227" t="s">
        <v>137</v>
      </c>
      <c r="P227" t="s">
        <v>137</v>
      </c>
      <c r="Q227">
        <v>1000</v>
      </c>
      <c r="X227">
        <v>2.5000000000000001E-3</v>
      </c>
      <c r="Y227">
        <v>9206.16</v>
      </c>
      <c r="Z227">
        <v>0</v>
      </c>
      <c r="AA227">
        <v>0</v>
      </c>
      <c r="AB227">
        <v>0</v>
      </c>
      <c r="AC227">
        <v>0</v>
      </c>
      <c r="AD227">
        <v>1</v>
      </c>
      <c r="AE227">
        <v>0</v>
      </c>
      <c r="AF227" t="s">
        <v>6</v>
      </c>
      <c r="AG227">
        <v>2.5000000000000001E-3</v>
      </c>
      <c r="AH227">
        <v>2</v>
      </c>
      <c r="AI227">
        <v>31029160</v>
      </c>
      <c r="AJ227">
        <v>203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>
      <c r="A228">
        <f>ROW(Source!A151)</f>
        <v>151</v>
      </c>
      <c r="B228">
        <v>31029171</v>
      </c>
      <c r="C228">
        <v>31029155</v>
      </c>
      <c r="D228">
        <v>29151213</v>
      </c>
      <c r="E228">
        <v>1</v>
      </c>
      <c r="F228">
        <v>1</v>
      </c>
      <c r="G228">
        <v>1</v>
      </c>
      <c r="H228">
        <v>3</v>
      </c>
      <c r="I228" t="s">
        <v>930</v>
      </c>
      <c r="J228" t="s">
        <v>931</v>
      </c>
      <c r="K228" t="s">
        <v>932</v>
      </c>
      <c r="L228">
        <v>1327</v>
      </c>
      <c r="N228">
        <v>1005</v>
      </c>
      <c r="O228" t="s">
        <v>284</v>
      </c>
      <c r="P228" t="s">
        <v>284</v>
      </c>
      <c r="Q228">
        <v>1</v>
      </c>
      <c r="X228">
        <v>108</v>
      </c>
      <c r="Y228">
        <v>9.39</v>
      </c>
      <c r="Z228">
        <v>0</v>
      </c>
      <c r="AA228">
        <v>0</v>
      </c>
      <c r="AB228">
        <v>0</v>
      </c>
      <c r="AC228">
        <v>0</v>
      </c>
      <c r="AD228">
        <v>1</v>
      </c>
      <c r="AE228">
        <v>0</v>
      </c>
      <c r="AF228" t="s">
        <v>6</v>
      </c>
      <c r="AG228">
        <v>108</v>
      </c>
      <c r="AH228">
        <v>2</v>
      </c>
      <c r="AI228">
        <v>31029161</v>
      </c>
      <c r="AJ228">
        <v>204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>
      <c r="A229">
        <f>ROW(Source!A151)</f>
        <v>151</v>
      </c>
      <c r="B229">
        <v>31029172</v>
      </c>
      <c r="C229">
        <v>31029155</v>
      </c>
      <c r="D229">
        <v>29151587</v>
      </c>
      <c r="E229">
        <v>1</v>
      </c>
      <c r="F229">
        <v>1</v>
      </c>
      <c r="G229">
        <v>1</v>
      </c>
      <c r="H229">
        <v>3</v>
      </c>
      <c r="I229" t="s">
        <v>933</v>
      </c>
      <c r="J229" t="s">
        <v>934</v>
      </c>
      <c r="K229" t="s">
        <v>935</v>
      </c>
      <c r="L229">
        <v>1348</v>
      </c>
      <c r="N229">
        <v>1009</v>
      </c>
      <c r="O229" t="s">
        <v>137</v>
      </c>
      <c r="P229" t="s">
        <v>137</v>
      </c>
      <c r="Q229">
        <v>1000</v>
      </c>
      <c r="X229">
        <v>2E-3</v>
      </c>
      <c r="Y229">
        <v>418.43</v>
      </c>
      <c r="Z229">
        <v>0</v>
      </c>
      <c r="AA229">
        <v>0</v>
      </c>
      <c r="AB229">
        <v>0</v>
      </c>
      <c r="AC229">
        <v>0</v>
      </c>
      <c r="AD229">
        <v>1</v>
      </c>
      <c r="AE229">
        <v>0</v>
      </c>
      <c r="AF229" t="s">
        <v>6</v>
      </c>
      <c r="AG229">
        <v>2E-3</v>
      </c>
      <c r="AH229">
        <v>2</v>
      </c>
      <c r="AI229">
        <v>31029162</v>
      </c>
      <c r="AJ229">
        <v>205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>
      <c r="A230">
        <f>ROW(Source!A151)</f>
        <v>151</v>
      </c>
      <c r="B230">
        <v>31029173</v>
      </c>
      <c r="C230">
        <v>31029155</v>
      </c>
      <c r="D230">
        <v>29151964</v>
      </c>
      <c r="E230">
        <v>1</v>
      </c>
      <c r="F230">
        <v>1</v>
      </c>
      <c r="G230">
        <v>1</v>
      </c>
      <c r="H230">
        <v>3</v>
      </c>
      <c r="I230" t="s">
        <v>936</v>
      </c>
      <c r="J230" t="s">
        <v>937</v>
      </c>
      <c r="K230" t="s">
        <v>938</v>
      </c>
      <c r="L230">
        <v>1346</v>
      </c>
      <c r="N230">
        <v>1009</v>
      </c>
      <c r="O230" t="s">
        <v>118</v>
      </c>
      <c r="P230" t="s">
        <v>118</v>
      </c>
      <c r="Q230">
        <v>1</v>
      </c>
      <c r="X230">
        <v>12</v>
      </c>
      <c r="Y230">
        <v>9.8000000000000007</v>
      </c>
      <c r="Z230">
        <v>0</v>
      </c>
      <c r="AA230">
        <v>0</v>
      </c>
      <c r="AB230">
        <v>0</v>
      </c>
      <c r="AC230">
        <v>0</v>
      </c>
      <c r="AD230">
        <v>1</v>
      </c>
      <c r="AE230">
        <v>0</v>
      </c>
      <c r="AF230" t="s">
        <v>6</v>
      </c>
      <c r="AG230">
        <v>12</v>
      </c>
      <c r="AH230">
        <v>2</v>
      </c>
      <c r="AI230">
        <v>31029163</v>
      </c>
      <c r="AJ230">
        <v>206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>
      <c r="A231">
        <f>ROW(Source!A151)</f>
        <v>151</v>
      </c>
      <c r="B231">
        <v>31029174</v>
      </c>
      <c r="C231">
        <v>31029155</v>
      </c>
      <c r="D231">
        <v>29186569</v>
      </c>
      <c r="E231">
        <v>1</v>
      </c>
      <c r="F231">
        <v>1</v>
      </c>
      <c r="G231">
        <v>1</v>
      </c>
      <c r="H231">
        <v>3</v>
      </c>
      <c r="I231" t="s">
        <v>939</v>
      </c>
      <c r="J231" t="s">
        <v>940</v>
      </c>
      <c r="K231" t="s">
        <v>941</v>
      </c>
      <c r="L231">
        <v>1339</v>
      </c>
      <c r="N231">
        <v>1007</v>
      </c>
      <c r="O231" t="s">
        <v>109</v>
      </c>
      <c r="P231" t="s">
        <v>109</v>
      </c>
      <c r="Q231">
        <v>1</v>
      </c>
      <c r="X231">
        <v>3.2</v>
      </c>
      <c r="Y231">
        <v>458.28</v>
      </c>
      <c r="Z231">
        <v>0</v>
      </c>
      <c r="AA231">
        <v>0</v>
      </c>
      <c r="AB231">
        <v>0</v>
      </c>
      <c r="AC231">
        <v>0</v>
      </c>
      <c r="AD231">
        <v>1</v>
      </c>
      <c r="AE231">
        <v>0</v>
      </c>
      <c r="AF231" t="s">
        <v>6</v>
      </c>
      <c r="AG231">
        <v>3.2</v>
      </c>
      <c r="AH231">
        <v>2</v>
      </c>
      <c r="AI231">
        <v>31029164</v>
      </c>
      <c r="AJ231">
        <v>207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  <row r="232" spans="1:44">
      <c r="A232">
        <f>ROW(Source!A151)</f>
        <v>151</v>
      </c>
      <c r="B232">
        <v>31029175</v>
      </c>
      <c r="C232">
        <v>31029155</v>
      </c>
      <c r="D232">
        <v>29195171</v>
      </c>
      <c r="E232">
        <v>1</v>
      </c>
      <c r="F232">
        <v>1</v>
      </c>
      <c r="G232">
        <v>1</v>
      </c>
      <c r="H232">
        <v>3</v>
      </c>
      <c r="I232" t="s">
        <v>830</v>
      </c>
      <c r="J232" t="s">
        <v>831</v>
      </c>
      <c r="K232" t="s">
        <v>832</v>
      </c>
      <c r="L232">
        <v>1339</v>
      </c>
      <c r="N232">
        <v>1007</v>
      </c>
      <c r="O232" t="s">
        <v>109</v>
      </c>
      <c r="P232" t="s">
        <v>109</v>
      </c>
      <c r="Q232">
        <v>1</v>
      </c>
      <c r="X232">
        <v>0.01</v>
      </c>
      <c r="Y232">
        <v>2.4500000000000002</v>
      </c>
      <c r="Z232">
        <v>0</v>
      </c>
      <c r="AA232">
        <v>0</v>
      </c>
      <c r="AB232">
        <v>0</v>
      </c>
      <c r="AC232">
        <v>0</v>
      </c>
      <c r="AD232">
        <v>1</v>
      </c>
      <c r="AE232">
        <v>0</v>
      </c>
      <c r="AF232" t="s">
        <v>6</v>
      </c>
      <c r="AG232">
        <v>0.01</v>
      </c>
      <c r="AH232">
        <v>2</v>
      </c>
      <c r="AI232">
        <v>31029165</v>
      </c>
      <c r="AJ232">
        <v>208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</row>
    <row r="233" spans="1:44">
      <c r="A233">
        <f>ROW(Source!A152)</f>
        <v>152</v>
      </c>
      <c r="B233">
        <v>31029184</v>
      </c>
      <c r="C233">
        <v>31029176</v>
      </c>
      <c r="D233">
        <v>29084596</v>
      </c>
      <c r="E233">
        <v>1</v>
      </c>
      <c r="F233">
        <v>1</v>
      </c>
      <c r="G233">
        <v>1</v>
      </c>
      <c r="H233">
        <v>1</v>
      </c>
      <c r="I233" t="s">
        <v>893</v>
      </c>
      <c r="J233" t="s">
        <v>6</v>
      </c>
      <c r="K233" t="s">
        <v>894</v>
      </c>
      <c r="L233">
        <v>1369</v>
      </c>
      <c r="N233">
        <v>1013</v>
      </c>
      <c r="O233" t="s">
        <v>773</v>
      </c>
      <c r="P233" t="s">
        <v>773</v>
      </c>
      <c r="Q233">
        <v>1</v>
      </c>
      <c r="X233">
        <v>16.5</v>
      </c>
      <c r="Y233">
        <v>0</v>
      </c>
      <c r="Z233">
        <v>0</v>
      </c>
      <c r="AA233">
        <v>0</v>
      </c>
      <c r="AB233">
        <v>9.18</v>
      </c>
      <c r="AC233">
        <v>0</v>
      </c>
      <c r="AD233">
        <v>1</v>
      </c>
      <c r="AE233">
        <v>1</v>
      </c>
      <c r="AF233" t="s">
        <v>127</v>
      </c>
      <c r="AG233">
        <v>21.821249999999996</v>
      </c>
      <c r="AH233">
        <v>2</v>
      </c>
      <c r="AI233">
        <v>31029177</v>
      </c>
      <c r="AJ233">
        <v>209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</row>
    <row r="234" spans="1:44">
      <c r="A234">
        <f>ROW(Source!A152)</f>
        <v>152</v>
      </c>
      <c r="B234">
        <v>31029185</v>
      </c>
      <c r="C234">
        <v>31029176</v>
      </c>
      <c r="D234">
        <v>29084573</v>
      </c>
      <c r="E234">
        <v>1</v>
      </c>
      <c r="F234">
        <v>1</v>
      </c>
      <c r="G234">
        <v>1</v>
      </c>
      <c r="H234">
        <v>1</v>
      </c>
      <c r="I234" t="s">
        <v>774</v>
      </c>
      <c r="J234" t="s">
        <v>6</v>
      </c>
      <c r="K234" t="s">
        <v>775</v>
      </c>
      <c r="L234">
        <v>608254</v>
      </c>
      <c r="N234">
        <v>1013</v>
      </c>
      <c r="O234" t="s">
        <v>776</v>
      </c>
      <c r="P234" t="s">
        <v>776</v>
      </c>
      <c r="Q234">
        <v>1</v>
      </c>
      <c r="X234">
        <v>0.01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1</v>
      </c>
      <c r="AE234">
        <v>2</v>
      </c>
      <c r="AF234" t="s">
        <v>126</v>
      </c>
      <c r="AG234">
        <v>1.4374999999999999E-2</v>
      </c>
      <c r="AH234">
        <v>2</v>
      </c>
      <c r="AI234">
        <v>31029178</v>
      </c>
      <c r="AJ234">
        <v>210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</row>
    <row r="235" spans="1:44">
      <c r="A235">
        <f>ROW(Source!A152)</f>
        <v>152</v>
      </c>
      <c r="B235">
        <v>31029186</v>
      </c>
      <c r="C235">
        <v>31029176</v>
      </c>
      <c r="D235">
        <v>29147732</v>
      </c>
      <c r="E235">
        <v>1</v>
      </c>
      <c r="F235">
        <v>1</v>
      </c>
      <c r="G235">
        <v>1</v>
      </c>
      <c r="H235">
        <v>2</v>
      </c>
      <c r="I235" t="s">
        <v>846</v>
      </c>
      <c r="J235" t="s">
        <v>847</v>
      </c>
      <c r="K235" t="s">
        <v>848</v>
      </c>
      <c r="L235">
        <v>1368</v>
      </c>
      <c r="N235">
        <v>1011</v>
      </c>
      <c r="O235" t="s">
        <v>780</v>
      </c>
      <c r="P235" t="s">
        <v>780</v>
      </c>
      <c r="Q235">
        <v>1</v>
      </c>
      <c r="X235">
        <v>0.01</v>
      </c>
      <c r="Y235">
        <v>0</v>
      </c>
      <c r="Z235">
        <v>30.85</v>
      </c>
      <c r="AA235">
        <v>13.03</v>
      </c>
      <c r="AB235">
        <v>0</v>
      </c>
      <c r="AC235">
        <v>0</v>
      </c>
      <c r="AD235">
        <v>1</v>
      </c>
      <c r="AE235">
        <v>0</v>
      </c>
      <c r="AF235" t="s">
        <v>126</v>
      </c>
      <c r="AG235">
        <v>1.4374999999999999E-2</v>
      </c>
      <c r="AH235">
        <v>2</v>
      </c>
      <c r="AI235">
        <v>31029179</v>
      </c>
      <c r="AJ235">
        <v>211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</row>
    <row r="236" spans="1:44">
      <c r="A236">
        <f>ROW(Source!A152)</f>
        <v>152</v>
      </c>
      <c r="B236">
        <v>31029187</v>
      </c>
      <c r="C236">
        <v>31029176</v>
      </c>
      <c r="D236">
        <v>29149520</v>
      </c>
      <c r="E236">
        <v>1</v>
      </c>
      <c r="F236">
        <v>1</v>
      </c>
      <c r="G236">
        <v>1</v>
      </c>
      <c r="H236">
        <v>2</v>
      </c>
      <c r="I236" t="s">
        <v>790</v>
      </c>
      <c r="J236" t="s">
        <v>791</v>
      </c>
      <c r="K236" t="s">
        <v>792</v>
      </c>
      <c r="L236">
        <v>1368</v>
      </c>
      <c r="N236">
        <v>1011</v>
      </c>
      <c r="O236" t="s">
        <v>780</v>
      </c>
      <c r="P236" t="s">
        <v>780</v>
      </c>
      <c r="Q236">
        <v>1</v>
      </c>
      <c r="X236">
        <v>0.04</v>
      </c>
      <c r="Y236">
        <v>0</v>
      </c>
      <c r="Z236">
        <v>91.62</v>
      </c>
      <c r="AA236">
        <v>0</v>
      </c>
      <c r="AB236">
        <v>0</v>
      </c>
      <c r="AC236">
        <v>0</v>
      </c>
      <c r="AD236">
        <v>1</v>
      </c>
      <c r="AE236">
        <v>0</v>
      </c>
      <c r="AF236" t="s">
        <v>126</v>
      </c>
      <c r="AG236">
        <v>5.7499999999999996E-2</v>
      </c>
      <c r="AH236">
        <v>2</v>
      </c>
      <c r="AI236">
        <v>31029180</v>
      </c>
      <c r="AJ236">
        <v>212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</row>
    <row r="237" spans="1:44">
      <c r="A237">
        <f>ROW(Source!A152)</f>
        <v>152</v>
      </c>
      <c r="B237">
        <v>31029188</v>
      </c>
      <c r="C237">
        <v>31029176</v>
      </c>
      <c r="D237">
        <v>29151861</v>
      </c>
      <c r="E237">
        <v>1</v>
      </c>
      <c r="F237">
        <v>1</v>
      </c>
      <c r="G237">
        <v>1</v>
      </c>
      <c r="H237">
        <v>3</v>
      </c>
      <c r="I237" t="s">
        <v>835</v>
      </c>
      <c r="J237" t="s">
        <v>836</v>
      </c>
      <c r="K237" t="s">
        <v>837</v>
      </c>
      <c r="L237">
        <v>1327</v>
      </c>
      <c r="N237">
        <v>1005</v>
      </c>
      <c r="O237" t="s">
        <v>284</v>
      </c>
      <c r="P237" t="s">
        <v>284</v>
      </c>
      <c r="Q237">
        <v>1</v>
      </c>
      <c r="X237">
        <v>4.4000000000000004</v>
      </c>
      <c r="Y237">
        <v>73.39</v>
      </c>
      <c r="Z237">
        <v>0</v>
      </c>
      <c r="AA237">
        <v>0</v>
      </c>
      <c r="AB237">
        <v>0</v>
      </c>
      <c r="AC237">
        <v>0</v>
      </c>
      <c r="AD237">
        <v>1</v>
      </c>
      <c r="AE237">
        <v>0</v>
      </c>
      <c r="AF237" t="s">
        <v>6</v>
      </c>
      <c r="AG237">
        <v>4.4000000000000004</v>
      </c>
      <c r="AH237">
        <v>2</v>
      </c>
      <c r="AI237">
        <v>31029181</v>
      </c>
      <c r="AJ237">
        <v>213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</row>
    <row r="238" spans="1:44">
      <c r="A238">
        <f>ROW(Source!A152)</f>
        <v>152</v>
      </c>
      <c r="B238">
        <v>31029189</v>
      </c>
      <c r="C238">
        <v>31029176</v>
      </c>
      <c r="D238">
        <v>29151929</v>
      </c>
      <c r="E238">
        <v>1</v>
      </c>
      <c r="F238">
        <v>1</v>
      </c>
      <c r="G238">
        <v>1</v>
      </c>
      <c r="H238">
        <v>3</v>
      </c>
      <c r="I238" t="s">
        <v>914</v>
      </c>
      <c r="J238" t="s">
        <v>915</v>
      </c>
      <c r="K238" t="s">
        <v>916</v>
      </c>
      <c r="L238">
        <v>1348</v>
      </c>
      <c r="N238">
        <v>1009</v>
      </c>
      <c r="O238" t="s">
        <v>137</v>
      </c>
      <c r="P238" t="s">
        <v>137</v>
      </c>
      <c r="Q238">
        <v>1000</v>
      </c>
      <c r="X238">
        <v>3.2000000000000001E-2</v>
      </c>
      <c r="Y238">
        <v>3151.95</v>
      </c>
      <c r="Z238">
        <v>0</v>
      </c>
      <c r="AA238">
        <v>0</v>
      </c>
      <c r="AB238">
        <v>0</v>
      </c>
      <c r="AC238">
        <v>0</v>
      </c>
      <c r="AD238">
        <v>1</v>
      </c>
      <c r="AE238">
        <v>0</v>
      </c>
      <c r="AF238" t="s">
        <v>6</v>
      </c>
      <c r="AG238">
        <v>3.2000000000000001E-2</v>
      </c>
      <c r="AH238">
        <v>2</v>
      </c>
      <c r="AI238">
        <v>31029182</v>
      </c>
      <c r="AJ238">
        <v>214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</row>
    <row r="239" spans="1:44">
      <c r="A239">
        <f>ROW(Source!A152)</f>
        <v>152</v>
      </c>
      <c r="B239">
        <v>31029190</v>
      </c>
      <c r="C239">
        <v>31029176</v>
      </c>
      <c r="D239">
        <v>29152014</v>
      </c>
      <c r="E239">
        <v>1</v>
      </c>
      <c r="F239">
        <v>1</v>
      </c>
      <c r="G239">
        <v>1</v>
      </c>
      <c r="H239">
        <v>3</v>
      </c>
      <c r="I239" t="s">
        <v>838</v>
      </c>
      <c r="J239" t="s">
        <v>839</v>
      </c>
      <c r="K239" t="s">
        <v>840</v>
      </c>
      <c r="L239">
        <v>1346</v>
      </c>
      <c r="N239">
        <v>1009</v>
      </c>
      <c r="O239" t="s">
        <v>118</v>
      </c>
      <c r="P239" t="s">
        <v>118</v>
      </c>
      <c r="Q239">
        <v>1</v>
      </c>
      <c r="X239">
        <v>0.15</v>
      </c>
      <c r="Y239">
        <v>1.94</v>
      </c>
      <c r="Z239">
        <v>0</v>
      </c>
      <c r="AA239">
        <v>0</v>
      </c>
      <c r="AB239">
        <v>0</v>
      </c>
      <c r="AC239">
        <v>0</v>
      </c>
      <c r="AD239">
        <v>1</v>
      </c>
      <c r="AE239">
        <v>0</v>
      </c>
      <c r="AF239" t="s">
        <v>6</v>
      </c>
      <c r="AG239">
        <v>0.15</v>
      </c>
      <c r="AH239">
        <v>2</v>
      </c>
      <c r="AI239">
        <v>31029183</v>
      </c>
      <c r="AJ239">
        <v>215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</row>
    <row r="240" spans="1:44">
      <c r="A240">
        <f>ROW(Source!A153)</f>
        <v>153</v>
      </c>
      <c r="B240">
        <v>31029200</v>
      </c>
      <c r="C240">
        <v>31029191</v>
      </c>
      <c r="D240">
        <v>29084579</v>
      </c>
      <c r="E240">
        <v>1</v>
      </c>
      <c r="F240">
        <v>1</v>
      </c>
      <c r="G240">
        <v>1</v>
      </c>
      <c r="H240">
        <v>1</v>
      </c>
      <c r="I240" t="s">
        <v>849</v>
      </c>
      <c r="J240" t="s">
        <v>6</v>
      </c>
      <c r="K240" t="s">
        <v>850</v>
      </c>
      <c r="L240">
        <v>1369</v>
      </c>
      <c r="N240">
        <v>1013</v>
      </c>
      <c r="O240" t="s">
        <v>773</v>
      </c>
      <c r="P240" t="s">
        <v>773</v>
      </c>
      <c r="Q240">
        <v>1</v>
      </c>
      <c r="X240">
        <v>89.43</v>
      </c>
      <c r="Y240">
        <v>0</v>
      </c>
      <c r="Z240">
        <v>0</v>
      </c>
      <c r="AA240">
        <v>0</v>
      </c>
      <c r="AB240">
        <v>9.2899999999999991</v>
      </c>
      <c r="AC240">
        <v>0</v>
      </c>
      <c r="AD240">
        <v>1</v>
      </c>
      <c r="AE240">
        <v>1</v>
      </c>
      <c r="AF240" t="s">
        <v>127</v>
      </c>
      <c r="AG240">
        <v>118.27117499999999</v>
      </c>
      <c r="AH240">
        <v>2</v>
      </c>
      <c r="AI240">
        <v>31029192</v>
      </c>
      <c r="AJ240">
        <v>216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</row>
    <row r="241" spans="1:44">
      <c r="A241">
        <f>ROW(Source!A153)</f>
        <v>153</v>
      </c>
      <c r="B241">
        <v>31029201</v>
      </c>
      <c r="C241">
        <v>31029191</v>
      </c>
      <c r="D241">
        <v>29084573</v>
      </c>
      <c r="E241">
        <v>1</v>
      </c>
      <c r="F241">
        <v>1</v>
      </c>
      <c r="G241">
        <v>1</v>
      </c>
      <c r="H241">
        <v>1</v>
      </c>
      <c r="I241" t="s">
        <v>774</v>
      </c>
      <c r="J241" t="s">
        <v>6</v>
      </c>
      <c r="K241" t="s">
        <v>775</v>
      </c>
      <c r="L241">
        <v>608254</v>
      </c>
      <c r="N241">
        <v>1013</v>
      </c>
      <c r="O241" t="s">
        <v>776</v>
      </c>
      <c r="P241" t="s">
        <v>776</v>
      </c>
      <c r="Q241">
        <v>1</v>
      </c>
      <c r="X241">
        <v>0.03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1</v>
      </c>
      <c r="AE241">
        <v>2</v>
      </c>
      <c r="AF241" t="s">
        <v>126</v>
      </c>
      <c r="AG241">
        <v>4.3124999999999997E-2</v>
      </c>
      <c r="AH241">
        <v>2</v>
      </c>
      <c r="AI241">
        <v>31029193</v>
      </c>
      <c r="AJ241">
        <v>217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</row>
    <row r="242" spans="1:44">
      <c r="A242">
        <f>ROW(Source!A153)</f>
        <v>153</v>
      </c>
      <c r="B242">
        <v>31029202</v>
      </c>
      <c r="C242">
        <v>31029191</v>
      </c>
      <c r="D242">
        <v>29147732</v>
      </c>
      <c r="E242">
        <v>1</v>
      </c>
      <c r="F242">
        <v>1</v>
      </c>
      <c r="G242">
        <v>1</v>
      </c>
      <c r="H242">
        <v>2</v>
      </c>
      <c r="I242" t="s">
        <v>846</v>
      </c>
      <c r="J242" t="s">
        <v>847</v>
      </c>
      <c r="K242" t="s">
        <v>848</v>
      </c>
      <c r="L242">
        <v>1368</v>
      </c>
      <c r="N242">
        <v>1011</v>
      </c>
      <c r="O242" t="s">
        <v>780</v>
      </c>
      <c r="P242" t="s">
        <v>780</v>
      </c>
      <c r="Q242">
        <v>1</v>
      </c>
      <c r="X242">
        <v>0.03</v>
      </c>
      <c r="Y242">
        <v>0</v>
      </c>
      <c r="Z242">
        <v>30.85</v>
      </c>
      <c r="AA242">
        <v>13.03</v>
      </c>
      <c r="AB242">
        <v>0</v>
      </c>
      <c r="AC242">
        <v>0</v>
      </c>
      <c r="AD242">
        <v>1</v>
      </c>
      <c r="AE242">
        <v>0</v>
      </c>
      <c r="AF242" t="s">
        <v>126</v>
      </c>
      <c r="AG242">
        <v>4.3124999999999997E-2</v>
      </c>
      <c r="AH242">
        <v>2</v>
      </c>
      <c r="AI242">
        <v>31029194</v>
      </c>
      <c r="AJ242">
        <v>218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</row>
    <row r="243" spans="1:44">
      <c r="A243">
        <f>ROW(Source!A153)</f>
        <v>153</v>
      </c>
      <c r="B243">
        <v>31029203</v>
      </c>
      <c r="C243">
        <v>31029191</v>
      </c>
      <c r="D243">
        <v>29149520</v>
      </c>
      <c r="E243">
        <v>1</v>
      </c>
      <c r="F243">
        <v>1</v>
      </c>
      <c r="G243">
        <v>1</v>
      </c>
      <c r="H243">
        <v>2</v>
      </c>
      <c r="I243" t="s">
        <v>790</v>
      </c>
      <c r="J243" t="s">
        <v>791</v>
      </c>
      <c r="K243" t="s">
        <v>792</v>
      </c>
      <c r="L243">
        <v>1368</v>
      </c>
      <c r="N243">
        <v>1011</v>
      </c>
      <c r="O243" t="s">
        <v>780</v>
      </c>
      <c r="P243" t="s">
        <v>780</v>
      </c>
      <c r="Q243">
        <v>1</v>
      </c>
      <c r="X243">
        <v>0.22</v>
      </c>
      <c r="Y243">
        <v>0</v>
      </c>
      <c r="Z243">
        <v>91.62</v>
      </c>
      <c r="AA243">
        <v>0</v>
      </c>
      <c r="AB243">
        <v>0</v>
      </c>
      <c r="AC243">
        <v>0</v>
      </c>
      <c r="AD243">
        <v>1</v>
      </c>
      <c r="AE243">
        <v>0</v>
      </c>
      <c r="AF243" t="s">
        <v>126</v>
      </c>
      <c r="AG243">
        <v>0.31624999999999998</v>
      </c>
      <c r="AH243">
        <v>2</v>
      </c>
      <c r="AI243">
        <v>31029195</v>
      </c>
      <c r="AJ243">
        <v>219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</row>
    <row r="244" spans="1:44">
      <c r="A244">
        <f>ROW(Source!A153)</f>
        <v>153</v>
      </c>
      <c r="B244">
        <v>31029204</v>
      </c>
      <c r="C244">
        <v>31029191</v>
      </c>
      <c r="D244">
        <v>29151861</v>
      </c>
      <c r="E244">
        <v>1</v>
      </c>
      <c r="F244">
        <v>1</v>
      </c>
      <c r="G244">
        <v>1</v>
      </c>
      <c r="H244">
        <v>3</v>
      </c>
      <c r="I244" t="s">
        <v>835</v>
      </c>
      <c r="J244" t="s">
        <v>836</v>
      </c>
      <c r="K244" t="s">
        <v>837</v>
      </c>
      <c r="L244">
        <v>1327</v>
      </c>
      <c r="N244">
        <v>1005</v>
      </c>
      <c r="O244" t="s">
        <v>284</v>
      </c>
      <c r="P244" t="s">
        <v>284</v>
      </c>
      <c r="Q244">
        <v>1</v>
      </c>
      <c r="X244">
        <v>0.88</v>
      </c>
      <c r="Y244">
        <v>73.39</v>
      </c>
      <c r="Z244">
        <v>0</v>
      </c>
      <c r="AA244">
        <v>0</v>
      </c>
      <c r="AB244">
        <v>0</v>
      </c>
      <c r="AC244">
        <v>0</v>
      </c>
      <c r="AD244">
        <v>1</v>
      </c>
      <c r="AE244">
        <v>0</v>
      </c>
      <c r="AF244" t="s">
        <v>6</v>
      </c>
      <c r="AG244">
        <v>0.88</v>
      </c>
      <c r="AH244">
        <v>2</v>
      </c>
      <c r="AI244">
        <v>31029196</v>
      </c>
      <c r="AJ244">
        <v>220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</row>
    <row r="245" spans="1:44">
      <c r="A245">
        <f>ROW(Source!A153)</f>
        <v>153</v>
      </c>
      <c r="B245">
        <v>31029205</v>
      </c>
      <c r="C245">
        <v>31029191</v>
      </c>
      <c r="D245">
        <v>29151971</v>
      </c>
      <c r="E245">
        <v>1</v>
      </c>
      <c r="F245">
        <v>1</v>
      </c>
      <c r="G245">
        <v>1</v>
      </c>
      <c r="H245">
        <v>3</v>
      </c>
      <c r="I245" t="s">
        <v>942</v>
      </c>
      <c r="J245" t="s">
        <v>943</v>
      </c>
      <c r="K245" t="s">
        <v>944</v>
      </c>
      <c r="L245">
        <v>1348</v>
      </c>
      <c r="N245">
        <v>1009</v>
      </c>
      <c r="O245" t="s">
        <v>137</v>
      </c>
      <c r="P245" t="s">
        <v>137</v>
      </c>
      <c r="Q245">
        <v>1000</v>
      </c>
      <c r="X245">
        <v>9.1999999999999998E-2</v>
      </c>
      <c r="Y245">
        <v>3311.4</v>
      </c>
      <c r="Z245">
        <v>0</v>
      </c>
      <c r="AA245">
        <v>0</v>
      </c>
      <c r="AB245">
        <v>0</v>
      </c>
      <c r="AC245">
        <v>0</v>
      </c>
      <c r="AD245">
        <v>1</v>
      </c>
      <c r="AE245">
        <v>0</v>
      </c>
      <c r="AF245" t="s">
        <v>6</v>
      </c>
      <c r="AG245">
        <v>9.1999999999999998E-2</v>
      </c>
      <c r="AH245">
        <v>2</v>
      </c>
      <c r="AI245">
        <v>31029197</v>
      </c>
      <c r="AJ245">
        <v>221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</row>
    <row r="246" spans="1:44">
      <c r="A246">
        <f>ROW(Source!A153)</f>
        <v>153</v>
      </c>
      <c r="B246">
        <v>31029206</v>
      </c>
      <c r="C246">
        <v>31029191</v>
      </c>
      <c r="D246">
        <v>29152014</v>
      </c>
      <c r="E246">
        <v>1</v>
      </c>
      <c r="F246">
        <v>1</v>
      </c>
      <c r="G246">
        <v>1</v>
      </c>
      <c r="H246">
        <v>3</v>
      </c>
      <c r="I246" t="s">
        <v>838</v>
      </c>
      <c r="J246" t="s">
        <v>839</v>
      </c>
      <c r="K246" t="s">
        <v>840</v>
      </c>
      <c r="L246">
        <v>1346</v>
      </c>
      <c r="N246">
        <v>1009</v>
      </c>
      <c r="O246" t="s">
        <v>118</v>
      </c>
      <c r="P246" t="s">
        <v>118</v>
      </c>
      <c r="Q246">
        <v>1</v>
      </c>
      <c r="X246">
        <v>0.36</v>
      </c>
      <c r="Y246">
        <v>1.94</v>
      </c>
      <c r="Z246">
        <v>0</v>
      </c>
      <c r="AA246">
        <v>0</v>
      </c>
      <c r="AB246">
        <v>0</v>
      </c>
      <c r="AC246">
        <v>0</v>
      </c>
      <c r="AD246">
        <v>1</v>
      </c>
      <c r="AE246">
        <v>0</v>
      </c>
      <c r="AF246" t="s">
        <v>6</v>
      </c>
      <c r="AG246">
        <v>0.36</v>
      </c>
      <c r="AH246">
        <v>2</v>
      </c>
      <c r="AI246">
        <v>31029198</v>
      </c>
      <c r="AJ246">
        <v>222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</row>
    <row r="247" spans="1:44">
      <c r="A247">
        <f>ROW(Source!A153)</f>
        <v>153</v>
      </c>
      <c r="B247">
        <v>31029207</v>
      </c>
      <c r="C247">
        <v>31029191</v>
      </c>
      <c r="D247">
        <v>29152186</v>
      </c>
      <c r="E247">
        <v>1</v>
      </c>
      <c r="F247">
        <v>1</v>
      </c>
      <c r="G247">
        <v>1</v>
      </c>
      <c r="H247">
        <v>3</v>
      </c>
      <c r="I247" t="s">
        <v>945</v>
      </c>
      <c r="J247" t="s">
        <v>946</v>
      </c>
      <c r="K247" t="s">
        <v>947</v>
      </c>
      <c r="L247">
        <v>1348</v>
      </c>
      <c r="N247">
        <v>1009</v>
      </c>
      <c r="O247" t="s">
        <v>137</v>
      </c>
      <c r="P247" t="s">
        <v>137</v>
      </c>
      <c r="Q247">
        <v>1000</v>
      </c>
      <c r="X247">
        <v>6.9000000000000006E-2</v>
      </c>
      <c r="Y247">
        <v>16802.490000000002</v>
      </c>
      <c r="Z247">
        <v>0</v>
      </c>
      <c r="AA247">
        <v>0</v>
      </c>
      <c r="AB247">
        <v>0</v>
      </c>
      <c r="AC247">
        <v>0</v>
      </c>
      <c r="AD247">
        <v>1</v>
      </c>
      <c r="AE247">
        <v>0</v>
      </c>
      <c r="AF247" t="s">
        <v>6</v>
      </c>
      <c r="AG247">
        <v>6.9000000000000006E-2</v>
      </c>
      <c r="AH247">
        <v>2</v>
      </c>
      <c r="AI247">
        <v>31029199</v>
      </c>
      <c r="AJ247">
        <v>223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</row>
    <row r="248" spans="1:44">
      <c r="A248">
        <f>ROW(Source!A155)</f>
        <v>155</v>
      </c>
      <c r="B248">
        <v>31029220</v>
      </c>
      <c r="C248">
        <v>31029209</v>
      </c>
      <c r="D248">
        <v>29084594</v>
      </c>
      <c r="E248">
        <v>1</v>
      </c>
      <c r="F248">
        <v>1</v>
      </c>
      <c r="G248">
        <v>1</v>
      </c>
      <c r="H248">
        <v>1</v>
      </c>
      <c r="I248" t="s">
        <v>922</v>
      </c>
      <c r="J248" t="s">
        <v>6</v>
      </c>
      <c r="K248" t="s">
        <v>923</v>
      </c>
      <c r="L248">
        <v>1369</v>
      </c>
      <c r="N248">
        <v>1013</v>
      </c>
      <c r="O248" t="s">
        <v>773</v>
      </c>
      <c r="P248" t="s">
        <v>773</v>
      </c>
      <c r="Q248">
        <v>1</v>
      </c>
      <c r="X248">
        <v>144.63999999999999</v>
      </c>
      <c r="Y248">
        <v>0</v>
      </c>
      <c r="Z248">
        <v>0</v>
      </c>
      <c r="AA248">
        <v>0</v>
      </c>
      <c r="AB248">
        <v>8.86</v>
      </c>
      <c r="AC248">
        <v>0</v>
      </c>
      <c r="AD248">
        <v>1</v>
      </c>
      <c r="AE248">
        <v>1</v>
      </c>
      <c r="AF248" t="s">
        <v>127</v>
      </c>
      <c r="AG248">
        <v>191.28639999999996</v>
      </c>
      <c r="AH248">
        <v>2</v>
      </c>
      <c r="AI248">
        <v>31029210</v>
      </c>
      <c r="AJ248">
        <v>224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</row>
    <row r="249" spans="1:44">
      <c r="A249">
        <f>ROW(Source!A155)</f>
        <v>155</v>
      </c>
      <c r="B249">
        <v>31029221</v>
      </c>
      <c r="C249">
        <v>31029209</v>
      </c>
      <c r="D249">
        <v>29084573</v>
      </c>
      <c r="E249">
        <v>1</v>
      </c>
      <c r="F249">
        <v>1</v>
      </c>
      <c r="G249">
        <v>1</v>
      </c>
      <c r="H249">
        <v>1</v>
      </c>
      <c r="I249" t="s">
        <v>774</v>
      </c>
      <c r="J249" t="s">
        <v>6</v>
      </c>
      <c r="K249" t="s">
        <v>775</v>
      </c>
      <c r="L249">
        <v>608254</v>
      </c>
      <c r="N249">
        <v>1013</v>
      </c>
      <c r="O249" t="s">
        <v>776</v>
      </c>
      <c r="P249" t="s">
        <v>776</v>
      </c>
      <c r="Q249">
        <v>1</v>
      </c>
      <c r="X249">
        <v>1.44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1</v>
      </c>
      <c r="AE249">
        <v>2</v>
      </c>
      <c r="AF249" t="s">
        <v>126</v>
      </c>
      <c r="AG249">
        <v>2.0699999999999998</v>
      </c>
      <c r="AH249">
        <v>2</v>
      </c>
      <c r="AI249">
        <v>31029211</v>
      </c>
      <c r="AJ249">
        <v>225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</row>
    <row r="250" spans="1:44">
      <c r="A250">
        <f>ROW(Source!A155)</f>
        <v>155</v>
      </c>
      <c r="B250">
        <v>31029222</v>
      </c>
      <c r="C250">
        <v>31029209</v>
      </c>
      <c r="D250">
        <v>29147673</v>
      </c>
      <c r="E250">
        <v>1</v>
      </c>
      <c r="F250">
        <v>1</v>
      </c>
      <c r="G250">
        <v>1</v>
      </c>
      <c r="H250">
        <v>2</v>
      </c>
      <c r="I250" t="s">
        <v>924</v>
      </c>
      <c r="J250" t="s">
        <v>925</v>
      </c>
      <c r="K250" t="s">
        <v>926</v>
      </c>
      <c r="L250">
        <v>1368</v>
      </c>
      <c r="N250">
        <v>1011</v>
      </c>
      <c r="O250" t="s">
        <v>780</v>
      </c>
      <c r="P250" t="s">
        <v>780</v>
      </c>
      <c r="Q250">
        <v>1</v>
      </c>
      <c r="X250">
        <v>0.14000000000000001</v>
      </c>
      <c r="Y250">
        <v>0</v>
      </c>
      <c r="Z250">
        <v>97.95</v>
      </c>
      <c r="AA250">
        <v>9.7100000000000009</v>
      </c>
      <c r="AB250">
        <v>0</v>
      </c>
      <c r="AC250">
        <v>0</v>
      </c>
      <c r="AD250">
        <v>1</v>
      </c>
      <c r="AE250">
        <v>0</v>
      </c>
      <c r="AF250" t="s">
        <v>126</v>
      </c>
      <c r="AG250">
        <v>0.20125000000000001</v>
      </c>
      <c r="AH250">
        <v>2</v>
      </c>
      <c r="AI250">
        <v>31029212</v>
      </c>
      <c r="AJ250">
        <v>226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</row>
    <row r="251" spans="1:44">
      <c r="A251">
        <f>ROW(Source!A155)</f>
        <v>155</v>
      </c>
      <c r="B251">
        <v>31029223</v>
      </c>
      <c r="C251">
        <v>31029209</v>
      </c>
      <c r="D251">
        <v>29147732</v>
      </c>
      <c r="E251">
        <v>1</v>
      </c>
      <c r="F251">
        <v>1</v>
      </c>
      <c r="G251">
        <v>1</v>
      </c>
      <c r="H251">
        <v>2</v>
      </c>
      <c r="I251" t="s">
        <v>846</v>
      </c>
      <c r="J251" t="s">
        <v>847</v>
      </c>
      <c r="K251" t="s">
        <v>848</v>
      </c>
      <c r="L251">
        <v>1368</v>
      </c>
      <c r="N251">
        <v>1011</v>
      </c>
      <c r="O251" t="s">
        <v>780</v>
      </c>
      <c r="P251" t="s">
        <v>780</v>
      </c>
      <c r="Q251">
        <v>1</v>
      </c>
      <c r="X251">
        <v>1.3</v>
      </c>
      <c r="Y251">
        <v>0</v>
      </c>
      <c r="Z251">
        <v>30.85</v>
      </c>
      <c r="AA251">
        <v>13.03</v>
      </c>
      <c r="AB251">
        <v>0</v>
      </c>
      <c r="AC251">
        <v>0</v>
      </c>
      <c r="AD251">
        <v>1</v>
      </c>
      <c r="AE251">
        <v>0</v>
      </c>
      <c r="AF251" t="s">
        <v>126</v>
      </c>
      <c r="AG251">
        <v>1.8687499999999999</v>
      </c>
      <c r="AH251">
        <v>2</v>
      </c>
      <c r="AI251">
        <v>31029213</v>
      </c>
      <c r="AJ251">
        <v>227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</row>
    <row r="252" spans="1:44">
      <c r="A252">
        <f>ROW(Source!A155)</f>
        <v>155</v>
      </c>
      <c r="B252">
        <v>31029224</v>
      </c>
      <c r="C252">
        <v>31029209</v>
      </c>
      <c r="D252">
        <v>29150545</v>
      </c>
      <c r="E252">
        <v>1</v>
      </c>
      <c r="F252">
        <v>1</v>
      </c>
      <c r="G252">
        <v>1</v>
      </c>
      <c r="H252">
        <v>3</v>
      </c>
      <c r="I252" t="s">
        <v>927</v>
      </c>
      <c r="J252" t="s">
        <v>928</v>
      </c>
      <c r="K252" t="s">
        <v>929</v>
      </c>
      <c r="L252">
        <v>1348</v>
      </c>
      <c r="N252">
        <v>1009</v>
      </c>
      <c r="O252" t="s">
        <v>137</v>
      </c>
      <c r="P252" t="s">
        <v>137</v>
      </c>
      <c r="Q252">
        <v>1000</v>
      </c>
      <c r="X252">
        <v>2.5000000000000001E-3</v>
      </c>
      <c r="Y252">
        <v>9206.16</v>
      </c>
      <c r="Z252">
        <v>0</v>
      </c>
      <c r="AA252">
        <v>0</v>
      </c>
      <c r="AB252">
        <v>0</v>
      </c>
      <c r="AC252">
        <v>0</v>
      </c>
      <c r="AD252">
        <v>1</v>
      </c>
      <c r="AE252">
        <v>0</v>
      </c>
      <c r="AF252" t="s">
        <v>6</v>
      </c>
      <c r="AG252">
        <v>2.5000000000000001E-3</v>
      </c>
      <c r="AH252">
        <v>2</v>
      </c>
      <c r="AI252">
        <v>31029214</v>
      </c>
      <c r="AJ252">
        <v>228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</row>
    <row r="253" spans="1:44">
      <c r="A253">
        <f>ROW(Source!A155)</f>
        <v>155</v>
      </c>
      <c r="B253">
        <v>31029225</v>
      </c>
      <c r="C253">
        <v>31029209</v>
      </c>
      <c r="D253">
        <v>29151213</v>
      </c>
      <c r="E253">
        <v>1</v>
      </c>
      <c r="F253">
        <v>1</v>
      </c>
      <c r="G253">
        <v>1</v>
      </c>
      <c r="H253">
        <v>3</v>
      </c>
      <c r="I253" t="s">
        <v>930</v>
      </c>
      <c r="J253" t="s">
        <v>931</v>
      </c>
      <c r="K253" t="s">
        <v>932</v>
      </c>
      <c r="L253">
        <v>1327</v>
      </c>
      <c r="N253">
        <v>1005</v>
      </c>
      <c r="O253" t="s">
        <v>284</v>
      </c>
      <c r="P253" t="s">
        <v>284</v>
      </c>
      <c r="Q253">
        <v>1</v>
      </c>
      <c r="X253">
        <v>108</v>
      </c>
      <c r="Y253">
        <v>9.39</v>
      </c>
      <c r="Z253">
        <v>0</v>
      </c>
      <c r="AA253">
        <v>0</v>
      </c>
      <c r="AB253">
        <v>0</v>
      </c>
      <c r="AC253">
        <v>0</v>
      </c>
      <c r="AD253">
        <v>1</v>
      </c>
      <c r="AE253">
        <v>0</v>
      </c>
      <c r="AF253" t="s">
        <v>6</v>
      </c>
      <c r="AG253">
        <v>108</v>
      </c>
      <c r="AH253">
        <v>2</v>
      </c>
      <c r="AI253">
        <v>31029215</v>
      </c>
      <c r="AJ253">
        <v>229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</row>
    <row r="254" spans="1:44">
      <c r="A254">
        <f>ROW(Source!A155)</f>
        <v>155</v>
      </c>
      <c r="B254">
        <v>31029226</v>
      </c>
      <c r="C254">
        <v>31029209</v>
      </c>
      <c r="D254">
        <v>29151587</v>
      </c>
      <c r="E254">
        <v>1</v>
      </c>
      <c r="F254">
        <v>1</v>
      </c>
      <c r="G254">
        <v>1</v>
      </c>
      <c r="H254">
        <v>3</v>
      </c>
      <c r="I254" t="s">
        <v>933</v>
      </c>
      <c r="J254" t="s">
        <v>934</v>
      </c>
      <c r="K254" t="s">
        <v>935</v>
      </c>
      <c r="L254">
        <v>1348</v>
      </c>
      <c r="N254">
        <v>1009</v>
      </c>
      <c r="O254" t="s">
        <v>137</v>
      </c>
      <c r="P254" t="s">
        <v>137</v>
      </c>
      <c r="Q254">
        <v>1000</v>
      </c>
      <c r="X254">
        <v>2E-3</v>
      </c>
      <c r="Y254">
        <v>418.43</v>
      </c>
      <c r="Z254">
        <v>0</v>
      </c>
      <c r="AA254">
        <v>0</v>
      </c>
      <c r="AB254">
        <v>0</v>
      </c>
      <c r="AC254">
        <v>0</v>
      </c>
      <c r="AD254">
        <v>1</v>
      </c>
      <c r="AE254">
        <v>0</v>
      </c>
      <c r="AF254" t="s">
        <v>6</v>
      </c>
      <c r="AG254">
        <v>2E-3</v>
      </c>
      <c r="AH254">
        <v>2</v>
      </c>
      <c r="AI254">
        <v>31029216</v>
      </c>
      <c r="AJ254">
        <v>230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</row>
    <row r="255" spans="1:44">
      <c r="A255">
        <f>ROW(Source!A155)</f>
        <v>155</v>
      </c>
      <c r="B255">
        <v>31029227</v>
      </c>
      <c r="C255">
        <v>31029209</v>
      </c>
      <c r="D255">
        <v>29151964</v>
      </c>
      <c r="E255">
        <v>1</v>
      </c>
      <c r="F255">
        <v>1</v>
      </c>
      <c r="G255">
        <v>1</v>
      </c>
      <c r="H255">
        <v>3</v>
      </c>
      <c r="I255" t="s">
        <v>936</v>
      </c>
      <c r="J255" t="s">
        <v>937</v>
      </c>
      <c r="K255" t="s">
        <v>938</v>
      </c>
      <c r="L255">
        <v>1346</v>
      </c>
      <c r="N255">
        <v>1009</v>
      </c>
      <c r="O255" t="s">
        <v>118</v>
      </c>
      <c r="P255" t="s">
        <v>118</v>
      </c>
      <c r="Q255">
        <v>1</v>
      </c>
      <c r="X255">
        <v>12</v>
      </c>
      <c r="Y255">
        <v>9.8000000000000007</v>
      </c>
      <c r="Z255">
        <v>0</v>
      </c>
      <c r="AA255">
        <v>0</v>
      </c>
      <c r="AB255">
        <v>0</v>
      </c>
      <c r="AC255">
        <v>0</v>
      </c>
      <c r="AD255">
        <v>1</v>
      </c>
      <c r="AE255">
        <v>0</v>
      </c>
      <c r="AF255" t="s">
        <v>6</v>
      </c>
      <c r="AG255">
        <v>12</v>
      </c>
      <c r="AH255">
        <v>2</v>
      </c>
      <c r="AI255">
        <v>31029217</v>
      </c>
      <c r="AJ255">
        <v>231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</row>
    <row r="256" spans="1:44">
      <c r="A256">
        <f>ROW(Source!A155)</f>
        <v>155</v>
      </c>
      <c r="B256">
        <v>31029228</v>
      </c>
      <c r="C256">
        <v>31029209</v>
      </c>
      <c r="D256">
        <v>29186569</v>
      </c>
      <c r="E256">
        <v>1</v>
      </c>
      <c r="F256">
        <v>1</v>
      </c>
      <c r="G256">
        <v>1</v>
      </c>
      <c r="H256">
        <v>3</v>
      </c>
      <c r="I256" t="s">
        <v>939</v>
      </c>
      <c r="J256" t="s">
        <v>940</v>
      </c>
      <c r="K256" t="s">
        <v>941</v>
      </c>
      <c r="L256">
        <v>1339</v>
      </c>
      <c r="N256">
        <v>1007</v>
      </c>
      <c r="O256" t="s">
        <v>109</v>
      </c>
      <c r="P256" t="s">
        <v>109</v>
      </c>
      <c r="Q256">
        <v>1</v>
      </c>
      <c r="X256">
        <v>3.2</v>
      </c>
      <c r="Y256">
        <v>458.28</v>
      </c>
      <c r="Z256">
        <v>0</v>
      </c>
      <c r="AA256">
        <v>0</v>
      </c>
      <c r="AB256">
        <v>0</v>
      </c>
      <c r="AC256">
        <v>0</v>
      </c>
      <c r="AD256">
        <v>1</v>
      </c>
      <c r="AE256">
        <v>0</v>
      </c>
      <c r="AF256" t="s">
        <v>6</v>
      </c>
      <c r="AG256">
        <v>3.2</v>
      </c>
      <c r="AH256">
        <v>2</v>
      </c>
      <c r="AI256">
        <v>31029218</v>
      </c>
      <c r="AJ256">
        <v>232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</row>
    <row r="257" spans="1:44">
      <c r="A257">
        <f>ROW(Source!A155)</f>
        <v>155</v>
      </c>
      <c r="B257">
        <v>31029229</v>
      </c>
      <c r="C257">
        <v>31029209</v>
      </c>
      <c r="D257">
        <v>29195171</v>
      </c>
      <c r="E257">
        <v>1</v>
      </c>
      <c r="F257">
        <v>1</v>
      </c>
      <c r="G257">
        <v>1</v>
      </c>
      <c r="H257">
        <v>3</v>
      </c>
      <c r="I257" t="s">
        <v>830</v>
      </c>
      <c r="J257" t="s">
        <v>831</v>
      </c>
      <c r="K257" t="s">
        <v>832</v>
      </c>
      <c r="L257">
        <v>1339</v>
      </c>
      <c r="N257">
        <v>1007</v>
      </c>
      <c r="O257" t="s">
        <v>109</v>
      </c>
      <c r="P257" t="s">
        <v>109</v>
      </c>
      <c r="Q257">
        <v>1</v>
      </c>
      <c r="X257">
        <v>0.01</v>
      </c>
      <c r="Y257">
        <v>2.4500000000000002</v>
      </c>
      <c r="Z257">
        <v>0</v>
      </c>
      <c r="AA257">
        <v>0</v>
      </c>
      <c r="AB257">
        <v>0</v>
      </c>
      <c r="AC257">
        <v>0</v>
      </c>
      <c r="AD257">
        <v>1</v>
      </c>
      <c r="AE257">
        <v>0</v>
      </c>
      <c r="AF257" t="s">
        <v>6</v>
      </c>
      <c r="AG257">
        <v>0.01</v>
      </c>
      <c r="AH257">
        <v>2</v>
      </c>
      <c r="AI257">
        <v>31029219</v>
      </c>
      <c r="AJ257">
        <v>233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</row>
    <row r="258" spans="1:44">
      <c r="A258">
        <f>ROW(Source!A156)</f>
        <v>156</v>
      </c>
      <c r="B258">
        <v>31029238</v>
      </c>
      <c r="C258">
        <v>31029230</v>
      </c>
      <c r="D258">
        <v>29084596</v>
      </c>
      <c r="E258">
        <v>1</v>
      </c>
      <c r="F258">
        <v>1</v>
      </c>
      <c r="G258">
        <v>1</v>
      </c>
      <c r="H258">
        <v>1</v>
      </c>
      <c r="I258" t="s">
        <v>893</v>
      </c>
      <c r="J258" t="s">
        <v>6</v>
      </c>
      <c r="K258" t="s">
        <v>894</v>
      </c>
      <c r="L258">
        <v>1369</v>
      </c>
      <c r="N258">
        <v>1013</v>
      </c>
      <c r="O258" t="s">
        <v>773</v>
      </c>
      <c r="P258" t="s">
        <v>773</v>
      </c>
      <c r="Q258">
        <v>1</v>
      </c>
      <c r="X258">
        <v>16.5</v>
      </c>
      <c r="Y258">
        <v>0</v>
      </c>
      <c r="Z258">
        <v>0</v>
      </c>
      <c r="AA258">
        <v>0</v>
      </c>
      <c r="AB258">
        <v>9.18</v>
      </c>
      <c r="AC258">
        <v>0</v>
      </c>
      <c r="AD258">
        <v>1</v>
      </c>
      <c r="AE258">
        <v>1</v>
      </c>
      <c r="AF258" t="s">
        <v>127</v>
      </c>
      <c r="AG258">
        <v>21.821249999999996</v>
      </c>
      <c r="AH258">
        <v>2</v>
      </c>
      <c r="AI258">
        <v>31029231</v>
      </c>
      <c r="AJ258">
        <v>234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</row>
    <row r="259" spans="1:44">
      <c r="A259">
        <f>ROW(Source!A156)</f>
        <v>156</v>
      </c>
      <c r="B259">
        <v>31029239</v>
      </c>
      <c r="C259">
        <v>31029230</v>
      </c>
      <c r="D259">
        <v>29084573</v>
      </c>
      <c r="E259">
        <v>1</v>
      </c>
      <c r="F259">
        <v>1</v>
      </c>
      <c r="G259">
        <v>1</v>
      </c>
      <c r="H259">
        <v>1</v>
      </c>
      <c r="I259" t="s">
        <v>774</v>
      </c>
      <c r="J259" t="s">
        <v>6</v>
      </c>
      <c r="K259" t="s">
        <v>775</v>
      </c>
      <c r="L259">
        <v>608254</v>
      </c>
      <c r="N259">
        <v>1013</v>
      </c>
      <c r="O259" t="s">
        <v>776</v>
      </c>
      <c r="P259" t="s">
        <v>776</v>
      </c>
      <c r="Q259">
        <v>1</v>
      </c>
      <c r="X259">
        <v>0.01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1</v>
      </c>
      <c r="AE259">
        <v>2</v>
      </c>
      <c r="AF259" t="s">
        <v>126</v>
      </c>
      <c r="AG259">
        <v>1.4374999999999999E-2</v>
      </c>
      <c r="AH259">
        <v>2</v>
      </c>
      <c r="AI259">
        <v>31029232</v>
      </c>
      <c r="AJ259">
        <v>235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</row>
    <row r="260" spans="1:44">
      <c r="A260">
        <f>ROW(Source!A156)</f>
        <v>156</v>
      </c>
      <c r="B260">
        <v>31029240</v>
      </c>
      <c r="C260">
        <v>31029230</v>
      </c>
      <c r="D260">
        <v>29147732</v>
      </c>
      <c r="E260">
        <v>1</v>
      </c>
      <c r="F260">
        <v>1</v>
      </c>
      <c r="G260">
        <v>1</v>
      </c>
      <c r="H260">
        <v>2</v>
      </c>
      <c r="I260" t="s">
        <v>846</v>
      </c>
      <c r="J260" t="s">
        <v>847</v>
      </c>
      <c r="K260" t="s">
        <v>848</v>
      </c>
      <c r="L260">
        <v>1368</v>
      </c>
      <c r="N260">
        <v>1011</v>
      </c>
      <c r="O260" t="s">
        <v>780</v>
      </c>
      <c r="P260" t="s">
        <v>780</v>
      </c>
      <c r="Q260">
        <v>1</v>
      </c>
      <c r="X260">
        <v>0.01</v>
      </c>
      <c r="Y260">
        <v>0</v>
      </c>
      <c r="Z260">
        <v>30.85</v>
      </c>
      <c r="AA260">
        <v>13.03</v>
      </c>
      <c r="AB260">
        <v>0</v>
      </c>
      <c r="AC260">
        <v>0</v>
      </c>
      <c r="AD260">
        <v>1</v>
      </c>
      <c r="AE260">
        <v>0</v>
      </c>
      <c r="AF260" t="s">
        <v>126</v>
      </c>
      <c r="AG260">
        <v>1.4374999999999999E-2</v>
      </c>
      <c r="AH260">
        <v>2</v>
      </c>
      <c r="AI260">
        <v>31029233</v>
      </c>
      <c r="AJ260">
        <v>236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</row>
    <row r="261" spans="1:44">
      <c r="A261">
        <f>ROW(Source!A156)</f>
        <v>156</v>
      </c>
      <c r="B261">
        <v>31029241</v>
      </c>
      <c r="C261">
        <v>31029230</v>
      </c>
      <c r="D261">
        <v>29149520</v>
      </c>
      <c r="E261">
        <v>1</v>
      </c>
      <c r="F261">
        <v>1</v>
      </c>
      <c r="G261">
        <v>1</v>
      </c>
      <c r="H261">
        <v>2</v>
      </c>
      <c r="I261" t="s">
        <v>790</v>
      </c>
      <c r="J261" t="s">
        <v>791</v>
      </c>
      <c r="K261" t="s">
        <v>792</v>
      </c>
      <c r="L261">
        <v>1368</v>
      </c>
      <c r="N261">
        <v>1011</v>
      </c>
      <c r="O261" t="s">
        <v>780</v>
      </c>
      <c r="P261" t="s">
        <v>780</v>
      </c>
      <c r="Q261">
        <v>1</v>
      </c>
      <c r="X261">
        <v>0.04</v>
      </c>
      <c r="Y261">
        <v>0</v>
      </c>
      <c r="Z261">
        <v>91.62</v>
      </c>
      <c r="AA261">
        <v>0</v>
      </c>
      <c r="AB261">
        <v>0</v>
      </c>
      <c r="AC261">
        <v>0</v>
      </c>
      <c r="AD261">
        <v>1</v>
      </c>
      <c r="AE261">
        <v>0</v>
      </c>
      <c r="AF261" t="s">
        <v>126</v>
      </c>
      <c r="AG261">
        <v>5.7499999999999996E-2</v>
      </c>
      <c r="AH261">
        <v>2</v>
      </c>
      <c r="AI261">
        <v>31029234</v>
      </c>
      <c r="AJ261">
        <v>237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</row>
    <row r="262" spans="1:44">
      <c r="A262">
        <f>ROW(Source!A156)</f>
        <v>156</v>
      </c>
      <c r="B262">
        <v>31029242</v>
      </c>
      <c r="C262">
        <v>31029230</v>
      </c>
      <c r="D262">
        <v>29151861</v>
      </c>
      <c r="E262">
        <v>1</v>
      </c>
      <c r="F262">
        <v>1</v>
      </c>
      <c r="G262">
        <v>1</v>
      </c>
      <c r="H262">
        <v>3</v>
      </c>
      <c r="I262" t="s">
        <v>835</v>
      </c>
      <c r="J262" t="s">
        <v>836</v>
      </c>
      <c r="K262" t="s">
        <v>837</v>
      </c>
      <c r="L262">
        <v>1327</v>
      </c>
      <c r="N262">
        <v>1005</v>
      </c>
      <c r="O262" t="s">
        <v>284</v>
      </c>
      <c r="P262" t="s">
        <v>284</v>
      </c>
      <c r="Q262">
        <v>1</v>
      </c>
      <c r="X262">
        <v>4.4000000000000004</v>
      </c>
      <c r="Y262">
        <v>73.39</v>
      </c>
      <c r="Z262">
        <v>0</v>
      </c>
      <c r="AA262">
        <v>0</v>
      </c>
      <c r="AB262">
        <v>0</v>
      </c>
      <c r="AC262">
        <v>0</v>
      </c>
      <c r="AD262">
        <v>1</v>
      </c>
      <c r="AE262">
        <v>0</v>
      </c>
      <c r="AF262" t="s">
        <v>6</v>
      </c>
      <c r="AG262">
        <v>4.4000000000000004</v>
      </c>
      <c r="AH262">
        <v>2</v>
      </c>
      <c r="AI262">
        <v>31029235</v>
      </c>
      <c r="AJ262">
        <v>238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</row>
    <row r="263" spans="1:44">
      <c r="A263">
        <f>ROW(Source!A156)</f>
        <v>156</v>
      </c>
      <c r="B263">
        <v>31029243</v>
      </c>
      <c r="C263">
        <v>31029230</v>
      </c>
      <c r="D263">
        <v>29151929</v>
      </c>
      <c r="E263">
        <v>1</v>
      </c>
      <c r="F263">
        <v>1</v>
      </c>
      <c r="G263">
        <v>1</v>
      </c>
      <c r="H263">
        <v>3</v>
      </c>
      <c r="I263" t="s">
        <v>914</v>
      </c>
      <c r="J263" t="s">
        <v>915</v>
      </c>
      <c r="K263" t="s">
        <v>916</v>
      </c>
      <c r="L263">
        <v>1348</v>
      </c>
      <c r="N263">
        <v>1009</v>
      </c>
      <c r="O263" t="s">
        <v>137</v>
      </c>
      <c r="P263" t="s">
        <v>137</v>
      </c>
      <c r="Q263">
        <v>1000</v>
      </c>
      <c r="X263">
        <v>3.2000000000000001E-2</v>
      </c>
      <c r="Y263">
        <v>3151.95</v>
      </c>
      <c r="Z263">
        <v>0</v>
      </c>
      <c r="AA263">
        <v>0</v>
      </c>
      <c r="AB263">
        <v>0</v>
      </c>
      <c r="AC263">
        <v>0</v>
      </c>
      <c r="AD263">
        <v>1</v>
      </c>
      <c r="AE263">
        <v>0</v>
      </c>
      <c r="AF263" t="s">
        <v>6</v>
      </c>
      <c r="AG263">
        <v>3.2000000000000001E-2</v>
      </c>
      <c r="AH263">
        <v>2</v>
      </c>
      <c r="AI263">
        <v>31029236</v>
      </c>
      <c r="AJ263">
        <v>239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</row>
    <row r="264" spans="1:44">
      <c r="A264">
        <f>ROW(Source!A156)</f>
        <v>156</v>
      </c>
      <c r="B264">
        <v>31029244</v>
      </c>
      <c r="C264">
        <v>31029230</v>
      </c>
      <c r="D264">
        <v>29152014</v>
      </c>
      <c r="E264">
        <v>1</v>
      </c>
      <c r="F264">
        <v>1</v>
      </c>
      <c r="G264">
        <v>1</v>
      </c>
      <c r="H264">
        <v>3</v>
      </c>
      <c r="I264" t="s">
        <v>838</v>
      </c>
      <c r="J264" t="s">
        <v>839</v>
      </c>
      <c r="K264" t="s">
        <v>840</v>
      </c>
      <c r="L264">
        <v>1346</v>
      </c>
      <c r="N264">
        <v>1009</v>
      </c>
      <c r="O264" t="s">
        <v>118</v>
      </c>
      <c r="P264" t="s">
        <v>118</v>
      </c>
      <c r="Q264">
        <v>1</v>
      </c>
      <c r="X264">
        <v>0.15</v>
      </c>
      <c r="Y264">
        <v>1.94</v>
      </c>
      <c r="Z264">
        <v>0</v>
      </c>
      <c r="AA264">
        <v>0</v>
      </c>
      <c r="AB264">
        <v>0</v>
      </c>
      <c r="AC264">
        <v>0</v>
      </c>
      <c r="AD264">
        <v>1</v>
      </c>
      <c r="AE264">
        <v>0</v>
      </c>
      <c r="AF264" t="s">
        <v>6</v>
      </c>
      <c r="AG264">
        <v>0.15</v>
      </c>
      <c r="AH264">
        <v>2</v>
      </c>
      <c r="AI264">
        <v>31029237</v>
      </c>
      <c r="AJ264">
        <v>240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</row>
    <row r="265" spans="1:44">
      <c r="A265">
        <f>ROW(Source!A157)</f>
        <v>157</v>
      </c>
      <c r="B265">
        <v>31029254</v>
      </c>
      <c r="C265">
        <v>31029245</v>
      </c>
      <c r="D265">
        <v>29084579</v>
      </c>
      <c r="E265">
        <v>1</v>
      </c>
      <c r="F265">
        <v>1</v>
      </c>
      <c r="G265">
        <v>1</v>
      </c>
      <c r="H265">
        <v>1</v>
      </c>
      <c r="I265" t="s">
        <v>849</v>
      </c>
      <c r="J265" t="s">
        <v>6</v>
      </c>
      <c r="K265" t="s">
        <v>850</v>
      </c>
      <c r="L265">
        <v>1369</v>
      </c>
      <c r="N265">
        <v>1013</v>
      </c>
      <c r="O265" t="s">
        <v>773</v>
      </c>
      <c r="P265" t="s">
        <v>773</v>
      </c>
      <c r="Q265">
        <v>1</v>
      </c>
      <c r="X265">
        <v>89.43</v>
      </c>
      <c r="Y265">
        <v>0</v>
      </c>
      <c r="Z265">
        <v>0</v>
      </c>
      <c r="AA265">
        <v>0</v>
      </c>
      <c r="AB265">
        <v>9.2899999999999991</v>
      </c>
      <c r="AC265">
        <v>0</v>
      </c>
      <c r="AD265">
        <v>1</v>
      </c>
      <c r="AE265">
        <v>1</v>
      </c>
      <c r="AF265" t="s">
        <v>127</v>
      </c>
      <c r="AG265">
        <v>118.27117499999999</v>
      </c>
      <c r="AH265">
        <v>2</v>
      </c>
      <c r="AI265">
        <v>31029246</v>
      </c>
      <c r="AJ265">
        <v>241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</row>
    <row r="266" spans="1:44">
      <c r="A266">
        <f>ROW(Source!A157)</f>
        <v>157</v>
      </c>
      <c r="B266">
        <v>31029255</v>
      </c>
      <c r="C266">
        <v>31029245</v>
      </c>
      <c r="D266">
        <v>29084573</v>
      </c>
      <c r="E266">
        <v>1</v>
      </c>
      <c r="F266">
        <v>1</v>
      </c>
      <c r="G266">
        <v>1</v>
      </c>
      <c r="H266">
        <v>1</v>
      </c>
      <c r="I266" t="s">
        <v>774</v>
      </c>
      <c r="J266" t="s">
        <v>6</v>
      </c>
      <c r="K266" t="s">
        <v>775</v>
      </c>
      <c r="L266">
        <v>608254</v>
      </c>
      <c r="N266">
        <v>1013</v>
      </c>
      <c r="O266" t="s">
        <v>776</v>
      </c>
      <c r="P266" t="s">
        <v>776</v>
      </c>
      <c r="Q266">
        <v>1</v>
      </c>
      <c r="X266">
        <v>0.03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1</v>
      </c>
      <c r="AE266">
        <v>2</v>
      </c>
      <c r="AF266" t="s">
        <v>126</v>
      </c>
      <c r="AG266">
        <v>4.3124999999999997E-2</v>
      </c>
      <c r="AH266">
        <v>2</v>
      </c>
      <c r="AI266">
        <v>31029247</v>
      </c>
      <c r="AJ266">
        <v>242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</row>
    <row r="267" spans="1:44">
      <c r="A267">
        <f>ROW(Source!A157)</f>
        <v>157</v>
      </c>
      <c r="B267">
        <v>31029256</v>
      </c>
      <c r="C267">
        <v>31029245</v>
      </c>
      <c r="D267">
        <v>29147732</v>
      </c>
      <c r="E267">
        <v>1</v>
      </c>
      <c r="F267">
        <v>1</v>
      </c>
      <c r="G267">
        <v>1</v>
      </c>
      <c r="H267">
        <v>2</v>
      </c>
      <c r="I267" t="s">
        <v>846</v>
      </c>
      <c r="J267" t="s">
        <v>847</v>
      </c>
      <c r="K267" t="s">
        <v>848</v>
      </c>
      <c r="L267">
        <v>1368</v>
      </c>
      <c r="N267">
        <v>1011</v>
      </c>
      <c r="O267" t="s">
        <v>780</v>
      </c>
      <c r="P267" t="s">
        <v>780</v>
      </c>
      <c r="Q267">
        <v>1</v>
      </c>
      <c r="X267">
        <v>0.03</v>
      </c>
      <c r="Y267">
        <v>0</v>
      </c>
      <c r="Z267">
        <v>30.85</v>
      </c>
      <c r="AA267">
        <v>13.03</v>
      </c>
      <c r="AB267">
        <v>0</v>
      </c>
      <c r="AC267">
        <v>0</v>
      </c>
      <c r="AD267">
        <v>1</v>
      </c>
      <c r="AE267">
        <v>0</v>
      </c>
      <c r="AF267" t="s">
        <v>126</v>
      </c>
      <c r="AG267">
        <v>4.3124999999999997E-2</v>
      </c>
      <c r="AH267">
        <v>2</v>
      </c>
      <c r="AI267">
        <v>31029248</v>
      </c>
      <c r="AJ267">
        <v>243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</row>
    <row r="268" spans="1:44">
      <c r="A268">
        <f>ROW(Source!A157)</f>
        <v>157</v>
      </c>
      <c r="B268">
        <v>31029257</v>
      </c>
      <c r="C268">
        <v>31029245</v>
      </c>
      <c r="D268">
        <v>29149520</v>
      </c>
      <c r="E268">
        <v>1</v>
      </c>
      <c r="F268">
        <v>1</v>
      </c>
      <c r="G268">
        <v>1</v>
      </c>
      <c r="H268">
        <v>2</v>
      </c>
      <c r="I268" t="s">
        <v>790</v>
      </c>
      <c r="J268" t="s">
        <v>791</v>
      </c>
      <c r="K268" t="s">
        <v>792</v>
      </c>
      <c r="L268">
        <v>1368</v>
      </c>
      <c r="N268">
        <v>1011</v>
      </c>
      <c r="O268" t="s">
        <v>780</v>
      </c>
      <c r="P268" t="s">
        <v>780</v>
      </c>
      <c r="Q268">
        <v>1</v>
      </c>
      <c r="X268">
        <v>0.22</v>
      </c>
      <c r="Y268">
        <v>0</v>
      </c>
      <c r="Z268">
        <v>91.62</v>
      </c>
      <c r="AA268">
        <v>0</v>
      </c>
      <c r="AB268">
        <v>0</v>
      </c>
      <c r="AC268">
        <v>0</v>
      </c>
      <c r="AD268">
        <v>1</v>
      </c>
      <c r="AE268">
        <v>0</v>
      </c>
      <c r="AF268" t="s">
        <v>126</v>
      </c>
      <c r="AG268">
        <v>0.31624999999999998</v>
      </c>
      <c r="AH268">
        <v>2</v>
      </c>
      <c r="AI268">
        <v>31029249</v>
      </c>
      <c r="AJ268">
        <v>244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</row>
    <row r="269" spans="1:44">
      <c r="A269">
        <f>ROW(Source!A157)</f>
        <v>157</v>
      </c>
      <c r="B269">
        <v>31029258</v>
      </c>
      <c r="C269">
        <v>31029245</v>
      </c>
      <c r="D269">
        <v>29151861</v>
      </c>
      <c r="E269">
        <v>1</v>
      </c>
      <c r="F269">
        <v>1</v>
      </c>
      <c r="G269">
        <v>1</v>
      </c>
      <c r="H269">
        <v>3</v>
      </c>
      <c r="I269" t="s">
        <v>835</v>
      </c>
      <c r="J269" t="s">
        <v>836</v>
      </c>
      <c r="K269" t="s">
        <v>837</v>
      </c>
      <c r="L269">
        <v>1327</v>
      </c>
      <c r="N269">
        <v>1005</v>
      </c>
      <c r="O269" t="s">
        <v>284</v>
      </c>
      <c r="P269" t="s">
        <v>284</v>
      </c>
      <c r="Q269">
        <v>1</v>
      </c>
      <c r="X269">
        <v>0.88</v>
      </c>
      <c r="Y269">
        <v>73.39</v>
      </c>
      <c r="Z269">
        <v>0</v>
      </c>
      <c r="AA269">
        <v>0</v>
      </c>
      <c r="AB269">
        <v>0</v>
      </c>
      <c r="AC269">
        <v>0</v>
      </c>
      <c r="AD269">
        <v>1</v>
      </c>
      <c r="AE269">
        <v>0</v>
      </c>
      <c r="AF269" t="s">
        <v>6</v>
      </c>
      <c r="AG269">
        <v>0.88</v>
      </c>
      <c r="AH269">
        <v>2</v>
      </c>
      <c r="AI269">
        <v>31029250</v>
      </c>
      <c r="AJ269">
        <v>245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</row>
    <row r="270" spans="1:44">
      <c r="A270">
        <f>ROW(Source!A157)</f>
        <v>157</v>
      </c>
      <c r="B270">
        <v>31029259</v>
      </c>
      <c r="C270">
        <v>31029245</v>
      </c>
      <c r="D270">
        <v>29151971</v>
      </c>
      <c r="E270">
        <v>1</v>
      </c>
      <c r="F270">
        <v>1</v>
      </c>
      <c r="G270">
        <v>1</v>
      </c>
      <c r="H270">
        <v>3</v>
      </c>
      <c r="I270" t="s">
        <v>942</v>
      </c>
      <c r="J270" t="s">
        <v>943</v>
      </c>
      <c r="K270" t="s">
        <v>944</v>
      </c>
      <c r="L270">
        <v>1348</v>
      </c>
      <c r="N270">
        <v>1009</v>
      </c>
      <c r="O270" t="s">
        <v>137</v>
      </c>
      <c r="P270" t="s">
        <v>137</v>
      </c>
      <c r="Q270">
        <v>1000</v>
      </c>
      <c r="X270">
        <v>9.1999999999999998E-2</v>
      </c>
      <c r="Y270">
        <v>3311.4</v>
      </c>
      <c r="Z270">
        <v>0</v>
      </c>
      <c r="AA270">
        <v>0</v>
      </c>
      <c r="AB270">
        <v>0</v>
      </c>
      <c r="AC270">
        <v>0</v>
      </c>
      <c r="AD270">
        <v>1</v>
      </c>
      <c r="AE270">
        <v>0</v>
      </c>
      <c r="AF270" t="s">
        <v>6</v>
      </c>
      <c r="AG270">
        <v>9.1999999999999998E-2</v>
      </c>
      <c r="AH270">
        <v>2</v>
      </c>
      <c r="AI270">
        <v>31029251</v>
      </c>
      <c r="AJ270">
        <v>246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</row>
    <row r="271" spans="1:44">
      <c r="A271">
        <f>ROW(Source!A157)</f>
        <v>157</v>
      </c>
      <c r="B271">
        <v>31029260</v>
      </c>
      <c r="C271">
        <v>31029245</v>
      </c>
      <c r="D271">
        <v>29152014</v>
      </c>
      <c r="E271">
        <v>1</v>
      </c>
      <c r="F271">
        <v>1</v>
      </c>
      <c r="G271">
        <v>1</v>
      </c>
      <c r="H271">
        <v>3</v>
      </c>
      <c r="I271" t="s">
        <v>838</v>
      </c>
      <c r="J271" t="s">
        <v>839</v>
      </c>
      <c r="K271" t="s">
        <v>840</v>
      </c>
      <c r="L271">
        <v>1346</v>
      </c>
      <c r="N271">
        <v>1009</v>
      </c>
      <c r="O271" t="s">
        <v>118</v>
      </c>
      <c r="P271" t="s">
        <v>118</v>
      </c>
      <c r="Q271">
        <v>1</v>
      </c>
      <c r="X271">
        <v>0.36</v>
      </c>
      <c r="Y271">
        <v>1.94</v>
      </c>
      <c r="Z271">
        <v>0</v>
      </c>
      <c r="AA271">
        <v>0</v>
      </c>
      <c r="AB271">
        <v>0</v>
      </c>
      <c r="AC271">
        <v>0</v>
      </c>
      <c r="AD271">
        <v>1</v>
      </c>
      <c r="AE271">
        <v>0</v>
      </c>
      <c r="AF271" t="s">
        <v>6</v>
      </c>
      <c r="AG271">
        <v>0.36</v>
      </c>
      <c r="AH271">
        <v>2</v>
      </c>
      <c r="AI271">
        <v>31029252</v>
      </c>
      <c r="AJ271">
        <v>247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</row>
    <row r="272" spans="1:44">
      <c r="A272">
        <f>ROW(Source!A157)</f>
        <v>157</v>
      </c>
      <c r="B272">
        <v>31029261</v>
      </c>
      <c r="C272">
        <v>31029245</v>
      </c>
      <c r="D272">
        <v>29152186</v>
      </c>
      <c r="E272">
        <v>1</v>
      </c>
      <c r="F272">
        <v>1</v>
      </c>
      <c r="G272">
        <v>1</v>
      </c>
      <c r="H272">
        <v>3</v>
      </c>
      <c r="I272" t="s">
        <v>945</v>
      </c>
      <c r="J272" t="s">
        <v>946</v>
      </c>
      <c r="K272" t="s">
        <v>947</v>
      </c>
      <c r="L272">
        <v>1348</v>
      </c>
      <c r="N272">
        <v>1009</v>
      </c>
      <c r="O272" t="s">
        <v>137</v>
      </c>
      <c r="P272" t="s">
        <v>137</v>
      </c>
      <c r="Q272">
        <v>1000</v>
      </c>
      <c r="X272">
        <v>6.9000000000000006E-2</v>
      </c>
      <c r="Y272">
        <v>16802.490000000002</v>
      </c>
      <c r="Z272">
        <v>0</v>
      </c>
      <c r="AA272">
        <v>0</v>
      </c>
      <c r="AB272">
        <v>0</v>
      </c>
      <c r="AC272">
        <v>0</v>
      </c>
      <c r="AD272">
        <v>1</v>
      </c>
      <c r="AE272">
        <v>0</v>
      </c>
      <c r="AF272" t="s">
        <v>6</v>
      </c>
      <c r="AG272">
        <v>6.9000000000000006E-2</v>
      </c>
      <c r="AH272">
        <v>2</v>
      </c>
      <c r="AI272">
        <v>31029253</v>
      </c>
      <c r="AJ272">
        <v>248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</row>
    <row r="273" spans="1:44">
      <c r="A273">
        <f>ROW(Source!A159)</f>
        <v>159</v>
      </c>
      <c r="B273">
        <v>31029274</v>
      </c>
      <c r="C273">
        <v>31029263</v>
      </c>
      <c r="D273">
        <v>29084594</v>
      </c>
      <c r="E273">
        <v>1</v>
      </c>
      <c r="F273">
        <v>1</v>
      </c>
      <c r="G273">
        <v>1</v>
      </c>
      <c r="H273">
        <v>1</v>
      </c>
      <c r="I273" t="s">
        <v>922</v>
      </c>
      <c r="J273" t="s">
        <v>6</v>
      </c>
      <c r="K273" t="s">
        <v>923</v>
      </c>
      <c r="L273">
        <v>1369</v>
      </c>
      <c r="N273">
        <v>1013</v>
      </c>
      <c r="O273" t="s">
        <v>773</v>
      </c>
      <c r="P273" t="s">
        <v>773</v>
      </c>
      <c r="Q273">
        <v>1</v>
      </c>
      <c r="X273">
        <v>144.63999999999999</v>
      </c>
      <c r="Y273">
        <v>0</v>
      </c>
      <c r="Z273">
        <v>0</v>
      </c>
      <c r="AA273">
        <v>0</v>
      </c>
      <c r="AB273">
        <v>8.86</v>
      </c>
      <c r="AC273">
        <v>0</v>
      </c>
      <c r="AD273">
        <v>1</v>
      </c>
      <c r="AE273">
        <v>1</v>
      </c>
      <c r="AF273" t="s">
        <v>127</v>
      </c>
      <c r="AG273">
        <v>191.28639999999996</v>
      </c>
      <c r="AH273">
        <v>2</v>
      </c>
      <c r="AI273">
        <v>31029264</v>
      </c>
      <c r="AJ273">
        <v>249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</row>
    <row r="274" spans="1:44">
      <c r="A274">
        <f>ROW(Source!A159)</f>
        <v>159</v>
      </c>
      <c r="B274">
        <v>31029275</v>
      </c>
      <c r="C274">
        <v>31029263</v>
      </c>
      <c r="D274">
        <v>29084573</v>
      </c>
      <c r="E274">
        <v>1</v>
      </c>
      <c r="F274">
        <v>1</v>
      </c>
      <c r="G274">
        <v>1</v>
      </c>
      <c r="H274">
        <v>1</v>
      </c>
      <c r="I274" t="s">
        <v>774</v>
      </c>
      <c r="J274" t="s">
        <v>6</v>
      </c>
      <c r="K274" t="s">
        <v>775</v>
      </c>
      <c r="L274">
        <v>608254</v>
      </c>
      <c r="N274">
        <v>1013</v>
      </c>
      <c r="O274" t="s">
        <v>776</v>
      </c>
      <c r="P274" t="s">
        <v>776</v>
      </c>
      <c r="Q274">
        <v>1</v>
      </c>
      <c r="X274">
        <v>1.44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1</v>
      </c>
      <c r="AE274">
        <v>2</v>
      </c>
      <c r="AF274" t="s">
        <v>126</v>
      </c>
      <c r="AG274">
        <v>2.0699999999999998</v>
      </c>
      <c r="AH274">
        <v>2</v>
      </c>
      <c r="AI274">
        <v>31029265</v>
      </c>
      <c r="AJ274">
        <v>250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</row>
    <row r="275" spans="1:44">
      <c r="A275">
        <f>ROW(Source!A159)</f>
        <v>159</v>
      </c>
      <c r="B275">
        <v>31029276</v>
      </c>
      <c r="C275">
        <v>31029263</v>
      </c>
      <c r="D275">
        <v>29147673</v>
      </c>
      <c r="E275">
        <v>1</v>
      </c>
      <c r="F275">
        <v>1</v>
      </c>
      <c r="G275">
        <v>1</v>
      </c>
      <c r="H275">
        <v>2</v>
      </c>
      <c r="I275" t="s">
        <v>924</v>
      </c>
      <c r="J275" t="s">
        <v>925</v>
      </c>
      <c r="K275" t="s">
        <v>926</v>
      </c>
      <c r="L275">
        <v>1368</v>
      </c>
      <c r="N275">
        <v>1011</v>
      </c>
      <c r="O275" t="s">
        <v>780</v>
      </c>
      <c r="P275" t="s">
        <v>780</v>
      </c>
      <c r="Q275">
        <v>1</v>
      </c>
      <c r="X275">
        <v>0.14000000000000001</v>
      </c>
      <c r="Y275">
        <v>0</v>
      </c>
      <c r="Z275">
        <v>97.95</v>
      </c>
      <c r="AA275">
        <v>9.7100000000000009</v>
      </c>
      <c r="AB275">
        <v>0</v>
      </c>
      <c r="AC275">
        <v>0</v>
      </c>
      <c r="AD275">
        <v>1</v>
      </c>
      <c r="AE275">
        <v>0</v>
      </c>
      <c r="AF275" t="s">
        <v>126</v>
      </c>
      <c r="AG275">
        <v>0.20125000000000001</v>
      </c>
      <c r="AH275">
        <v>2</v>
      </c>
      <c r="AI275">
        <v>31029266</v>
      </c>
      <c r="AJ275">
        <v>251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</row>
    <row r="276" spans="1:44">
      <c r="A276">
        <f>ROW(Source!A159)</f>
        <v>159</v>
      </c>
      <c r="B276">
        <v>31029277</v>
      </c>
      <c r="C276">
        <v>31029263</v>
      </c>
      <c r="D276">
        <v>29147732</v>
      </c>
      <c r="E276">
        <v>1</v>
      </c>
      <c r="F276">
        <v>1</v>
      </c>
      <c r="G276">
        <v>1</v>
      </c>
      <c r="H276">
        <v>2</v>
      </c>
      <c r="I276" t="s">
        <v>846</v>
      </c>
      <c r="J276" t="s">
        <v>847</v>
      </c>
      <c r="K276" t="s">
        <v>848</v>
      </c>
      <c r="L276">
        <v>1368</v>
      </c>
      <c r="N276">
        <v>1011</v>
      </c>
      <c r="O276" t="s">
        <v>780</v>
      </c>
      <c r="P276" t="s">
        <v>780</v>
      </c>
      <c r="Q276">
        <v>1</v>
      </c>
      <c r="X276">
        <v>1.3</v>
      </c>
      <c r="Y276">
        <v>0</v>
      </c>
      <c r="Z276">
        <v>30.85</v>
      </c>
      <c r="AA276">
        <v>13.03</v>
      </c>
      <c r="AB276">
        <v>0</v>
      </c>
      <c r="AC276">
        <v>0</v>
      </c>
      <c r="AD276">
        <v>1</v>
      </c>
      <c r="AE276">
        <v>0</v>
      </c>
      <c r="AF276" t="s">
        <v>126</v>
      </c>
      <c r="AG276">
        <v>1.8687499999999999</v>
      </c>
      <c r="AH276">
        <v>2</v>
      </c>
      <c r="AI276">
        <v>31029267</v>
      </c>
      <c r="AJ276">
        <v>252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</row>
    <row r="277" spans="1:44">
      <c r="A277">
        <f>ROW(Source!A159)</f>
        <v>159</v>
      </c>
      <c r="B277">
        <v>31029278</v>
      </c>
      <c r="C277">
        <v>31029263</v>
      </c>
      <c r="D277">
        <v>29150545</v>
      </c>
      <c r="E277">
        <v>1</v>
      </c>
      <c r="F277">
        <v>1</v>
      </c>
      <c r="G277">
        <v>1</v>
      </c>
      <c r="H277">
        <v>3</v>
      </c>
      <c r="I277" t="s">
        <v>927</v>
      </c>
      <c r="J277" t="s">
        <v>928</v>
      </c>
      <c r="K277" t="s">
        <v>929</v>
      </c>
      <c r="L277">
        <v>1348</v>
      </c>
      <c r="N277">
        <v>1009</v>
      </c>
      <c r="O277" t="s">
        <v>137</v>
      </c>
      <c r="P277" t="s">
        <v>137</v>
      </c>
      <c r="Q277">
        <v>1000</v>
      </c>
      <c r="X277">
        <v>2.5000000000000001E-3</v>
      </c>
      <c r="Y277">
        <v>9206.16</v>
      </c>
      <c r="Z277">
        <v>0</v>
      </c>
      <c r="AA277">
        <v>0</v>
      </c>
      <c r="AB277">
        <v>0</v>
      </c>
      <c r="AC277">
        <v>0</v>
      </c>
      <c r="AD277">
        <v>1</v>
      </c>
      <c r="AE277">
        <v>0</v>
      </c>
      <c r="AF277" t="s">
        <v>6</v>
      </c>
      <c r="AG277">
        <v>2.5000000000000001E-3</v>
      </c>
      <c r="AH277">
        <v>2</v>
      </c>
      <c r="AI277">
        <v>31029268</v>
      </c>
      <c r="AJ277">
        <v>253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</row>
    <row r="278" spans="1:44">
      <c r="A278">
        <f>ROW(Source!A159)</f>
        <v>159</v>
      </c>
      <c r="B278">
        <v>31029279</v>
      </c>
      <c r="C278">
        <v>31029263</v>
      </c>
      <c r="D278">
        <v>29151213</v>
      </c>
      <c r="E278">
        <v>1</v>
      </c>
      <c r="F278">
        <v>1</v>
      </c>
      <c r="G278">
        <v>1</v>
      </c>
      <c r="H278">
        <v>3</v>
      </c>
      <c r="I278" t="s">
        <v>930</v>
      </c>
      <c r="J278" t="s">
        <v>931</v>
      </c>
      <c r="K278" t="s">
        <v>932</v>
      </c>
      <c r="L278">
        <v>1327</v>
      </c>
      <c r="N278">
        <v>1005</v>
      </c>
      <c r="O278" t="s">
        <v>284</v>
      </c>
      <c r="P278" t="s">
        <v>284</v>
      </c>
      <c r="Q278">
        <v>1</v>
      </c>
      <c r="X278">
        <v>108</v>
      </c>
      <c r="Y278">
        <v>9.39</v>
      </c>
      <c r="Z278">
        <v>0</v>
      </c>
      <c r="AA278">
        <v>0</v>
      </c>
      <c r="AB278">
        <v>0</v>
      </c>
      <c r="AC278">
        <v>0</v>
      </c>
      <c r="AD278">
        <v>1</v>
      </c>
      <c r="AE278">
        <v>0</v>
      </c>
      <c r="AF278" t="s">
        <v>6</v>
      </c>
      <c r="AG278">
        <v>108</v>
      </c>
      <c r="AH278">
        <v>2</v>
      </c>
      <c r="AI278">
        <v>31029269</v>
      </c>
      <c r="AJ278">
        <v>254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</row>
    <row r="279" spans="1:44">
      <c r="A279">
        <f>ROW(Source!A159)</f>
        <v>159</v>
      </c>
      <c r="B279">
        <v>31029280</v>
      </c>
      <c r="C279">
        <v>31029263</v>
      </c>
      <c r="D279">
        <v>29151587</v>
      </c>
      <c r="E279">
        <v>1</v>
      </c>
      <c r="F279">
        <v>1</v>
      </c>
      <c r="G279">
        <v>1</v>
      </c>
      <c r="H279">
        <v>3</v>
      </c>
      <c r="I279" t="s">
        <v>933</v>
      </c>
      <c r="J279" t="s">
        <v>934</v>
      </c>
      <c r="K279" t="s">
        <v>935</v>
      </c>
      <c r="L279">
        <v>1348</v>
      </c>
      <c r="N279">
        <v>1009</v>
      </c>
      <c r="O279" t="s">
        <v>137</v>
      </c>
      <c r="P279" t="s">
        <v>137</v>
      </c>
      <c r="Q279">
        <v>1000</v>
      </c>
      <c r="X279">
        <v>2E-3</v>
      </c>
      <c r="Y279">
        <v>418.43</v>
      </c>
      <c r="Z279">
        <v>0</v>
      </c>
      <c r="AA279">
        <v>0</v>
      </c>
      <c r="AB279">
        <v>0</v>
      </c>
      <c r="AC279">
        <v>0</v>
      </c>
      <c r="AD279">
        <v>1</v>
      </c>
      <c r="AE279">
        <v>0</v>
      </c>
      <c r="AF279" t="s">
        <v>6</v>
      </c>
      <c r="AG279">
        <v>2E-3</v>
      </c>
      <c r="AH279">
        <v>2</v>
      </c>
      <c r="AI279">
        <v>31029270</v>
      </c>
      <c r="AJ279">
        <v>255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</row>
    <row r="280" spans="1:44">
      <c r="A280">
        <f>ROW(Source!A159)</f>
        <v>159</v>
      </c>
      <c r="B280">
        <v>31029281</v>
      </c>
      <c r="C280">
        <v>31029263</v>
      </c>
      <c r="D280">
        <v>29151964</v>
      </c>
      <c r="E280">
        <v>1</v>
      </c>
      <c r="F280">
        <v>1</v>
      </c>
      <c r="G280">
        <v>1</v>
      </c>
      <c r="H280">
        <v>3</v>
      </c>
      <c r="I280" t="s">
        <v>936</v>
      </c>
      <c r="J280" t="s">
        <v>937</v>
      </c>
      <c r="K280" t="s">
        <v>938</v>
      </c>
      <c r="L280">
        <v>1346</v>
      </c>
      <c r="N280">
        <v>1009</v>
      </c>
      <c r="O280" t="s">
        <v>118</v>
      </c>
      <c r="P280" t="s">
        <v>118</v>
      </c>
      <c r="Q280">
        <v>1</v>
      </c>
      <c r="X280">
        <v>12</v>
      </c>
      <c r="Y280">
        <v>9.8000000000000007</v>
      </c>
      <c r="Z280">
        <v>0</v>
      </c>
      <c r="AA280">
        <v>0</v>
      </c>
      <c r="AB280">
        <v>0</v>
      </c>
      <c r="AC280">
        <v>0</v>
      </c>
      <c r="AD280">
        <v>1</v>
      </c>
      <c r="AE280">
        <v>0</v>
      </c>
      <c r="AF280" t="s">
        <v>6</v>
      </c>
      <c r="AG280">
        <v>12</v>
      </c>
      <c r="AH280">
        <v>2</v>
      </c>
      <c r="AI280">
        <v>31029271</v>
      </c>
      <c r="AJ280">
        <v>256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</row>
    <row r="281" spans="1:44">
      <c r="A281">
        <f>ROW(Source!A159)</f>
        <v>159</v>
      </c>
      <c r="B281">
        <v>31029282</v>
      </c>
      <c r="C281">
        <v>31029263</v>
      </c>
      <c r="D281">
        <v>29186569</v>
      </c>
      <c r="E281">
        <v>1</v>
      </c>
      <c r="F281">
        <v>1</v>
      </c>
      <c r="G281">
        <v>1</v>
      </c>
      <c r="H281">
        <v>3</v>
      </c>
      <c r="I281" t="s">
        <v>939</v>
      </c>
      <c r="J281" t="s">
        <v>940</v>
      </c>
      <c r="K281" t="s">
        <v>941</v>
      </c>
      <c r="L281">
        <v>1339</v>
      </c>
      <c r="N281">
        <v>1007</v>
      </c>
      <c r="O281" t="s">
        <v>109</v>
      </c>
      <c r="P281" t="s">
        <v>109</v>
      </c>
      <c r="Q281">
        <v>1</v>
      </c>
      <c r="X281">
        <v>3.2</v>
      </c>
      <c r="Y281">
        <v>458.28</v>
      </c>
      <c r="Z281">
        <v>0</v>
      </c>
      <c r="AA281">
        <v>0</v>
      </c>
      <c r="AB281">
        <v>0</v>
      </c>
      <c r="AC281">
        <v>0</v>
      </c>
      <c r="AD281">
        <v>1</v>
      </c>
      <c r="AE281">
        <v>0</v>
      </c>
      <c r="AF281" t="s">
        <v>6</v>
      </c>
      <c r="AG281">
        <v>3.2</v>
      </c>
      <c r="AH281">
        <v>2</v>
      </c>
      <c r="AI281">
        <v>31029272</v>
      </c>
      <c r="AJ281">
        <v>257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</row>
    <row r="282" spans="1:44">
      <c r="A282">
        <f>ROW(Source!A159)</f>
        <v>159</v>
      </c>
      <c r="B282">
        <v>31029283</v>
      </c>
      <c r="C282">
        <v>31029263</v>
      </c>
      <c r="D282">
        <v>29195171</v>
      </c>
      <c r="E282">
        <v>1</v>
      </c>
      <c r="F282">
        <v>1</v>
      </c>
      <c r="G282">
        <v>1</v>
      </c>
      <c r="H282">
        <v>3</v>
      </c>
      <c r="I282" t="s">
        <v>830</v>
      </c>
      <c r="J282" t="s">
        <v>831</v>
      </c>
      <c r="K282" t="s">
        <v>832</v>
      </c>
      <c r="L282">
        <v>1339</v>
      </c>
      <c r="N282">
        <v>1007</v>
      </c>
      <c r="O282" t="s">
        <v>109</v>
      </c>
      <c r="P282" t="s">
        <v>109</v>
      </c>
      <c r="Q282">
        <v>1</v>
      </c>
      <c r="X282">
        <v>0.01</v>
      </c>
      <c r="Y282">
        <v>2.4500000000000002</v>
      </c>
      <c r="Z282">
        <v>0</v>
      </c>
      <c r="AA282">
        <v>0</v>
      </c>
      <c r="AB282">
        <v>0</v>
      </c>
      <c r="AC282">
        <v>0</v>
      </c>
      <c r="AD282">
        <v>1</v>
      </c>
      <c r="AE282">
        <v>0</v>
      </c>
      <c r="AF282" t="s">
        <v>6</v>
      </c>
      <c r="AG282">
        <v>0.01</v>
      </c>
      <c r="AH282">
        <v>2</v>
      </c>
      <c r="AI282">
        <v>31029273</v>
      </c>
      <c r="AJ282">
        <v>258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</row>
    <row r="283" spans="1:44">
      <c r="A283">
        <f>ROW(Source!A160)</f>
        <v>160</v>
      </c>
      <c r="B283">
        <v>31029292</v>
      </c>
      <c r="C283">
        <v>31029284</v>
      </c>
      <c r="D283">
        <v>29084596</v>
      </c>
      <c r="E283">
        <v>1</v>
      </c>
      <c r="F283">
        <v>1</v>
      </c>
      <c r="G283">
        <v>1</v>
      </c>
      <c r="H283">
        <v>1</v>
      </c>
      <c r="I283" t="s">
        <v>893</v>
      </c>
      <c r="J283" t="s">
        <v>6</v>
      </c>
      <c r="K283" t="s">
        <v>894</v>
      </c>
      <c r="L283">
        <v>1369</v>
      </c>
      <c r="N283">
        <v>1013</v>
      </c>
      <c r="O283" t="s">
        <v>773</v>
      </c>
      <c r="P283" t="s">
        <v>773</v>
      </c>
      <c r="Q283">
        <v>1</v>
      </c>
      <c r="X283">
        <v>16.5</v>
      </c>
      <c r="Y283">
        <v>0</v>
      </c>
      <c r="Z283">
        <v>0</v>
      </c>
      <c r="AA283">
        <v>0</v>
      </c>
      <c r="AB283">
        <v>9.18</v>
      </c>
      <c r="AC283">
        <v>0</v>
      </c>
      <c r="AD283">
        <v>1</v>
      </c>
      <c r="AE283">
        <v>1</v>
      </c>
      <c r="AF283" t="s">
        <v>127</v>
      </c>
      <c r="AG283">
        <v>21.821249999999996</v>
      </c>
      <c r="AH283">
        <v>2</v>
      </c>
      <c r="AI283">
        <v>31029285</v>
      </c>
      <c r="AJ283">
        <v>259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</row>
    <row r="284" spans="1:44">
      <c r="A284">
        <f>ROW(Source!A160)</f>
        <v>160</v>
      </c>
      <c r="B284">
        <v>31029293</v>
      </c>
      <c r="C284">
        <v>31029284</v>
      </c>
      <c r="D284">
        <v>29084573</v>
      </c>
      <c r="E284">
        <v>1</v>
      </c>
      <c r="F284">
        <v>1</v>
      </c>
      <c r="G284">
        <v>1</v>
      </c>
      <c r="H284">
        <v>1</v>
      </c>
      <c r="I284" t="s">
        <v>774</v>
      </c>
      <c r="J284" t="s">
        <v>6</v>
      </c>
      <c r="K284" t="s">
        <v>775</v>
      </c>
      <c r="L284">
        <v>608254</v>
      </c>
      <c r="N284">
        <v>1013</v>
      </c>
      <c r="O284" t="s">
        <v>776</v>
      </c>
      <c r="P284" t="s">
        <v>776</v>
      </c>
      <c r="Q284">
        <v>1</v>
      </c>
      <c r="X284">
        <v>0.01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1</v>
      </c>
      <c r="AE284">
        <v>2</v>
      </c>
      <c r="AF284" t="s">
        <v>126</v>
      </c>
      <c r="AG284">
        <v>1.4374999999999999E-2</v>
      </c>
      <c r="AH284">
        <v>2</v>
      </c>
      <c r="AI284">
        <v>31029286</v>
      </c>
      <c r="AJ284">
        <v>260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</row>
    <row r="285" spans="1:44">
      <c r="A285">
        <f>ROW(Source!A160)</f>
        <v>160</v>
      </c>
      <c r="B285">
        <v>31029294</v>
      </c>
      <c r="C285">
        <v>31029284</v>
      </c>
      <c r="D285">
        <v>29147732</v>
      </c>
      <c r="E285">
        <v>1</v>
      </c>
      <c r="F285">
        <v>1</v>
      </c>
      <c r="G285">
        <v>1</v>
      </c>
      <c r="H285">
        <v>2</v>
      </c>
      <c r="I285" t="s">
        <v>846</v>
      </c>
      <c r="J285" t="s">
        <v>847</v>
      </c>
      <c r="K285" t="s">
        <v>848</v>
      </c>
      <c r="L285">
        <v>1368</v>
      </c>
      <c r="N285">
        <v>1011</v>
      </c>
      <c r="O285" t="s">
        <v>780</v>
      </c>
      <c r="P285" t="s">
        <v>780</v>
      </c>
      <c r="Q285">
        <v>1</v>
      </c>
      <c r="X285">
        <v>0.01</v>
      </c>
      <c r="Y285">
        <v>0</v>
      </c>
      <c r="Z285">
        <v>30.85</v>
      </c>
      <c r="AA285">
        <v>13.03</v>
      </c>
      <c r="AB285">
        <v>0</v>
      </c>
      <c r="AC285">
        <v>0</v>
      </c>
      <c r="AD285">
        <v>1</v>
      </c>
      <c r="AE285">
        <v>0</v>
      </c>
      <c r="AF285" t="s">
        <v>126</v>
      </c>
      <c r="AG285">
        <v>1.4374999999999999E-2</v>
      </c>
      <c r="AH285">
        <v>2</v>
      </c>
      <c r="AI285">
        <v>31029287</v>
      </c>
      <c r="AJ285">
        <v>261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</row>
    <row r="286" spans="1:44">
      <c r="A286">
        <f>ROW(Source!A160)</f>
        <v>160</v>
      </c>
      <c r="B286">
        <v>31029295</v>
      </c>
      <c r="C286">
        <v>31029284</v>
      </c>
      <c r="D286">
        <v>29149520</v>
      </c>
      <c r="E286">
        <v>1</v>
      </c>
      <c r="F286">
        <v>1</v>
      </c>
      <c r="G286">
        <v>1</v>
      </c>
      <c r="H286">
        <v>2</v>
      </c>
      <c r="I286" t="s">
        <v>790</v>
      </c>
      <c r="J286" t="s">
        <v>791</v>
      </c>
      <c r="K286" t="s">
        <v>792</v>
      </c>
      <c r="L286">
        <v>1368</v>
      </c>
      <c r="N286">
        <v>1011</v>
      </c>
      <c r="O286" t="s">
        <v>780</v>
      </c>
      <c r="P286" t="s">
        <v>780</v>
      </c>
      <c r="Q286">
        <v>1</v>
      </c>
      <c r="X286">
        <v>0.04</v>
      </c>
      <c r="Y286">
        <v>0</v>
      </c>
      <c r="Z286">
        <v>91.62</v>
      </c>
      <c r="AA286">
        <v>0</v>
      </c>
      <c r="AB286">
        <v>0</v>
      </c>
      <c r="AC286">
        <v>0</v>
      </c>
      <c r="AD286">
        <v>1</v>
      </c>
      <c r="AE286">
        <v>0</v>
      </c>
      <c r="AF286" t="s">
        <v>126</v>
      </c>
      <c r="AG286">
        <v>5.7499999999999996E-2</v>
      </c>
      <c r="AH286">
        <v>2</v>
      </c>
      <c r="AI286">
        <v>31029288</v>
      </c>
      <c r="AJ286">
        <v>262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</row>
    <row r="287" spans="1:44">
      <c r="A287">
        <f>ROW(Source!A160)</f>
        <v>160</v>
      </c>
      <c r="B287">
        <v>31029296</v>
      </c>
      <c r="C287">
        <v>31029284</v>
      </c>
      <c r="D287">
        <v>29151861</v>
      </c>
      <c r="E287">
        <v>1</v>
      </c>
      <c r="F287">
        <v>1</v>
      </c>
      <c r="G287">
        <v>1</v>
      </c>
      <c r="H287">
        <v>3</v>
      </c>
      <c r="I287" t="s">
        <v>835</v>
      </c>
      <c r="J287" t="s">
        <v>836</v>
      </c>
      <c r="K287" t="s">
        <v>837</v>
      </c>
      <c r="L287">
        <v>1327</v>
      </c>
      <c r="N287">
        <v>1005</v>
      </c>
      <c r="O287" t="s">
        <v>284</v>
      </c>
      <c r="P287" t="s">
        <v>284</v>
      </c>
      <c r="Q287">
        <v>1</v>
      </c>
      <c r="X287">
        <v>4.4000000000000004</v>
      </c>
      <c r="Y287">
        <v>73.39</v>
      </c>
      <c r="Z287">
        <v>0</v>
      </c>
      <c r="AA287">
        <v>0</v>
      </c>
      <c r="AB287">
        <v>0</v>
      </c>
      <c r="AC287">
        <v>0</v>
      </c>
      <c r="AD287">
        <v>1</v>
      </c>
      <c r="AE287">
        <v>0</v>
      </c>
      <c r="AF287" t="s">
        <v>6</v>
      </c>
      <c r="AG287">
        <v>4.4000000000000004</v>
      </c>
      <c r="AH287">
        <v>2</v>
      </c>
      <c r="AI287">
        <v>31029289</v>
      </c>
      <c r="AJ287">
        <v>263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</row>
    <row r="288" spans="1:44">
      <c r="A288">
        <f>ROW(Source!A160)</f>
        <v>160</v>
      </c>
      <c r="B288">
        <v>31029297</v>
      </c>
      <c r="C288">
        <v>31029284</v>
      </c>
      <c r="D288">
        <v>29151929</v>
      </c>
      <c r="E288">
        <v>1</v>
      </c>
      <c r="F288">
        <v>1</v>
      </c>
      <c r="G288">
        <v>1</v>
      </c>
      <c r="H288">
        <v>3</v>
      </c>
      <c r="I288" t="s">
        <v>914</v>
      </c>
      <c r="J288" t="s">
        <v>915</v>
      </c>
      <c r="K288" t="s">
        <v>916</v>
      </c>
      <c r="L288">
        <v>1348</v>
      </c>
      <c r="N288">
        <v>1009</v>
      </c>
      <c r="O288" t="s">
        <v>137</v>
      </c>
      <c r="P288" t="s">
        <v>137</v>
      </c>
      <c r="Q288">
        <v>1000</v>
      </c>
      <c r="X288">
        <v>3.2000000000000001E-2</v>
      </c>
      <c r="Y288">
        <v>3151.95</v>
      </c>
      <c r="Z288">
        <v>0</v>
      </c>
      <c r="AA288">
        <v>0</v>
      </c>
      <c r="AB288">
        <v>0</v>
      </c>
      <c r="AC288">
        <v>0</v>
      </c>
      <c r="AD288">
        <v>1</v>
      </c>
      <c r="AE288">
        <v>0</v>
      </c>
      <c r="AF288" t="s">
        <v>6</v>
      </c>
      <c r="AG288">
        <v>3.2000000000000001E-2</v>
      </c>
      <c r="AH288">
        <v>2</v>
      </c>
      <c r="AI288">
        <v>31029290</v>
      </c>
      <c r="AJ288">
        <v>264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</row>
    <row r="289" spans="1:44">
      <c r="A289">
        <f>ROW(Source!A160)</f>
        <v>160</v>
      </c>
      <c r="B289">
        <v>31029298</v>
      </c>
      <c r="C289">
        <v>31029284</v>
      </c>
      <c r="D289">
        <v>29152014</v>
      </c>
      <c r="E289">
        <v>1</v>
      </c>
      <c r="F289">
        <v>1</v>
      </c>
      <c r="G289">
        <v>1</v>
      </c>
      <c r="H289">
        <v>3</v>
      </c>
      <c r="I289" t="s">
        <v>838</v>
      </c>
      <c r="J289" t="s">
        <v>839</v>
      </c>
      <c r="K289" t="s">
        <v>840</v>
      </c>
      <c r="L289">
        <v>1346</v>
      </c>
      <c r="N289">
        <v>1009</v>
      </c>
      <c r="O289" t="s">
        <v>118</v>
      </c>
      <c r="P289" t="s">
        <v>118</v>
      </c>
      <c r="Q289">
        <v>1</v>
      </c>
      <c r="X289">
        <v>0.15</v>
      </c>
      <c r="Y289">
        <v>1.94</v>
      </c>
      <c r="Z289">
        <v>0</v>
      </c>
      <c r="AA289">
        <v>0</v>
      </c>
      <c r="AB289">
        <v>0</v>
      </c>
      <c r="AC289">
        <v>0</v>
      </c>
      <c r="AD289">
        <v>1</v>
      </c>
      <c r="AE289">
        <v>0</v>
      </c>
      <c r="AF289" t="s">
        <v>6</v>
      </c>
      <c r="AG289">
        <v>0.15</v>
      </c>
      <c r="AH289">
        <v>2</v>
      </c>
      <c r="AI289">
        <v>31029291</v>
      </c>
      <c r="AJ289">
        <v>265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</row>
    <row r="290" spans="1:44">
      <c r="A290">
        <f>ROW(Source!A161)</f>
        <v>161</v>
      </c>
      <c r="B290">
        <v>31029308</v>
      </c>
      <c r="C290">
        <v>31029299</v>
      </c>
      <c r="D290">
        <v>29084579</v>
      </c>
      <c r="E290">
        <v>1</v>
      </c>
      <c r="F290">
        <v>1</v>
      </c>
      <c r="G290">
        <v>1</v>
      </c>
      <c r="H290">
        <v>1</v>
      </c>
      <c r="I290" t="s">
        <v>849</v>
      </c>
      <c r="J290" t="s">
        <v>6</v>
      </c>
      <c r="K290" t="s">
        <v>850</v>
      </c>
      <c r="L290">
        <v>1369</v>
      </c>
      <c r="N290">
        <v>1013</v>
      </c>
      <c r="O290" t="s">
        <v>773</v>
      </c>
      <c r="P290" t="s">
        <v>773</v>
      </c>
      <c r="Q290">
        <v>1</v>
      </c>
      <c r="X290">
        <v>89.43</v>
      </c>
      <c r="Y290">
        <v>0</v>
      </c>
      <c r="Z290">
        <v>0</v>
      </c>
      <c r="AA290">
        <v>0</v>
      </c>
      <c r="AB290">
        <v>9.2899999999999991</v>
      </c>
      <c r="AC290">
        <v>0</v>
      </c>
      <c r="AD290">
        <v>1</v>
      </c>
      <c r="AE290">
        <v>1</v>
      </c>
      <c r="AF290" t="s">
        <v>127</v>
      </c>
      <c r="AG290">
        <v>118.27117499999999</v>
      </c>
      <c r="AH290">
        <v>2</v>
      </c>
      <c r="AI290">
        <v>31029300</v>
      </c>
      <c r="AJ290">
        <v>266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</row>
    <row r="291" spans="1:44">
      <c r="A291">
        <f>ROW(Source!A161)</f>
        <v>161</v>
      </c>
      <c r="B291">
        <v>31029309</v>
      </c>
      <c r="C291">
        <v>31029299</v>
      </c>
      <c r="D291">
        <v>29084573</v>
      </c>
      <c r="E291">
        <v>1</v>
      </c>
      <c r="F291">
        <v>1</v>
      </c>
      <c r="G291">
        <v>1</v>
      </c>
      <c r="H291">
        <v>1</v>
      </c>
      <c r="I291" t="s">
        <v>774</v>
      </c>
      <c r="J291" t="s">
        <v>6</v>
      </c>
      <c r="K291" t="s">
        <v>775</v>
      </c>
      <c r="L291">
        <v>608254</v>
      </c>
      <c r="N291">
        <v>1013</v>
      </c>
      <c r="O291" t="s">
        <v>776</v>
      </c>
      <c r="P291" t="s">
        <v>776</v>
      </c>
      <c r="Q291">
        <v>1</v>
      </c>
      <c r="X291">
        <v>0.03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1</v>
      </c>
      <c r="AE291">
        <v>2</v>
      </c>
      <c r="AF291" t="s">
        <v>126</v>
      </c>
      <c r="AG291">
        <v>4.3124999999999997E-2</v>
      </c>
      <c r="AH291">
        <v>2</v>
      </c>
      <c r="AI291">
        <v>31029301</v>
      </c>
      <c r="AJ291">
        <v>267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</row>
    <row r="292" spans="1:44">
      <c r="A292">
        <f>ROW(Source!A161)</f>
        <v>161</v>
      </c>
      <c r="B292">
        <v>31029310</v>
      </c>
      <c r="C292">
        <v>31029299</v>
      </c>
      <c r="D292">
        <v>29147732</v>
      </c>
      <c r="E292">
        <v>1</v>
      </c>
      <c r="F292">
        <v>1</v>
      </c>
      <c r="G292">
        <v>1</v>
      </c>
      <c r="H292">
        <v>2</v>
      </c>
      <c r="I292" t="s">
        <v>846</v>
      </c>
      <c r="J292" t="s">
        <v>847</v>
      </c>
      <c r="K292" t="s">
        <v>848</v>
      </c>
      <c r="L292">
        <v>1368</v>
      </c>
      <c r="N292">
        <v>1011</v>
      </c>
      <c r="O292" t="s">
        <v>780</v>
      </c>
      <c r="P292" t="s">
        <v>780</v>
      </c>
      <c r="Q292">
        <v>1</v>
      </c>
      <c r="X292">
        <v>0.03</v>
      </c>
      <c r="Y292">
        <v>0</v>
      </c>
      <c r="Z292">
        <v>30.85</v>
      </c>
      <c r="AA292">
        <v>13.03</v>
      </c>
      <c r="AB292">
        <v>0</v>
      </c>
      <c r="AC292">
        <v>0</v>
      </c>
      <c r="AD292">
        <v>1</v>
      </c>
      <c r="AE292">
        <v>0</v>
      </c>
      <c r="AF292" t="s">
        <v>126</v>
      </c>
      <c r="AG292">
        <v>4.3124999999999997E-2</v>
      </c>
      <c r="AH292">
        <v>2</v>
      </c>
      <c r="AI292">
        <v>31029302</v>
      </c>
      <c r="AJ292">
        <v>268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</row>
    <row r="293" spans="1:44">
      <c r="A293">
        <f>ROW(Source!A161)</f>
        <v>161</v>
      </c>
      <c r="B293">
        <v>31029311</v>
      </c>
      <c r="C293">
        <v>31029299</v>
      </c>
      <c r="D293">
        <v>29149520</v>
      </c>
      <c r="E293">
        <v>1</v>
      </c>
      <c r="F293">
        <v>1</v>
      </c>
      <c r="G293">
        <v>1</v>
      </c>
      <c r="H293">
        <v>2</v>
      </c>
      <c r="I293" t="s">
        <v>790</v>
      </c>
      <c r="J293" t="s">
        <v>791</v>
      </c>
      <c r="K293" t="s">
        <v>792</v>
      </c>
      <c r="L293">
        <v>1368</v>
      </c>
      <c r="N293">
        <v>1011</v>
      </c>
      <c r="O293" t="s">
        <v>780</v>
      </c>
      <c r="P293" t="s">
        <v>780</v>
      </c>
      <c r="Q293">
        <v>1</v>
      </c>
      <c r="X293">
        <v>0.22</v>
      </c>
      <c r="Y293">
        <v>0</v>
      </c>
      <c r="Z293">
        <v>91.62</v>
      </c>
      <c r="AA293">
        <v>0</v>
      </c>
      <c r="AB293">
        <v>0</v>
      </c>
      <c r="AC293">
        <v>0</v>
      </c>
      <c r="AD293">
        <v>1</v>
      </c>
      <c r="AE293">
        <v>0</v>
      </c>
      <c r="AF293" t="s">
        <v>126</v>
      </c>
      <c r="AG293">
        <v>0.31624999999999998</v>
      </c>
      <c r="AH293">
        <v>2</v>
      </c>
      <c r="AI293">
        <v>31029303</v>
      </c>
      <c r="AJ293">
        <v>269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</row>
    <row r="294" spans="1:44">
      <c r="A294">
        <f>ROW(Source!A161)</f>
        <v>161</v>
      </c>
      <c r="B294">
        <v>31029312</v>
      </c>
      <c r="C294">
        <v>31029299</v>
      </c>
      <c r="D294">
        <v>29151861</v>
      </c>
      <c r="E294">
        <v>1</v>
      </c>
      <c r="F294">
        <v>1</v>
      </c>
      <c r="G294">
        <v>1</v>
      </c>
      <c r="H294">
        <v>3</v>
      </c>
      <c r="I294" t="s">
        <v>835</v>
      </c>
      <c r="J294" t="s">
        <v>836</v>
      </c>
      <c r="K294" t="s">
        <v>837</v>
      </c>
      <c r="L294">
        <v>1327</v>
      </c>
      <c r="N294">
        <v>1005</v>
      </c>
      <c r="O294" t="s">
        <v>284</v>
      </c>
      <c r="P294" t="s">
        <v>284</v>
      </c>
      <c r="Q294">
        <v>1</v>
      </c>
      <c r="X294">
        <v>0.88</v>
      </c>
      <c r="Y294">
        <v>73.39</v>
      </c>
      <c r="Z294">
        <v>0</v>
      </c>
      <c r="AA294">
        <v>0</v>
      </c>
      <c r="AB294">
        <v>0</v>
      </c>
      <c r="AC294">
        <v>0</v>
      </c>
      <c r="AD294">
        <v>1</v>
      </c>
      <c r="AE294">
        <v>0</v>
      </c>
      <c r="AF294" t="s">
        <v>6</v>
      </c>
      <c r="AG294">
        <v>0.88</v>
      </c>
      <c r="AH294">
        <v>2</v>
      </c>
      <c r="AI294">
        <v>31029304</v>
      </c>
      <c r="AJ294">
        <v>270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</row>
    <row r="295" spans="1:44">
      <c r="A295">
        <f>ROW(Source!A161)</f>
        <v>161</v>
      </c>
      <c r="B295">
        <v>31029313</v>
      </c>
      <c r="C295">
        <v>31029299</v>
      </c>
      <c r="D295">
        <v>29151971</v>
      </c>
      <c r="E295">
        <v>1</v>
      </c>
      <c r="F295">
        <v>1</v>
      </c>
      <c r="G295">
        <v>1</v>
      </c>
      <c r="H295">
        <v>3</v>
      </c>
      <c r="I295" t="s">
        <v>942</v>
      </c>
      <c r="J295" t="s">
        <v>943</v>
      </c>
      <c r="K295" t="s">
        <v>944</v>
      </c>
      <c r="L295">
        <v>1348</v>
      </c>
      <c r="N295">
        <v>1009</v>
      </c>
      <c r="O295" t="s">
        <v>137</v>
      </c>
      <c r="P295" t="s">
        <v>137</v>
      </c>
      <c r="Q295">
        <v>1000</v>
      </c>
      <c r="X295">
        <v>9.1999999999999998E-2</v>
      </c>
      <c r="Y295">
        <v>3311.4</v>
      </c>
      <c r="Z295">
        <v>0</v>
      </c>
      <c r="AA295">
        <v>0</v>
      </c>
      <c r="AB295">
        <v>0</v>
      </c>
      <c r="AC295">
        <v>0</v>
      </c>
      <c r="AD295">
        <v>1</v>
      </c>
      <c r="AE295">
        <v>0</v>
      </c>
      <c r="AF295" t="s">
        <v>6</v>
      </c>
      <c r="AG295">
        <v>9.1999999999999998E-2</v>
      </c>
      <c r="AH295">
        <v>2</v>
      </c>
      <c r="AI295">
        <v>31029305</v>
      </c>
      <c r="AJ295">
        <v>271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</row>
    <row r="296" spans="1:44">
      <c r="A296">
        <f>ROW(Source!A161)</f>
        <v>161</v>
      </c>
      <c r="B296">
        <v>31029314</v>
      </c>
      <c r="C296">
        <v>31029299</v>
      </c>
      <c r="D296">
        <v>29152014</v>
      </c>
      <c r="E296">
        <v>1</v>
      </c>
      <c r="F296">
        <v>1</v>
      </c>
      <c r="G296">
        <v>1</v>
      </c>
      <c r="H296">
        <v>3</v>
      </c>
      <c r="I296" t="s">
        <v>838</v>
      </c>
      <c r="J296" t="s">
        <v>839</v>
      </c>
      <c r="K296" t="s">
        <v>840</v>
      </c>
      <c r="L296">
        <v>1346</v>
      </c>
      <c r="N296">
        <v>1009</v>
      </c>
      <c r="O296" t="s">
        <v>118</v>
      </c>
      <c r="P296" t="s">
        <v>118</v>
      </c>
      <c r="Q296">
        <v>1</v>
      </c>
      <c r="X296">
        <v>0.36</v>
      </c>
      <c r="Y296">
        <v>1.94</v>
      </c>
      <c r="Z296">
        <v>0</v>
      </c>
      <c r="AA296">
        <v>0</v>
      </c>
      <c r="AB296">
        <v>0</v>
      </c>
      <c r="AC296">
        <v>0</v>
      </c>
      <c r="AD296">
        <v>1</v>
      </c>
      <c r="AE296">
        <v>0</v>
      </c>
      <c r="AF296" t="s">
        <v>6</v>
      </c>
      <c r="AG296">
        <v>0.36</v>
      </c>
      <c r="AH296">
        <v>2</v>
      </c>
      <c r="AI296">
        <v>31029306</v>
      </c>
      <c r="AJ296">
        <v>272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</row>
    <row r="297" spans="1:44">
      <c r="A297">
        <f>ROW(Source!A161)</f>
        <v>161</v>
      </c>
      <c r="B297">
        <v>31029315</v>
      </c>
      <c r="C297">
        <v>31029299</v>
      </c>
      <c r="D297">
        <v>29152186</v>
      </c>
      <c r="E297">
        <v>1</v>
      </c>
      <c r="F297">
        <v>1</v>
      </c>
      <c r="G297">
        <v>1</v>
      </c>
      <c r="H297">
        <v>3</v>
      </c>
      <c r="I297" t="s">
        <v>945</v>
      </c>
      <c r="J297" t="s">
        <v>946</v>
      </c>
      <c r="K297" t="s">
        <v>947</v>
      </c>
      <c r="L297">
        <v>1348</v>
      </c>
      <c r="N297">
        <v>1009</v>
      </c>
      <c r="O297" t="s">
        <v>137</v>
      </c>
      <c r="P297" t="s">
        <v>137</v>
      </c>
      <c r="Q297">
        <v>1000</v>
      </c>
      <c r="X297">
        <v>6.9000000000000006E-2</v>
      </c>
      <c r="Y297">
        <v>16802.490000000002</v>
      </c>
      <c r="Z297">
        <v>0</v>
      </c>
      <c r="AA297">
        <v>0</v>
      </c>
      <c r="AB297">
        <v>0</v>
      </c>
      <c r="AC297">
        <v>0</v>
      </c>
      <c r="AD297">
        <v>1</v>
      </c>
      <c r="AE297">
        <v>0</v>
      </c>
      <c r="AF297" t="s">
        <v>6</v>
      </c>
      <c r="AG297">
        <v>6.9000000000000006E-2</v>
      </c>
      <c r="AH297">
        <v>2</v>
      </c>
      <c r="AI297">
        <v>31029307</v>
      </c>
      <c r="AJ297">
        <v>273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</row>
    <row r="298" spans="1:44">
      <c r="A298">
        <f>ROW(Source!A163)</f>
        <v>163</v>
      </c>
      <c r="B298">
        <v>31029328</v>
      </c>
      <c r="C298">
        <v>31029317</v>
      </c>
      <c r="D298">
        <v>29084594</v>
      </c>
      <c r="E298">
        <v>1</v>
      </c>
      <c r="F298">
        <v>1</v>
      </c>
      <c r="G298">
        <v>1</v>
      </c>
      <c r="H298">
        <v>1</v>
      </c>
      <c r="I298" t="s">
        <v>922</v>
      </c>
      <c r="J298" t="s">
        <v>6</v>
      </c>
      <c r="K298" t="s">
        <v>923</v>
      </c>
      <c r="L298">
        <v>1369</v>
      </c>
      <c r="N298">
        <v>1013</v>
      </c>
      <c r="O298" t="s">
        <v>773</v>
      </c>
      <c r="P298" t="s">
        <v>773</v>
      </c>
      <c r="Q298">
        <v>1</v>
      </c>
      <c r="X298">
        <v>129.94999999999999</v>
      </c>
      <c r="Y298">
        <v>0</v>
      </c>
      <c r="Z298">
        <v>0</v>
      </c>
      <c r="AA298">
        <v>0</v>
      </c>
      <c r="AB298">
        <v>8.86</v>
      </c>
      <c r="AC298">
        <v>0</v>
      </c>
      <c r="AD298">
        <v>1</v>
      </c>
      <c r="AE298">
        <v>1</v>
      </c>
      <c r="AF298" t="s">
        <v>127</v>
      </c>
      <c r="AG298">
        <v>171.85887499999995</v>
      </c>
      <c r="AH298">
        <v>2</v>
      </c>
      <c r="AI298">
        <v>31029318</v>
      </c>
      <c r="AJ298">
        <v>274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</row>
    <row r="299" spans="1:44">
      <c r="A299">
        <f>ROW(Source!A163)</f>
        <v>163</v>
      </c>
      <c r="B299">
        <v>31029329</v>
      </c>
      <c r="C299">
        <v>31029317</v>
      </c>
      <c r="D299">
        <v>29084573</v>
      </c>
      <c r="E299">
        <v>1</v>
      </c>
      <c r="F299">
        <v>1</v>
      </c>
      <c r="G299">
        <v>1</v>
      </c>
      <c r="H299">
        <v>1</v>
      </c>
      <c r="I299" t="s">
        <v>774</v>
      </c>
      <c r="J299" t="s">
        <v>6</v>
      </c>
      <c r="K299" t="s">
        <v>775</v>
      </c>
      <c r="L299">
        <v>608254</v>
      </c>
      <c r="N299">
        <v>1013</v>
      </c>
      <c r="O299" t="s">
        <v>776</v>
      </c>
      <c r="P299" t="s">
        <v>776</v>
      </c>
      <c r="Q299">
        <v>1</v>
      </c>
      <c r="X299">
        <v>1.44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1</v>
      </c>
      <c r="AE299">
        <v>2</v>
      </c>
      <c r="AF299" t="s">
        <v>126</v>
      </c>
      <c r="AG299">
        <v>2.0699999999999998</v>
      </c>
      <c r="AH299">
        <v>2</v>
      </c>
      <c r="AI299">
        <v>31029319</v>
      </c>
      <c r="AJ299">
        <v>275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</row>
    <row r="300" spans="1:44">
      <c r="A300">
        <f>ROW(Source!A163)</f>
        <v>163</v>
      </c>
      <c r="B300">
        <v>31029330</v>
      </c>
      <c r="C300">
        <v>31029317</v>
      </c>
      <c r="D300">
        <v>29147673</v>
      </c>
      <c r="E300">
        <v>1</v>
      </c>
      <c r="F300">
        <v>1</v>
      </c>
      <c r="G300">
        <v>1</v>
      </c>
      <c r="H300">
        <v>2</v>
      </c>
      <c r="I300" t="s">
        <v>924</v>
      </c>
      <c r="J300" t="s">
        <v>925</v>
      </c>
      <c r="K300" t="s">
        <v>926</v>
      </c>
      <c r="L300">
        <v>1368</v>
      </c>
      <c r="N300">
        <v>1011</v>
      </c>
      <c r="O300" t="s">
        <v>780</v>
      </c>
      <c r="P300" t="s">
        <v>780</v>
      </c>
      <c r="Q300">
        <v>1</v>
      </c>
      <c r="X300">
        <v>0.14000000000000001</v>
      </c>
      <c r="Y300">
        <v>0</v>
      </c>
      <c r="Z300">
        <v>97.95</v>
      </c>
      <c r="AA300">
        <v>9.7100000000000009</v>
      </c>
      <c r="AB300">
        <v>0</v>
      </c>
      <c r="AC300">
        <v>0</v>
      </c>
      <c r="AD300">
        <v>1</v>
      </c>
      <c r="AE300">
        <v>0</v>
      </c>
      <c r="AF300" t="s">
        <v>126</v>
      </c>
      <c r="AG300">
        <v>0.20125000000000001</v>
      </c>
      <c r="AH300">
        <v>2</v>
      </c>
      <c r="AI300">
        <v>31029320</v>
      </c>
      <c r="AJ300">
        <v>276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</row>
    <row r="301" spans="1:44">
      <c r="A301">
        <f>ROW(Source!A163)</f>
        <v>163</v>
      </c>
      <c r="B301">
        <v>31029331</v>
      </c>
      <c r="C301">
        <v>31029317</v>
      </c>
      <c r="D301">
        <v>29147732</v>
      </c>
      <c r="E301">
        <v>1</v>
      </c>
      <c r="F301">
        <v>1</v>
      </c>
      <c r="G301">
        <v>1</v>
      </c>
      <c r="H301">
        <v>2</v>
      </c>
      <c r="I301" t="s">
        <v>846</v>
      </c>
      <c r="J301" t="s">
        <v>847</v>
      </c>
      <c r="K301" t="s">
        <v>848</v>
      </c>
      <c r="L301">
        <v>1368</v>
      </c>
      <c r="N301">
        <v>1011</v>
      </c>
      <c r="O301" t="s">
        <v>780</v>
      </c>
      <c r="P301" t="s">
        <v>780</v>
      </c>
      <c r="Q301">
        <v>1</v>
      </c>
      <c r="X301">
        <v>1.3</v>
      </c>
      <c r="Y301">
        <v>0</v>
      </c>
      <c r="Z301">
        <v>30.85</v>
      </c>
      <c r="AA301">
        <v>13.03</v>
      </c>
      <c r="AB301">
        <v>0</v>
      </c>
      <c r="AC301">
        <v>0</v>
      </c>
      <c r="AD301">
        <v>1</v>
      </c>
      <c r="AE301">
        <v>0</v>
      </c>
      <c r="AF301" t="s">
        <v>126</v>
      </c>
      <c r="AG301">
        <v>1.8687499999999999</v>
      </c>
      <c r="AH301">
        <v>2</v>
      </c>
      <c r="AI301">
        <v>31029321</v>
      </c>
      <c r="AJ301">
        <v>277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</row>
    <row r="302" spans="1:44">
      <c r="A302">
        <f>ROW(Source!A163)</f>
        <v>163</v>
      </c>
      <c r="B302">
        <v>31029332</v>
      </c>
      <c r="C302">
        <v>31029317</v>
      </c>
      <c r="D302">
        <v>29150545</v>
      </c>
      <c r="E302">
        <v>1</v>
      </c>
      <c r="F302">
        <v>1</v>
      </c>
      <c r="G302">
        <v>1</v>
      </c>
      <c r="H302">
        <v>3</v>
      </c>
      <c r="I302" t="s">
        <v>927</v>
      </c>
      <c r="J302" t="s">
        <v>928</v>
      </c>
      <c r="K302" t="s">
        <v>929</v>
      </c>
      <c r="L302">
        <v>1348</v>
      </c>
      <c r="N302">
        <v>1009</v>
      </c>
      <c r="O302" t="s">
        <v>137</v>
      </c>
      <c r="P302" t="s">
        <v>137</v>
      </c>
      <c r="Q302">
        <v>1000</v>
      </c>
      <c r="X302">
        <v>2.5000000000000001E-3</v>
      </c>
      <c r="Y302">
        <v>9206.16</v>
      </c>
      <c r="Z302">
        <v>0</v>
      </c>
      <c r="AA302">
        <v>0</v>
      </c>
      <c r="AB302">
        <v>0</v>
      </c>
      <c r="AC302">
        <v>0</v>
      </c>
      <c r="AD302">
        <v>1</v>
      </c>
      <c r="AE302">
        <v>0</v>
      </c>
      <c r="AF302" t="s">
        <v>6</v>
      </c>
      <c r="AG302">
        <v>2.5000000000000001E-3</v>
      </c>
      <c r="AH302">
        <v>2</v>
      </c>
      <c r="AI302">
        <v>31029322</v>
      </c>
      <c r="AJ302">
        <v>278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</row>
    <row r="303" spans="1:44">
      <c r="A303">
        <f>ROW(Source!A163)</f>
        <v>163</v>
      </c>
      <c r="B303">
        <v>31029333</v>
      </c>
      <c r="C303">
        <v>31029317</v>
      </c>
      <c r="D303">
        <v>29151213</v>
      </c>
      <c r="E303">
        <v>1</v>
      </c>
      <c r="F303">
        <v>1</v>
      </c>
      <c r="G303">
        <v>1</v>
      </c>
      <c r="H303">
        <v>3</v>
      </c>
      <c r="I303" t="s">
        <v>930</v>
      </c>
      <c r="J303" t="s">
        <v>931</v>
      </c>
      <c r="K303" t="s">
        <v>932</v>
      </c>
      <c r="L303">
        <v>1327</v>
      </c>
      <c r="N303">
        <v>1005</v>
      </c>
      <c r="O303" t="s">
        <v>284</v>
      </c>
      <c r="P303" t="s">
        <v>284</v>
      </c>
      <c r="Q303">
        <v>1</v>
      </c>
      <c r="X303">
        <v>108</v>
      </c>
      <c r="Y303">
        <v>9.39</v>
      </c>
      <c r="Z303">
        <v>0</v>
      </c>
      <c r="AA303">
        <v>0</v>
      </c>
      <c r="AB303">
        <v>0</v>
      </c>
      <c r="AC303">
        <v>0</v>
      </c>
      <c r="AD303">
        <v>1</v>
      </c>
      <c r="AE303">
        <v>0</v>
      </c>
      <c r="AF303" t="s">
        <v>6</v>
      </c>
      <c r="AG303">
        <v>108</v>
      </c>
      <c r="AH303">
        <v>2</v>
      </c>
      <c r="AI303">
        <v>31029323</v>
      </c>
      <c r="AJ303">
        <v>279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</row>
    <row r="304" spans="1:44">
      <c r="A304">
        <f>ROW(Source!A163)</f>
        <v>163</v>
      </c>
      <c r="B304">
        <v>31029334</v>
      </c>
      <c r="C304">
        <v>31029317</v>
      </c>
      <c r="D304">
        <v>29151587</v>
      </c>
      <c r="E304">
        <v>1</v>
      </c>
      <c r="F304">
        <v>1</v>
      </c>
      <c r="G304">
        <v>1</v>
      </c>
      <c r="H304">
        <v>3</v>
      </c>
      <c r="I304" t="s">
        <v>933</v>
      </c>
      <c r="J304" t="s">
        <v>934</v>
      </c>
      <c r="K304" t="s">
        <v>935</v>
      </c>
      <c r="L304">
        <v>1348</v>
      </c>
      <c r="N304">
        <v>1009</v>
      </c>
      <c r="O304" t="s">
        <v>137</v>
      </c>
      <c r="P304" t="s">
        <v>137</v>
      </c>
      <c r="Q304">
        <v>1000</v>
      </c>
      <c r="X304">
        <v>1.2999999999999999E-2</v>
      </c>
      <c r="Y304">
        <v>418.43</v>
      </c>
      <c r="Z304">
        <v>0</v>
      </c>
      <c r="AA304">
        <v>0</v>
      </c>
      <c r="AB304">
        <v>0</v>
      </c>
      <c r="AC304">
        <v>0</v>
      </c>
      <c r="AD304">
        <v>1</v>
      </c>
      <c r="AE304">
        <v>0</v>
      </c>
      <c r="AF304" t="s">
        <v>6</v>
      </c>
      <c r="AG304">
        <v>1.2999999999999999E-2</v>
      </c>
      <c r="AH304">
        <v>2</v>
      </c>
      <c r="AI304">
        <v>31029324</v>
      </c>
      <c r="AJ304">
        <v>280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</row>
    <row r="305" spans="1:44">
      <c r="A305">
        <f>ROW(Source!A163)</f>
        <v>163</v>
      </c>
      <c r="B305">
        <v>31029335</v>
      </c>
      <c r="C305">
        <v>31029317</v>
      </c>
      <c r="D305">
        <v>29151964</v>
      </c>
      <c r="E305">
        <v>1</v>
      </c>
      <c r="F305">
        <v>1</v>
      </c>
      <c r="G305">
        <v>1</v>
      </c>
      <c r="H305">
        <v>3</v>
      </c>
      <c r="I305" t="s">
        <v>936</v>
      </c>
      <c r="J305" t="s">
        <v>937</v>
      </c>
      <c r="K305" t="s">
        <v>938</v>
      </c>
      <c r="L305">
        <v>1346</v>
      </c>
      <c r="N305">
        <v>1009</v>
      </c>
      <c r="O305" t="s">
        <v>118</v>
      </c>
      <c r="P305" t="s">
        <v>118</v>
      </c>
      <c r="Q305">
        <v>1</v>
      </c>
      <c r="X305">
        <v>12</v>
      </c>
      <c r="Y305">
        <v>9.8000000000000007</v>
      </c>
      <c r="Z305">
        <v>0</v>
      </c>
      <c r="AA305">
        <v>0</v>
      </c>
      <c r="AB305">
        <v>0</v>
      </c>
      <c r="AC305">
        <v>0</v>
      </c>
      <c r="AD305">
        <v>1</v>
      </c>
      <c r="AE305">
        <v>0</v>
      </c>
      <c r="AF305" t="s">
        <v>6</v>
      </c>
      <c r="AG305">
        <v>12</v>
      </c>
      <c r="AH305">
        <v>2</v>
      </c>
      <c r="AI305">
        <v>31029325</v>
      </c>
      <c r="AJ305">
        <v>281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</row>
    <row r="306" spans="1:44">
      <c r="A306">
        <f>ROW(Source!A163)</f>
        <v>163</v>
      </c>
      <c r="B306">
        <v>31029336</v>
      </c>
      <c r="C306">
        <v>31029317</v>
      </c>
      <c r="D306">
        <v>29186569</v>
      </c>
      <c r="E306">
        <v>1</v>
      </c>
      <c r="F306">
        <v>1</v>
      </c>
      <c r="G306">
        <v>1</v>
      </c>
      <c r="H306">
        <v>3</v>
      </c>
      <c r="I306" t="s">
        <v>939</v>
      </c>
      <c r="J306" t="s">
        <v>940</v>
      </c>
      <c r="K306" t="s">
        <v>941</v>
      </c>
      <c r="L306">
        <v>1339</v>
      </c>
      <c r="N306">
        <v>1007</v>
      </c>
      <c r="O306" t="s">
        <v>109</v>
      </c>
      <c r="P306" t="s">
        <v>109</v>
      </c>
      <c r="Q306">
        <v>1</v>
      </c>
      <c r="X306">
        <v>3.1</v>
      </c>
      <c r="Y306">
        <v>458.28</v>
      </c>
      <c r="Z306">
        <v>0</v>
      </c>
      <c r="AA306">
        <v>0</v>
      </c>
      <c r="AB306">
        <v>0</v>
      </c>
      <c r="AC306">
        <v>0</v>
      </c>
      <c r="AD306">
        <v>1</v>
      </c>
      <c r="AE306">
        <v>0</v>
      </c>
      <c r="AF306" t="s">
        <v>6</v>
      </c>
      <c r="AG306">
        <v>3.1</v>
      </c>
      <c r="AH306">
        <v>2</v>
      </c>
      <c r="AI306">
        <v>31029326</v>
      </c>
      <c r="AJ306">
        <v>282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</row>
    <row r="307" spans="1:44">
      <c r="A307">
        <f>ROW(Source!A163)</f>
        <v>163</v>
      </c>
      <c r="B307">
        <v>31029337</v>
      </c>
      <c r="C307">
        <v>31029317</v>
      </c>
      <c r="D307">
        <v>29195171</v>
      </c>
      <c r="E307">
        <v>1</v>
      </c>
      <c r="F307">
        <v>1</v>
      </c>
      <c r="G307">
        <v>1</v>
      </c>
      <c r="H307">
        <v>3</v>
      </c>
      <c r="I307" t="s">
        <v>830</v>
      </c>
      <c r="J307" t="s">
        <v>831</v>
      </c>
      <c r="K307" t="s">
        <v>832</v>
      </c>
      <c r="L307">
        <v>1339</v>
      </c>
      <c r="N307">
        <v>1007</v>
      </c>
      <c r="O307" t="s">
        <v>109</v>
      </c>
      <c r="P307" t="s">
        <v>109</v>
      </c>
      <c r="Q307">
        <v>1</v>
      </c>
      <c r="X307">
        <v>0.01</v>
      </c>
      <c r="Y307">
        <v>2.4500000000000002</v>
      </c>
      <c r="Z307">
        <v>0</v>
      </c>
      <c r="AA307">
        <v>0</v>
      </c>
      <c r="AB307">
        <v>0</v>
      </c>
      <c r="AC307">
        <v>0</v>
      </c>
      <c r="AD307">
        <v>1</v>
      </c>
      <c r="AE307">
        <v>0</v>
      </c>
      <c r="AF307" t="s">
        <v>6</v>
      </c>
      <c r="AG307">
        <v>0.01</v>
      </c>
      <c r="AH307">
        <v>2</v>
      </c>
      <c r="AI307">
        <v>31029327</v>
      </c>
      <c r="AJ307">
        <v>283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</row>
    <row r="308" spans="1:44">
      <c r="A308">
        <f>ROW(Source!A164)</f>
        <v>164</v>
      </c>
      <c r="B308">
        <v>31029346</v>
      </c>
      <c r="C308">
        <v>31029338</v>
      </c>
      <c r="D308">
        <v>29084596</v>
      </c>
      <c r="E308">
        <v>1</v>
      </c>
      <c r="F308">
        <v>1</v>
      </c>
      <c r="G308">
        <v>1</v>
      </c>
      <c r="H308">
        <v>1</v>
      </c>
      <c r="I308" t="s">
        <v>893</v>
      </c>
      <c r="J308" t="s">
        <v>6</v>
      </c>
      <c r="K308" t="s">
        <v>894</v>
      </c>
      <c r="L308">
        <v>1369</v>
      </c>
      <c r="N308">
        <v>1013</v>
      </c>
      <c r="O308" t="s">
        <v>773</v>
      </c>
      <c r="P308" t="s">
        <v>773</v>
      </c>
      <c r="Q308">
        <v>1</v>
      </c>
      <c r="X308">
        <v>11.99</v>
      </c>
      <c r="Y308">
        <v>0</v>
      </c>
      <c r="Z308">
        <v>0</v>
      </c>
      <c r="AA308">
        <v>0</v>
      </c>
      <c r="AB308">
        <v>9.18</v>
      </c>
      <c r="AC308">
        <v>0</v>
      </c>
      <c r="AD308">
        <v>1</v>
      </c>
      <c r="AE308">
        <v>1</v>
      </c>
      <c r="AF308" t="s">
        <v>127</v>
      </c>
      <c r="AG308">
        <v>15.856774999999997</v>
      </c>
      <c r="AH308">
        <v>2</v>
      </c>
      <c r="AI308">
        <v>31029339</v>
      </c>
      <c r="AJ308">
        <v>284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</row>
    <row r="309" spans="1:44">
      <c r="A309">
        <f>ROW(Source!A164)</f>
        <v>164</v>
      </c>
      <c r="B309">
        <v>31029347</v>
      </c>
      <c r="C309">
        <v>31029338</v>
      </c>
      <c r="D309">
        <v>29084573</v>
      </c>
      <c r="E309">
        <v>1</v>
      </c>
      <c r="F309">
        <v>1</v>
      </c>
      <c r="G309">
        <v>1</v>
      </c>
      <c r="H309">
        <v>1</v>
      </c>
      <c r="I309" t="s">
        <v>774</v>
      </c>
      <c r="J309" t="s">
        <v>6</v>
      </c>
      <c r="K309" t="s">
        <v>775</v>
      </c>
      <c r="L309">
        <v>608254</v>
      </c>
      <c r="N309">
        <v>1013</v>
      </c>
      <c r="O309" t="s">
        <v>776</v>
      </c>
      <c r="P309" t="s">
        <v>776</v>
      </c>
      <c r="Q309">
        <v>1</v>
      </c>
      <c r="X309">
        <v>0.01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1</v>
      </c>
      <c r="AE309">
        <v>2</v>
      </c>
      <c r="AF309" t="s">
        <v>126</v>
      </c>
      <c r="AG309">
        <v>1.4374999999999999E-2</v>
      </c>
      <c r="AH309">
        <v>2</v>
      </c>
      <c r="AI309">
        <v>31029340</v>
      </c>
      <c r="AJ309">
        <v>285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</row>
    <row r="310" spans="1:44">
      <c r="A310">
        <f>ROW(Source!A164)</f>
        <v>164</v>
      </c>
      <c r="B310">
        <v>31029348</v>
      </c>
      <c r="C310">
        <v>31029338</v>
      </c>
      <c r="D310">
        <v>29147732</v>
      </c>
      <c r="E310">
        <v>1</v>
      </c>
      <c r="F310">
        <v>1</v>
      </c>
      <c r="G310">
        <v>1</v>
      </c>
      <c r="H310">
        <v>2</v>
      </c>
      <c r="I310" t="s">
        <v>846</v>
      </c>
      <c r="J310" t="s">
        <v>847</v>
      </c>
      <c r="K310" t="s">
        <v>848</v>
      </c>
      <c r="L310">
        <v>1368</v>
      </c>
      <c r="N310">
        <v>1011</v>
      </c>
      <c r="O310" t="s">
        <v>780</v>
      </c>
      <c r="P310" t="s">
        <v>780</v>
      </c>
      <c r="Q310">
        <v>1</v>
      </c>
      <c r="X310">
        <v>0.01</v>
      </c>
      <c r="Y310">
        <v>0</v>
      </c>
      <c r="Z310">
        <v>30.85</v>
      </c>
      <c r="AA310">
        <v>13.03</v>
      </c>
      <c r="AB310">
        <v>0</v>
      </c>
      <c r="AC310">
        <v>0</v>
      </c>
      <c r="AD310">
        <v>1</v>
      </c>
      <c r="AE310">
        <v>0</v>
      </c>
      <c r="AF310" t="s">
        <v>126</v>
      </c>
      <c r="AG310">
        <v>1.4374999999999999E-2</v>
      </c>
      <c r="AH310">
        <v>2</v>
      </c>
      <c r="AI310">
        <v>31029341</v>
      </c>
      <c r="AJ310">
        <v>286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</row>
    <row r="311" spans="1:44">
      <c r="A311">
        <f>ROW(Source!A164)</f>
        <v>164</v>
      </c>
      <c r="B311">
        <v>31029349</v>
      </c>
      <c r="C311">
        <v>31029338</v>
      </c>
      <c r="D311">
        <v>29149520</v>
      </c>
      <c r="E311">
        <v>1</v>
      </c>
      <c r="F311">
        <v>1</v>
      </c>
      <c r="G311">
        <v>1</v>
      </c>
      <c r="H311">
        <v>2</v>
      </c>
      <c r="I311" t="s">
        <v>790</v>
      </c>
      <c r="J311" t="s">
        <v>791</v>
      </c>
      <c r="K311" t="s">
        <v>792</v>
      </c>
      <c r="L311">
        <v>1368</v>
      </c>
      <c r="N311">
        <v>1011</v>
      </c>
      <c r="O311" t="s">
        <v>780</v>
      </c>
      <c r="P311" t="s">
        <v>780</v>
      </c>
      <c r="Q311">
        <v>1</v>
      </c>
      <c r="X311">
        <v>0.03</v>
      </c>
      <c r="Y311">
        <v>0</v>
      </c>
      <c r="Z311">
        <v>91.62</v>
      </c>
      <c r="AA311">
        <v>0</v>
      </c>
      <c r="AB311">
        <v>0</v>
      </c>
      <c r="AC311">
        <v>0</v>
      </c>
      <c r="AD311">
        <v>1</v>
      </c>
      <c r="AE311">
        <v>0</v>
      </c>
      <c r="AF311" t="s">
        <v>126</v>
      </c>
      <c r="AG311">
        <v>4.3124999999999997E-2</v>
      </c>
      <c r="AH311">
        <v>2</v>
      </c>
      <c r="AI311">
        <v>31029342</v>
      </c>
      <c r="AJ311">
        <v>287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</row>
    <row r="312" spans="1:44">
      <c r="A312">
        <f>ROW(Source!A164)</f>
        <v>164</v>
      </c>
      <c r="B312">
        <v>31029350</v>
      </c>
      <c r="C312">
        <v>31029338</v>
      </c>
      <c r="D312">
        <v>29151861</v>
      </c>
      <c r="E312">
        <v>1</v>
      </c>
      <c r="F312">
        <v>1</v>
      </c>
      <c r="G312">
        <v>1</v>
      </c>
      <c r="H312">
        <v>3</v>
      </c>
      <c r="I312" t="s">
        <v>835</v>
      </c>
      <c r="J312" t="s">
        <v>836</v>
      </c>
      <c r="K312" t="s">
        <v>837</v>
      </c>
      <c r="L312">
        <v>1327</v>
      </c>
      <c r="N312">
        <v>1005</v>
      </c>
      <c r="O312" t="s">
        <v>284</v>
      </c>
      <c r="P312" t="s">
        <v>284</v>
      </c>
      <c r="Q312">
        <v>1</v>
      </c>
      <c r="X312">
        <v>4.4000000000000004</v>
      </c>
      <c r="Y312">
        <v>73.39</v>
      </c>
      <c r="Z312">
        <v>0</v>
      </c>
      <c r="AA312">
        <v>0</v>
      </c>
      <c r="AB312">
        <v>0</v>
      </c>
      <c r="AC312">
        <v>0</v>
      </c>
      <c r="AD312">
        <v>1</v>
      </c>
      <c r="AE312">
        <v>0</v>
      </c>
      <c r="AF312" t="s">
        <v>6</v>
      </c>
      <c r="AG312">
        <v>4.4000000000000004</v>
      </c>
      <c r="AH312">
        <v>2</v>
      </c>
      <c r="AI312">
        <v>31029343</v>
      </c>
      <c r="AJ312">
        <v>288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</row>
    <row r="313" spans="1:44">
      <c r="A313">
        <f>ROW(Source!A164)</f>
        <v>164</v>
      </c>
      <c r="B313">
        <v>31029351</v>
      </c>
      <c r="C313">
        <v>31029338</v>
      </c>
      <c r="D313">
        <v>29151929</v>
      </c>
      <c r="E313">
        <v>1</v>
      </c>
      <c r="F313">
        <v>1</v>
      </c>
      <c r="G313">
        <v>1</v>
      </c>
      <c r="H313">
        <v>3</v>
      </c>
      <c r="I313" t="s">
        <v>914</v>
      </c>
      <c r="J313" t="s">
        <v>915</v>
      </c>
      <c r="K313" t="s">
        <v>916</v>
      </c>
      <c r="L313">
        <v>1348</v>
      </c>
      <c r="N313">
        <v>1009</v>
      </c>
      <c r="O313" t="s">
        <v>137</v>
      </c>
      <c r="P313" t="s">
        <v>137</v>
      </c>
      <c r="Q313">
        <v>1000</v>
      </c>
      <c r="X313">
        <v>2.9000000000000001E-2</v>
      </c>
      <c r="Y313">
        <v>3151.95</v>
      </c>
      <c r="Z313">
        <v>0</v>
      </c>
      <c r="AA313">
        <v>0</v>
      </c>
      <c r="AB313">
        <v>0</v>
      </c>
      <c r="AC313">
        <v>0</v>
      </c>
      <c r="AD313">
        <v>1</v>
      </c>
      <c r="AE313">
        <v>0</v>
      </c>
      <c r="AF313" t="s">
        <v>6</v>
      </c>
      <c r="AG313">
        <v>2.9000000000000001E-2</v>
      </c>
      <c r="AH313">
        <v>2</v>
      </c>
      <c r="AI313">
        <v>31029344</v>
      </c>
      <c r="AJ313">
        <v>289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</row>
    <row r="314" spans="1:44">
      <c r="A314">
        <f>ROW(Source!A164)</f>
        <v>164</v>
      </c>
      <c r="B314">
        <v>31029352</v>
      </c>
      <c r="C314">
        <v>31029338</v>
      </c>
      <c r="D314">
        <v>29152014</v>
      </c>
      <c r="E314">
        <v>1</v>
      </c>
      <c r="F314">
        <v>1</v>
      </c>
      <c r="G314">
        <v>1</v>
      </c>
      <c r="H314">
        <v>3</v>
      </c>
      <c r="I314" t="s">
        <v>838</v>
      </c>
      <c r="J314" t="s">
        <v>839</v>
      </c>
      <c r="K314" t="s">
        <v>840</v>
      </c>
      <c r="L314">
        <v>1346</v>
      </c>
      <c r="N314">
        <v>1009</v>
      </c>
      <c r="O314" t="s">
        <v>118</v>
      </c>
      <c r="P314" t="s">
        <v>118</v>
      </c>
      <c r="Q314">
        <v>1</v>
      </c>
      <c r="X314">
        <v>0.15</v>
      </c>
      <c r="Y314">
        <v>1.94</v>
      </c>
      <c r="Z314">
        <v>0</v>
      </c>
      <c r="AA314">
        <v>0</v>
      </c>
      <c r="AB314">
        <v>0</v>
      </c>
      <c r="AC314">
        <v>0</v>
      </c>
      <c r="AD314">
        <v>1</v>
      </c>
      <c r="AE314">
        <v>0</v>
      </c>
      <c r="AF314" t="s">
        <v>6</v>
      </c>
      <c r="AG314">
        <v>0.15</v>
      </c>
      <c r="AH314">
        <v>2</v>
      </c>
      <c r="AI314">
        <v>31029345</v>
      </c>
      <c r="AJ314">
        <v>290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</row>
    <row r="315" spans="1:44">
      <c r="A315">
        <f>ROW(Source!A165)</f>
        <v>165</v>
      </c>
      <c r="B315">
        <v>31029364</v>
      </c>
      <c r="C315">
        <v>31029353</v>
      </c>
      <c r="D315">
        <v>29084594</v>
      </c>
      <c r="E315">
        <v>1</v>
      </c>
      <c r="F315">
        <v>1</v>
      </c>
      <c r="G315">
        <v>1</v>
      </c>
      <c r="H315">
        <v>1</v>
      </c>
      <c r="I315" t="s">
        <v>922</v>
      </c>
      <c r="J315" t="s">
        <v>6</v>
      </c>
      <c r="K315" t="s">
        <v>923</v>
      </c>
      <c r="L315">
        <v>1369</v>
      </c>
      <c r="N315">
        <v>1013</v>
      </c>
      <c r="O315" t="s">
        <v>773</v>
      </c>
      <c r="P315" t="s">
        <v>773</v>
      </c>
      <c r="Q315">
        <v>1</v>
      </c>
      <c r="X315">
        <v>159.66999999999999</v>
      </c>
      <c r="Y315">
        <v>0</v>
      </c>
      <c r="Z315">
        <v>0</v>
      </c>
      <c r="AA315">
        <v>0</v>
      </c>
      <c r="AB315">
        <v>8.86</v>
      </c>
      <c r="AC315">
        <v>0</v>
      </c>
      <c r="AD315">
        <v>1</v>
      </c>
      <c r="AE315">
        <v>1</v>
      </c>
      <c r="AF315" t="s">
        <v>127</v>
      </c>
      <c r="AG315">
        <v>211.16357499999995</v>
      </c>
      <c r="AH315">
        <v>2</v>
      </c>
      <c r="AI315">
        <v>31029354</v>
      </c>
      <c r="AJ315">
        <v>291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</row>
    <row r="316" spans="1:44">
      <c r="A316">
        <f>ROW(Source!A165)</f>
        <v>165</v>
      </c>
      <c r="B316">
        <v>31029365</v>
      </c>
      <c r="C316">
        <v>31029353</v>
      </c>
      <c r="D316">
        <v>29084573</v>
      </c>
      <c r="E316">
        <v>1</v>
      </c>
      <c r="F316">
        <v>1</v>
      </c>
      <c r="G316">
        <v>1</v>
      </c>
      <c r="H316">
        <v>1</v>
      </c>
      <c r="I316" t="s">
        <v>774</v>
      </c>
      <c r="J316" t="s">
        <v>6</v>
      </c>
      <c r="K316" t="s">
        <v>775</v>
      </c>
      <c r="L316">
        <v>608254</v>
      </c>
      <c r="N316">
        <v>1013</v>
      </c>
      <c r="O316" t="s">
        <v>776</v>
      </c>
      <c r="P316" t="s">
        <v>776</v>
      </c>
      <c r="Q316">
        <v>1</v>
      </c>
      <c r="X316">
        <v>1.65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1</v>
      </c>
      <c r="AE316">
        <v>2</v>
      </c>
      <c r="AF316" t="s">
        <v>126</v>
      </c>
      <c r="AG316">
        <v>2.3718749999999997</v>
      </c>
      <c r="AH316">
        <v>2</v>
      </c>
      <c r="AI316">
        <v>31029355</v>
      </c>
      <c r="AJ316">
        <v>292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</row>
    <row r="317" spans="1:44">
      <c r="A317">
        <f>ROW(Source!A165)</f>
        <v>165</v>
      </c>
      <c r="B317">
        <v>31029366</v>
      </c>
      <c r="C317">
        <v>31029353</v>
      </c>
      <c r="D317">
        <v>29147673</v>
      </c>
      <c r="E317">
        <v>1</v>
      </c>
      <c r="F317">
        <v>1</v>
      </c>
      <c r="G317">
        <v>1</v>
      </c>
      <c r="H317">
        <v>2</v>
      </c>
      <c r="I317" t="s">
        <v>924</v>
      </c>
      <c r="J317" t="s">
        <v>925</v>
      </c>
      <c r="K317" t="s">
        <v>926</v>
      </c>
      <c r="L317">
        <v>1368</v>
      </c>
      <c r="N317">
        <v>1011</v>
      </c>
      <c r="O317" t="s">
        <v>780</v>
      </c>
      <c r="P317" t="s">
        <v>780</v>
      </c>
      <c r="Q317">
        <v>1</v>
      </c>
      <c r="X317">
        <v>0.08</v>
      </c>
      <c r="Y317">
        <v>0</v>
      </c>
      <c r="Z317">
        <v>97.95</v>
      </c>
      <c r="AA317">
        <v>9.7100000000000009</v>
      </c>
      <c r="AB317">
        <v>0</v>
      </c>
      <c r="AC317">
        <v>0</v>
      </c>
      <c r="AD317">
        <v>1</v>
      </c>
      <c r="AE317">
        <v>0</v>
      </c>
      <c r="AF317" t="s">
        <v>126</v>
      </c>
      <c r="AG317">
        <v>0.11499999999999999</v>
      </c>
      <c r="AH317">
        <v>2</v>
      </c>
      <c r="AI317">
        <v>31029356</v>
      </c>
      <c r="AJ317">
        <v>293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</row>
    <row r="318" spans="1:44">
      <c r="A318">
        <f>ROW(Source!A165)</f>
        <v>165</v>
      </c>
      <c r="B318">
        <v>31029367</v>
      </c>
      <c r="C318">
        <v>31029353</v>
      </c>
      <c r="D318">
        <v>29147732</v>
      </c>
      <c r="E318">
        <v>1</v>
      </c>
      <c r="F318">
        <v>1</v>
      </c>
      <c r="G318">
        <v>1</v>
      </c>
      <c r="H318">
        <v>2</v>
      </c>
      <c r="I318" t="s">
        <v>846</v>
      </c>
      <c r="J318" t="s">
        <v>847</v>
      </c>
      <c r="K318" t="s">
        <v>848</v>
      </c>
      <c r="L318">
        <v>1368</v>
      </c>
      <c r="N318">
        <v>1011</v>
      </c>
      <c r="O318" t="s">
        <v>780</v>
      </c>
      <c r="P318" t="s">
        <v>780</v>
      </c>
      <c r="Q318">
        <v>1</v>
      </c>
      <c r="X318">
        <v>0.27</v>
      </c>
      <c r="Y318">
        <v>0</v>
      </c>
      <c r="Z318">
        <v>30.85</v>
      </c>
      <c r="AA318">
        <v>13.03</v>
      </c>
      <c r="AB318">
        <v>0</v>
      </c>
      <c r="AC318">
        <v>0</v>
      </c>
      <c r="AD318">
        <v>1</v>
      </c>
      <c r="AE318">
        <v>0</v>
      </c>
      <c r="AF318" t="s">
        <v>126</v>
      </c>
      <c r="AG318">
        <v>0.388125</v>
      </c>
      <c r="AH318">
        <v>2</v>
      </c>
      <c r="AI318">
        <v>31029357</v>
      </c>
      <c r="AJ318">
        <v>294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</row>
    <row r="319" spans="1:44">
      <c r="A319">
        <f>ROW(Source!A165)</f>
        <v>165</v>
      </c>
      <c r="B319">
        <v>31029368</v>
      </c>
      <c r="C319">
        <v>31029353</v>
      </c>
      <c r="D319">
        <v>29148135</v>
      </c>
      <c r="E319">
        <v>1</v>
      </c>
      <c r="F319">
        <v>1</v>
      </c>
      <c r="G319">
        <v>1</v>
      </c>
      <c r="H319">
        <v>2</v>
      </c>
      <c r="I319" t="s">
        <v>948</v>
      </c>
      <c r="J319" t="s">
        <v>949</v>
      </c>
      <c r="K319" t="s">
        <v>950</v>
      </c>
      <c r="L319">
        <v>1368</v>
      </c>
      <c r="N319">
        <v>1011</v>
      </c>
      <c r="O319" t="s">
        <v>780</v>
      </c>
      <c r="P319" t="s">
        <v>780</v>
      </c>
      <c r="Q319">
        <v>1</v>
      </c>
      <c r="X319">
        <v>1.3</v>
      </c>
      <c r="Y319">
        <v>0</v>
      </c>
      <c r="Z319">
        <v>12.04</v>
      </c>
      <c r="AA319">
        <v>9.7100000000000009</v>
      </c>
      <c r="AB319">
        <v>0</v>
      </c>
      <c r="AC319">
        <v>0</v>
      </c>
      <c r="AD319">
        <v>1</v>
      </c>
      <c r="AE319">
        <v>0</v>
      </c>
      <c r="AF319" t="s">
        <v>126</v>
      </c>
      <c r="AG319">
        <v>1.8687499999999999</v>
      </c>
      <c r="AH319">
        <v>2</v>
      </c>
      <c r="AI319">
        <v>31029358</v>
      </c>
      <c r="AJ319">
        <v>295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</row>
    <row r="320" spans="1:44">
      <c r="A320">
        <f>ROW(Source!A165)</f>
        <v>165</v>
      </c>
      <c r="B320">
        <v>31029369</v>
      </c>
      <c r="C320">
        <v>31029353</v>
      </c>
      <c r="D320">
        <v>29150615</v>
      </c>
      <c r="E320">
        <v>1</v>
      </c>
      <c r="F320">
        <v>1</v>
      </c>
      <c r="G320">
        <v>1</v>
      </c>
      <c r="H320">
        <v>3</v>
      </c>
      <c r="I320" t="s">
        <v>951</v>
      </c>
      <c r="J320" t="s">
        <v>952</v>
      </c>
      <c r="K320" t="s">
        <v>953</v>
      </c>
      <c r="L320">
        <v>1327</v>
      </c>
      <c r="N320">
        <v>1005</v>
      </c>
      <c r="O320" t="s">
        <v>284</v>
      </c>
      <c r="P320" t="s">
        <v>284</v>
      </c>
      <c r="Q320">
        <v>1</v>
      </c>
      <c r="X320">
        <v>100</v>
      </c>
      <c r="Y320">
        <v>72.97</v>
      </c>
      <c r="Z320">
        <v>0</v>
      </c>
      <c r="AA320">
        <v>0</v>
      </c>
      <c r="AB320">
        <v>0</v>
      </c>
      <c r="AC320">
        <v>0</v>
      </c>
      <c r="AD320">
        <v>1</v>
      </c>
      <c r="AE320">
        <v>0</v>
      </c>
      <c r="AF320" t="s">
        <v>6</v>
      </c>
      <c r="AG320">
        <v>100</v>
      </c>
      <c r="AH320">
        <v>2</v>
      </c>
      <c r="AI320">
        <v>31029359</v>
      </c>
      <c r="AJ320">
        <v>296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</row>
    <row r="321" spans="1:44">
      <c r="A321">
        <f>ROW(Source!A165)</f>
        <v>165</v>
      </c>
      <c r="B321">
        <v>31029370</v>
      </c>
      <c r="C321">
        <v>31029353</v>
      </c>
      <c r="D321">
        <v>29152014</v>
      </c>
      <c r="E321">
        <v>1</v>
      </c>
      <c r="F321">
        <v>1</v>
      </c>
      <c r="G321">
        <v>1</v>
      </c>
      <c r="H321">
        <v>3</v>
      </c>
      <c r="I321" t="s">
        <v>838</v>
      </c>
      <c r="J321" t="s">
        <v>839</v>
      </c>
      <c r="K321" t="s">
        <v>840</v>
      </c>
      <c r="L321">
        <v>1346</v>
      </c>
      <c r="N321">
        <v>1009</v>
      </c>
      <c r="O321" t="s">
        <v>118</v>
      </c>
      <c r="P321" t="s">
        <v>118</v>
      </c>
      <c r="Q321">
        <v>1</v>
      </c>
      <c r="X321">
        <v>0.5</v>
      </c>
      <c r="Y321">
        <v>1.94</v>
      </c>
      <c r="Z321">
        <v>0</v>
      </c>
      <c r="AA321">
        <v>0</v>
      </c>
      <c r="AB321">
        <v>0</v>
      </c>
      <c r="AC321">
        <v>0</v>
      </c>
      <c r="AD321">
        <v>1</v>
      </c>
      <c r="AE321">
        <v>0</v>
      </c>
      <c r="AF321" t="s">
        <v>6</v>
      </c>
      <c r="AG321">
        <v>0.5</v>
      </c>
      <c r="AH321">
        <v>2</v>
      </c>
      <c r="AI321">
        <v>31029360</v>
      </c>
      <c r="AJ321">
        <v>297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</row>
    <row r="322" spans="1:44">
      <c r="A322">
        <f>ROW(Source!A165)</f>
        <v>165</v>
      </c>
      <c r="B322">
        <v>31029371</v>
      </c>
      <c r="C322">
        <v>31029353</v>
      </c>
      <c r="D322">
        <v>29152032</v>
      </c>
      <c r="E322">
        <v>1</v>
      </c>
      <c r="F322">
        <v>1</v>
      </c>
      <c r="G322">
        <v>1</v>
      </c>
      <c r="H322">
        <v>3</v>
      </c>
      <c r="I322" t="s">
        <v>954</v>
      </c>
      <c r="J322" t="s">
        <v>955</v>
      </c>
      <c r="K322" t="s">
        <v>956</v>
      </c>
      <c r="L322">
        <v>1348</v>
      </c>
      <c r="N322">
        <v>1009</v>
      </c>
      <c r="O322" t="s">
        <v>137</v>
      </c>
      <c r="P322" t="s">
        <v>137</v>
      </c>
      <c r="Q322">
        <v>1000</v>
      </c>
      <c r="X322">
        <v>0.375</v>
      </c>
      <c r="Y322">
        <v>4593.7299999999996</v>
      </c>
      <c r="Z322">
        <v>0</v>
      </c>
      <c r="AA322">
        <v>0</v>
      </c>
      <c r="AB322">
        <v>0</v>
      </c>
      <c r="AC322">
        <v>0</v>
      </c>
      <c r="AD322">
        <v>1</v>
      </c>
      <c r="AE322">
        <v>0</v>
      </c>
      <c r="AF322" t="s">
        <v>6</v>
      </c>
      <c r="AG322">
        <v>0.375</v>
      </c>
      <c r="AH322">
        <v>2</v>
      </c>
      <c r="AI322">
        <v>31029361</v>
      </c>
      <c r="AJ322">
        <v>298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</row>
    <row r="323" spans="1:44">
      <c r="A323">
        <f>ROW(Source!A165)</f>
        <v>165</v>
      </c>
      <c r="B323">
        <v>31029372</v>
      </c>
      <c r="C323">
        <v>31029353</v>
      </c>
      <c r="D323">
        <v>29186553</v>
      </c>
      <c r="E323">
        <v>1</v>
      </c>
      <c r="F323">
        <v>1</v>
      </c>
      <c r="G323">
        <v>1</v>
      </c>
      <c r="H323">
        <v>3</v>
      </c>
      <c r="I323" t="s">
        <v>957</v>
      </c>
      <c r="J323" t="s">
        <v>958</v>
      </c>
      <c r="K323" t="s">
        <v>959</v>
      </c>
      <c r="L323">
        <v>1348</v>
      </c>
      <c r="N323">
        <v>1009</v>
      </c>
      <c r="O323" t="s">
        <v>137</v>
      </c>
      <c r="P323" t="s">
        <v>137</v>
      </c>
      <c r="Q323">
        <v>1000</v>
      </c>
      <c r="X323">
        <v>0.05</v>
      </c>
      <c r="Y323">
        <v>9654.98</v>
      </c>
      <c r="Z323">
        <v>0</v>
      </c>
      <c r="AA323">
        <v>0</v>
      </c>
      <c r="AB323">
        <v>0</v>
      </c>
      <c r="AC323">
        <v>0</v>
      </c>
      <c r="AD323">
        <v>1</v>
      </c>
      <c r="AE323">
        <v>0</v>
      </c>
      <c r="AF323" t="s">
        <v>6</v>
      </c>
      <c r="AG323">
        <v>0.05</v>
      </c>
      <c r="AH323">
        <v>2</v>
      </c>
      <c r="AI323">
        <v>31029362</v>
      </c>
      <c r="AJ323">
        <v>299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</row>
    <row r="324" spans="1:44">
      <c r="A324">
        <f>ROW(Source!A165)</f>
        <v>165</v>
      </c>
      <c r="B324">
        <v>31029373</v>
      </c>
      <c r="C324">
        <v>31029353</v>
      </c>
      <c r="D324">
        <v>29195171</v>
      </c>
      <c r="E324">
        <v>1</v>
      </c>
      <c r="F324">
        <v>1</v>
      </c>
      <c r="G324">
        <v>1</v>
      </c>
      <c r="H324">
        <v>3</v>
      </c>
      <c r="I324" t="s">
        <v>830</v>
      </c>
      <c r="J324" t="s">
        <v>831</v>
      </c>
      <c r="K324" t="s">
        <v>832</v>
      </c>
      <c r="L324">
        <v>1339</v>
      </c>
      <c r="N324">
        <v>1007</v>
      </c>
      <c r="O324" t="s">
        <v>109</v>
      </c>
      <c r="P324" t="s">
        <v>109</v>
      </c>
      <c r="Q324">
        <v>1</v>
      </c>
      <c r="X324">
        <v>0.93</v>
      </c>
      <c r="Y324">
        <v>2.4500000000000002</v>
      </c>
      <c r="Z324">
        <v>0</v>
      </c>
      <c r="AA324">
        <v>0</v>
      </c>
      <c r="AB324">
        <v>0</v>
      </c>
      <c r="AC324">
        <v>0</v>
      </c>
      <c r="AD324">
        <v>1</v>
      </c>
      <c r="AE324">
        <v>0</v>
      </c>
      <c r="AF324" t="s">
        <v>6</v>
      </c>
      <c r="AG324">
        <v>0.93</v>
      </c>
      <c r="AH324">
        <v>2</v>
      </c>
      <c r="AI324">
        <v>31029363</v>
      </c>
      <c r="AJ324">
        <v>300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</row>
    <row r="325" spans="1:44">
      <c r="A325">
        <f>ROW(Source!A166)</f>
        <v>166</v>
      </c>
      <c r="B325">
        <v>31029383</v>
      </c>
      <c r="C325">
        <v>31029374</v>
      </c>
      <c r="D325">
        <v>29084579</v>
      </c>
      <c r="E325">
        <v>1</v>
      </c>
      <c r="F325">
        <v>1</v>
      </c>
      <c r="G325">
        <v>1</v>
      </c>
      <c r="H325">
        <v>1</v>
      </c>
      <c r="I325" t="s">
        <v>849</v>
      </c>
      <c r="J325" t="s">
        <v>6</v>
      </c>
      <c r="K325" t="s">
        <v>850</v>
      </c>
      <c r="L325">
        <v>1369</v>
      </c>
      <c r="N325">
        <v>1013</v>
      </c>
      <c r="O325" t="s">
        <v>773</v>
      </c>
      <c r="P325" t="s">
        <v>773</v>
      </c>
      <c r="Q325">
        <v>1</v>
      </c>
      <c r="X325">
        <v>68.75</v>
      </c>
      <c r="Y325">
        <v>0</v>
      </c>
      <c r="Z325">
        <v>0</v>
      </c>
      <c r="AA325">
        <v>0</v>
      </c>
      <c r="AB325">
        <v>9.2899999999999991</v>
      </c>
      <c r="AC325">
        <v>0</v>
      </c>
      <c r="AD325">
        <v>1</v>
      </c>
      <c r="AE325">
        <v>1</v>
      </c>
      <c r="AF325" t="s">
        <v>127</v>
      </c>
      <c r="AG325">
        <v>90.921875</v>
      </c>
      <c r="AH325">
        <v>2</v>
      </c>
      <c r="AI325">
        <v>31029375</v>
      </c>
      <c r="AJ325">
        <v>301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</row>
    <row r="326" spans="1:44">
      <c r="A326">
        <f>ROW(Source!A166)</f>
        <v>166</v>
      </c>
      <c r="B326">
        <v>31029384</v>
      </c>
      <c r="C326">
        <v>31029374</v>
      </c>
      <c r="D326">
        <v>29084573</v>
      </c>
      <c r="E326">
        <v>1</v>
      </c>
      <c r="F326">
        <v>1</v>
      </c>
      <c r="G326">
        <v>1</v>
      </c>
      <c r="H326">
        <v>1</v>
      </c>
      <c r="I326" t="s">
        <v>774</v>
      </c>
      <c r="J326" t="s">
        <v>6</v>
      </c>
      <c r="K326" t="s">
        <v>775</v>
      </c>
      <c r="L326">
        <v>608254</v>
      </c>
      <c r="N326">
        <v>1013</v>
      </c>
      <c r="O326" t="s">
        <v>776</v>
      </c>
      <c r="P326" t="s">
        <v>776</v>
      </c>
      <c r="Q326">
        <v>1</v>
      </c>
      <c r="X326">
        <v>0.03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1</v>
      </c>
      <c r="AE326">
        <v>2</v>
      </c>
      <c r="AF326" t="s">
        <v>126</v>
      </c>
      <c r="AG326">
        <v>4.3124999999999997E-2</v>
      </c>
      <c r="AH326">
        <v>2</v>
      </c>
      <c r="AI326">
        <v>31029376</v>
      </c>
      <c r="AJ326">
        <v>302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</row>
    <row r="327" spans="1:44">
      <c r="A327">
        <f>ROW(Source!A166)</f>
        <v>166</v>
      </c>
      <c r="B327">
        <v>31029385</v>
      </c>
      <c r="C327">
        <v>31029374</v>
      </c>
      <c r="D327">
        <v>29147732</v>
      </c>
      <c r="E327">
        <v>1</v>
      </c>
      <c r="F327">
        <v>1</v>
      </c>
      <c r="G327">
        <v>1</v>
      </c>
      <c r="H327">
        <v>2</v>
      </c>
      <c r="I327" t="s">
        <v>846</v>
      </c>
      <c r="J327" t="s">
        <v>847</v>
      </c>
      <c r="K327" t="s">
        <v>848</v>
      </c>
      <c r="L327">
        <v>1368</v>
      </c>
      <c r="N327">
        <v>1011</v>
      </c>
      <c r="O327" t="s">
        <v>780</v>
      </c>
      <c r="P327" t="s">
        <v>780</v>
      </c>
      <c r="Q327">
        <v>1</v>
      </c>
      <c r="X327">
        <v>0.03</v>
      </c>
      <c r="Y327">
        <v>0</v>
      </c>
      <c r="Z327">
        <v>30.85</v>
      </c>
      <c r="AA327">
        <v>13.03</v>
      </c>
      <c r="AB327">
        <v>0</v>
      </c>
      <c r="AC327">
        <v>0</v>
      </c>
      <c r="AD327">
        <v>1</v>
      </c>
      <c r="AE327">
        <v>0</v>
      </c>
      <c r="AF327" t="s">
        <v>126</v>
      </c>
      <c r="AG327">
        <v>4.3124999999999997E-2</v>
      </c>
      <c r="AH327">
        <v>2</v>
      </c>
      <c r="AI327">
        <v>31029377</v>
      </c>
      <c r="AJ327">
        <v>303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</row>
    <row r="328" spans="1:44">
      <c r="A328">
        <f>ROW(Source!A166)</f>
        <v>166</v>
      </c>
      <c r="B328">
        <v>31029386</v>
      </c>
      <c r="C328">
        <v>31029374</v>
      </c>
      <c r="D328">
        <v>29149520</v>
      </c>
      <c r="E328">
        <v>1</v>
      </c>
      <c r="F328">
        <v>1</v>
      </c>
      <c r="G328">
        <v>1</v>
      </c>
      <c r="H328">
        <v>2</v>
      </c>
      <c r="I328" t="s">
        <v>790</v>
      </c>
      <c r="J328" t="s">
        <v>791</v>
      </c>
      <c r="K328" t="s">
        <v>792</v>
      </c>
      <c r="L328">
        <v>1368</v>
      </c>
      <c r="N328">
        <v>1011</v>
      </c>
      <c r="O328" t="s">
        <v>780</v>
      </c>
      <c r="P328" t="s">
        <v>780</v>
      </c>
      <c r="Q328">
        <v>1</v>
      </c>
      <c r="X328">
        <v>0.2</v>
      </c>
      <c r="Y328">
        <v>0</v>
      </c>
      <c r="Z328">
        <v>91.62</v>
      </c>
      <c r="AA328">
        <v>0</v>
      </c>
      <c r="AB328">
        <v>0</v>
      </c>
      <c r="AC328">
        <v>0</v>
      </c>
      <c r="AD328">
        <v>1</v>
      </c>
      <c r="AE328">
        <v>0</v>
      </c>
      <c r="AF328" t="s">
        <v>126</v>
      </c>
      <c r="AG328">
        <v>0.28749999999999998</v>
      </c>
      <c r="AH328">
        <v>2</v>
      </c>
      <c r="AI328">
        <v>31029378</v>
      </c>
      <c r="AJ328">
        <v>304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</row>
    <row r="329" spans="1:44">
      <c r="A329">
        <f>ROW(Source!A166)</f>
        <v>166</v>
      </c>
      <c r="B329">
        <v>31029387</v>
      </c>
      <c r="C329">
        <v>31029374</v>
      </c>
      <c r="D329">
        <v>29151861</v>
      </c>
      <c r="E329">
        <v>1</v>
      </c>
      <c r="F329">
        <v>1</v>
      </c>
      <c r="G329">
        <v>1</v>
      </c>
      <c r="H329">
        <v>3</v>
      </c>
      <c r="I329" t="s">
        <v>835</v>
      </c>
      <c r="J329" t="s">
        <v>836</v>
      </c>
      <c r="K329" t="s">
        <v>837</v>
      </c>
      <c r="L329">
        <v>1327</v>
      </c>
      <c r="N329">
        <v>1005</v>
      </c>
      <c r="O329" t="s">
        <v>284</v>
      </c>
      <c r="P329" t="s">
        <v>284</v>
      </c>
      <c r="Q329">
        <v>1</v>
      </c>
      <c r="X329">
        <v>0.88</v>
      </c>
      <c r="Y329">
        <v>73.39</v>
      </c>
      <c r="Z329">
        <v>0</v>
      </c>
      <c r="AA329">
        <v>0</v>
      </c>
      <c r="AB329">
        <v>0</v>
      </c>
      <c r="AC329">
        <v>0</v>
      </c>
      <c r="AD329">
        <v>1</v>
      </c>
      <c r="AE329">
        <v>0</v>
      </c>
      <c r="AF329" t="s">
        <v>6</v>
      </c>
      <c r="AG329">
        <v>0.88</v>
      </c>
      <c r="AH329">
        <v>2</v>
      </c>
      <c r="AI329">
        <v>31029379</v>
      </c>
      <c r="AJ329">
        <v>305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</row>
    <row r="330" spans="1:44">
      <c r="A330">
        <f>ROW(Source!A166)</f>
        <v>166</v>
      </c>
      <c r="B330">
        <v>31029388</v>
      </c>
      <c r="C330">
        <v>31029374</v>
      </c>
      <c r="D330">
        <v>29151971</v>
      </c>
      <c r="E330">
        <v>1</v>
      </c>
      <c r="F330">
        <v>1</v>
      </c>
      <c r="G330">
        <v>1</v>
      </c>
      <c r="H330">
        <v>3</v>
      </c>
      <c r="I330" t="s">
        <v>942</v>
      </c>
      <c r="J330" t="s">
        <v>943</v>
      </c>
      <c r="K330" t="s">
        <v>944</v>
      </c>
      <c r="L330">
        <v>1348</v>
      </c>
      <c r="N330">
        <v>1009</v>
      </c>
      <c r="O330" t="s">
        <v>137</v>
      </c>
      <c r="P330" t="s">
        <v>137</v>
      </c>
      <c r="Q330">
        <v>1000</v>
      </c>
      <c r="X330">
        <v>7.9000000000000001E-2</v>
      </c>
      <c r="Y330">
        <v>3311.4</v>
      </c>
      <c r="Z330">
        <v>0</v>
      </c>
      <c r="AA330">
        <v>0</v>
      </c>
      <c r="AB330">
        <v>0</v>
      </c>
      <c r="AC330">
        <v>0</v>
      </c>
      <c r="AD330">
        <v>1</v>
      </c>
      <c r="AE330">
        <v>0</v>
      </c>
      <c r="AF330" t="s">
        <v>6</v>
      </c>
      <c r="AG330">
        <v>7.9000000000000001E-2</v>
      </c>
      <c r="AH330">
        <v>2</v>
      </c>
      <c r="AI330">
        <v>31029380</v>
      </c>
      <c r="AJ330">
        <v>306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</row>
    <row r="331" spans="1:44">
      <c r="A331">
        <f>ROW(Source!A166)</f>
        <v>166</v>
      </c>
      <c r="B331">
        <v>31029389</v>
      </c>
      <c r="C331">
        <v>31029374</v>
      </c>
      <c r="D331">
        <v>29152014</v>
      </c>
      <c r="E331">
        <v>1</v>
      </c>
      <c r="F331">
        <v>1</v>
      </c>
      <c r="G331">
        <v>1</v>
      </c>
      <c r="H331">
        <v>3</v>
      </c>
      <c r="I331" t="s">
        <v>838</v>
      </c>
      <c r="J331" t="s">
        <v>839</v>
      </c>
      <c r="K331" t="s">
        <v>840</v>
      </c>
      <c r="L331">
        <v>1346</v>
      </c>
      <c r="N331">
        <v>1009</v>
      </c>
      <c r="O331" t="s">
        <v>118</v>
      </c>
      <c r="P331" t="s">
        <v>118</v>
      </c>
      <c r="Q331">
        <v>1</v>
      </c>
      <c r="X331">
        <v>0.36</v>
      </c>
      <c r="Y331">
        <v>1.94</v>
      </c>
      <c r="Z331">
        <v>0</v>
      </c>
      <c r="AA331">
        <v>0</v>
      </c>
      <c r="AB331">
        <v>0</v>
      </c>
      <c r="AC331">
        <v>0</v>
      </c>
      <c r="AD331">
        <v>1</v>
      </c>
      <c r="AE331">
        <v>0</v>
      </c>
      <c r="AF331" t="s">
        <v>6</v>
      </c>
      <c r="AG331">
        <v>0.36</v>
      </c>
      <c r="AH331">
        <v>2</v>
      </c>
      <c r="AI331">
        <v>31029381</v>
      </c>
      <c r="AJ331">
        <v>307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</row>
    <row r="332" spans="1:44">
      <c r="A332">
        <f>ROW(Source!A166)</f>
        <v>166</v>
      </c>
      <c r="B332">
        <v>31029390</v>
      </c>
      <c r="C332">
        <v>31029374</v>
      </c>
      <c r="D332">
        <v>29152186</v>
      </c>
      <c r="E332">
        <v>1</v>
      </c>
      <c r="F332">
        <v>1</v>
      </c>
      <c r="G332">
        <v>1</v>
      </c>
      <c r="H332">
        <v>3</v>
      </c>
      <c r="I332" t="s">
        <v>945</v>
      </c>
      <c r="J332" t="s">
        <v>946</v>
      </c>
      <c r="K332" t="s">
        <v>947</v>
      </c>
      <c r="L332">
        <v>1348</v>
      </c>
      <c r="N332">
        <v>1009</v>
      </c>
      <c r="O332" t="s">
        <v>137</v>
      </c>
      <c r="P332" t="s">
        <v>137</v>
      </c>
      <c r="Q332">
        <v>1000</v>
      </c>
      <c r="X332">
        <v>6.3E-2</v>
      </c>
      <c r="Y332">
        <v>16802.490000000002</v>
      </c>
      <c r="Z332">
        <v>0</v>
      </c>
      <c r="AA332">
        <v>0</v>
      </c>
      <c r="AB332">
        <v>0</v>
      </c>
      <c r="AC332">
        <v>0</v>
      </c>
      <c r="AD332">
        <v>1</v>
      </c>
      <c r="AE332">
        <v>0</v>
      </c>
      <c r="AF332" t="s">
        <v>6</v>
      </c>
      <c r="AG332">
        <v>6.3E-2</v>
      </c>
      <c r="AH332">
        <v>2</v>
      </c>
      <c r="AI332">
        <v>31029382</v>
      </c>
      <c r="AJ332">
        <v>308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</row>
    <row r="333" spans="1:44">
      <c r="A333">
        <f>ROW(Source!A168)</f>
        <v>168</v>
      </c>
      <c r="B333">
        <v>31029403</v>
      </c>
      <c r="C333">
        <v>31029392</v>
      </c>
      <c r="D333">
        <v>29084594</v>
      </c>
      <c r="E333">
        <v>1</v>
      </c>
      <c r="F333">
        <v>1</v>
      </c>
      <c r="G333">
        <v>1</v>
      </c>
      <c r="H333">
        <v>1</v>
      </c>
      <c r="I333" t="s">
        <v>922</v>
      </c>
      <c r="J333" t="s">
        <v>6</v>
      </c>
      <c r="K333" t="s">
        <v>923</v>
      </c>
      <c r="L333">
        <v>1369</v>
      </c>
      <c r="N333">
        <v>1013</v>
      </c>
      <c r="O333" t="s">
        <v>773</v>
      </c>
      <c r="P333" t="s">
        <v>773</v>
      </c>
      <c r="Q333">
        <v>1</v>
      </c>
      <c r="X333">
        <v>129.94999999999999</v>
      </c>
      <c r="Y333">
        <v>0</v>
      </c>
      <c r="Z333">
        <v>0</v>
      </c>
      <c r="AA333">
        <v>0</v>
      </c>
      <c r="AB333">
        <v>8.86</v>
      </c>
      <c r="AC333">
        <v>0</v>
      </c>
      <c r="AD333">
        <v>1</v>
      </c>
      <c r="AE333">
        <v>1</v>
      </c>
      <c r="AF333" t="s">
        <v>127</v>
      </c>
      <c r="AG333">
        <v>171.85887499999995</v>
      </c>
      <c r="AH333">
        <v>2</v>
      </c>
      <c r="AI333">
        <v>31029393</v>
      </c>
      <c r="AJ333">
        <v>309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</row>
    <row r="334" spans="1:44">
      <c r="A334">
        <f>ROW(Source!A168)</f>
        <v>168</v>
      </c>
      <c r="B334">
        <v>31029404</v>
      </c>
      <c r="C334">
        <v>31029392</v>
      </c>
      <c r="D334">
        <v>29084573</v>
      </c>
      <c r="E334">
        <v>1</v>
      </c>
      <c r="F334">
        <v>1</v>
      </c>
      <c r="G334">
        <v>1</v>
      </c>
      <c r="H334">
        <v>1</v>
      </c>
      <c r="I334" t="s">
        <v>774</v>
      </c>
      <c r="J334" t="s">
        <v>6</v>
      </c>
      <c r="K334" t="s">
        <v>775</v>
      </c>
      <c r="L334">
        <v>608254</v>
      </c>
      <c r="N334">
        <v>1013</v>
      </c>
      <c r="O334" t="s">
        <v>776</v>
      </c>
      <c r="P334" t="s">
        <v>776</v>
      </c>
      <c r="Q334">
        <v>1</v>
      </c>
      <c r="X334">
        <v>1.44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1</v>
      </c>
      <c r="AE334">
        <v>2</v>
      </c>
      <c r="AF334" t="s">
        <v>126</v>
      </c>
      <c r="AG334">
        <v>2.0699999999999998</v>
      </c>
      <c r="AH334">
        <v>2</v>
      </c>
      <c r="AI334">
        <v>31029394</v>
      </c>
      <c r="AJ334">
        <v>310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</row>
    <row r="335" spans="1:44">
      <c r="A335">
        <f>ROW(Source!A168)</f>
        <v>168</v>
      </c>
      <c r="B335">
        <v>31029405</v>
      </c>
      <c r="C335">
        <v>31029392</v>
      </c>
      <c r="D335">
        <v>29147673</v>
      </c>
      <c r="E335">
        <v>1</v>
      </c>
      <c r="F335">
        <v>1</v>
      </c>
      <c r="G335">
        <v>1</v>
      </c>
      <c r="H335">
        <v>2</v>
      </c>
      <c r="I335" t="s">
        <v>924</v>
      </c>
      <c r="J335" t="s">
        <v>925</v>
      </c>
      <c r="K335" t="s">
        <v>926</v>
      </c>
      <c r="L335">
        <v>1368</v>
      </c>
      <c r="N335">
        <v>1011</v>
      </c>
      <c r="O335" t="s">
        <v>780</v>
      </c>
      <c r="P335" t="s">
        <v>780</v>
      </c>
      <c r="Q335">
        <v>1</v>
      </c>
      <c r="X335">
        <v>0.14000000000000001</v>
      </c>
      <c r="Y335">
        <v>0</v>
      </c>
      <c r="Z335">
        <v>97.95</v>
      </c>
      <c r="AA335">
        <v>9.7100000000000009</v>
      </c>
      <c r="AB335">
        <v>0</v>
      </c>
      <c r="AC335">
        <v>0</v>
      </c>
      <c r="AD335">
        <v>1</v>
      </c>
      <c r="AE335">
        <v>0</v>
      </c>
      <c r="AF335" t="s">
        <v>126</v>
      </c>
      <c r="AG335">
        <v>0.20125000000000001</v>
      </c>
      <c r="AH335">
        <v>2</v>
      </c>
      <c r="AI335">
        <v>31029395</v>
      </c>
      <c r="AJ335">
        <v>311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</row>
    <row r="336" spans="1:44">
      <c r="A336">
        <f>ROW(Source!A168)</f>
        <v>168</v>
      </c>
      <c r="B336">
        <v>31029406</v>
      </c>
      <c r="C336">
        <v>31029392</v>
      </c>
      <c r="D336">
        <v>29147732</v>
      </c>
      <c r="E336">
        <v>1</v>
      </c>
      <c r="F336">
        <v>1</v>
      </c>
      <c r="G336">
        <v>1</v>
      </c>
      <c r="H336">
        <v>2</v>
      </c>
      <c r="I336" t="s">
        <v>846</v>
      </c>
      <c r="J336" t="s">
        <v>847</v>
      </c>
      <c r="K336" t="s">
        <v>848</v>
      </c>
      <c r="L336">
        <v>1368</v>
      </c>
      <c r="N336">
        <v>1011</v>
      </c>
      <c r="O336" t="s">
        <v>780</v>
      </c>
      <c r="P336" t="s">
        <v>780</v>
      </c>
      <c r="Q336">
        <v>1</v>
      </c>
      <c r="X336">
        <v>1.3</v>
      </c>
      <c r="Y336">
        <v>0</v>
      </c>
      <c r="Z336">
        <v>30.85</v>
      </c>
      <c r="AA336">
        <v>13.03</v>
      </c>
      <c r="AB336">
        <v>0</v>
      </c>
      <c r="AC336">
        <v>0</v>
      </c>
      <c r="AD336">
        <v>1</v>
      </c>
      <c r="AE336">
        <v>0</v>
      </c>
      <c r="AF336" t="s">
        <v>126</v>
      </c>
      <c r="AG336">
        <v>1.8687499999999999</v>
      </c>
      <c r="AH336">
        <v>2</v>
      </c>
      <c r="AI336">
        <v>31029396</v>
      </c>
      <c r="AJ336">
        <v>312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</row>
    <row r="337" spans="1:44">
      <c r="A337">
        <f>ROW(Source!A168)</f>
        <v>168</v>
      </c>
      <c r="B337">
        <v>31029407</v>
      </c>
      <c r="C337">
        <v>31029392</v>
      </c>
      <c r="D337">
        <v>29150545</v>
      </c>
      <c r="E337">
        <v>1</v>
      </c>
      <c r="F337">
        <v>1</v>
      </c>
      <c r="G337">
        <v>1</v>
      </c>
      <c r="H337">
        <v>3</v>
      </c>
      <c r="I337" t="s">
        <v>927</v>
      </c>
      <c r="J337" t="s">
        <v>928</v>
      </c>
      <c r="K337" t="s">
        <v>929</v>
      </c>
      <c r="L337">
        <v>1348</v>
      </c>
      <c r="N337">
        <v>1009</v>
      </c>
      <c r="O337" t="s">
        <v>137</v>
      </c>
      <c r="P337" t="s">
        <v>137</v>
      </c>
      <c r="Q337">
        <v>1000</v>
      </c>
      <c r="X337">
        <v>2.5000000000000001E-3</v>
      </c>
      <c r="Y337">
        <v>9206.16</v>
      </c>
      <c r="Z337">
        <v>0</v>
      </c>
      <c r="AA337">
        <v>0</v>
      </c>
      <c r="AB337">
        <v>0</v>
      </c>
      <c r="AC337">
        <v>0</v>
      </c>
      <c r="AD337">
        <v>1</v>
      </c>
      <c r="AE337">
        <v>0</v>
      </c>
      <c r="AF337" t="s">
        <v>6</v>
      </c>
      <c r="AG337">
        <v>2.5000000000000001E-3</v>
      </c>
      <c r="AH337">
        <v>2</v>
      </c>
      <c r="AI337">
        <v>31029397</v>
      </c>
      <c r="AJ337">
        <v>313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</row>
    <row r="338" spans="1:44">
      <c r="A338">
        <f>ROW(Source!A168)</f>
        <v>168</v>
      </c>
      <c r="B338">
        <v>31029408</v>
      </c>
      <c r="C338">
        <v>31029392</v>
      </c>
      <c r="D338">
        <v>29151213</v>
      </c>
      <c r="E338">
        <v>1</v>
      </c>
      <c r="F338">
        <v>1</v>
      </c>
      <c r="G338">
        <v>1</v>
      </c>
      <c r="H338">
        <v>3</v>
      </c>
      <c r="I338" t="s">
        <v>930</v>
      </c>
      <c r="J338" t="s">
        <v>931</v>
      </c>
      <c r="K338" t="s">
        <v>932</v>
      </c>
      <c r="L338">
        <v>1327</v>
      </c>
      <c r="N338">
        <v>1005</v>
      </c>
      <c r="O338" t="s">
        <v>284</v>
      </c>
      <c r="P338" t="s">
        <v>284</v>
      </c>
      <c r="Q338">
        <v>1</v>
      </c>
      <c r="X338">
        <v>108</v>
      </c>
      <c r="Y338">
        <v>9.39</v>
      </c>
      <c r="Z338">
        <v>0</v>
      </c>
      <c r="AA338">
        <v>0</v>
      </c>
      <c r="AB338">
        <v>0</v>
      </c>
      <c r="AC338">
        <v>0</v>
      </c>
      <c r="AD338">
        <v>1</v>
      </c>
      <c r="AE338">
        <v>0</v>
      </c>
      <c r="AF338" t="s">
        <v>6</v>
      </c>
      <c r="AG338">
        <v>108</v>
      </c>
      <c r="AH338">
        <v>2</v>
      </c>
      <c r="AI338">
        <v>31029398</v>
      </c>
      <c r="AJ338">
        <v>314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</row>
    <row r="339" spans="1:44">
      <c r="A339">
        <f>ROW(Source!A168)</f>
        <v>168</v>
      </c>
      <c r="B339">
        <v>31029409</v>
      </c>
      <c r="C339">
        <v>31029392</v>
      </c>
      <c r="D339">
        <v>29151587</v>
      </c>
      <c r="E339">
        <v>1</v>
      </c>
      <c r="F339">
        <v>1</v>
      </c>
      <c r="G339">
        <v>1</v>
      </c>
      <c r="H339">
        <v>3</v>
      </c>
      <c r="I339" t="s">
        <v>933</v>
      </c>
      <c r="J339" t="s">
        <v>934</v>
      </c>
      <c r="K339" t="s">
        <v>935</v>
      </c>
      <c r="L339">
        <v>1348</v>
      </c>
      <c r="N339">
        <v>1009</v>
      </c>
      <c r="O339" t="s">
        <v>137</v>
      </c>
      <c r="P339" t="s">
        <v>137</v>
      </c>
      <c r="Q339">
        <v>1000</v>
      </c>
      <c r="X339">
        <v>1.2999999999999999E-2</v>
      </c>
      <c r="Y339">
        <v>418.43</v>
      </c>
      <c r="Z339">
        <v>0</v>
      </c>
      <c r="AA339">
        <v>0</v>
      </c>
      <c r="AB339">
        <v>0</v>
      </c>
      <c r="AC339">
        <v>0</v>
      </c>
      <c r="AD339">
        <v>1</v>
      </c>
      <c r="AE339">
        <v>0</v>
      </c>
      <c r="AF339" t="s">
        <v>6</v>
      </c>
      <c r="AG339">
        <v>1.2999999999999999E-2</v>
      </c>
      <c r="AH339">
        <v>2</v>
      </c>
      <c r="AI339">
        <v>31029399</v>
      </c>
      <c r="AJ339">
        <v>315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</row>
    <row r="340" spans="1:44">
      <c r="A340">
        <f>ROW(Source!A168)</f>
        <v>168</v>
      </c>
      <c r="B340">
        <v>31029410</v>
      </c>
      <c r="C340">
        <v>31029392</v>
      </c>
      <c r="D340">
        <v>29151964</v>
      </c>
      <c r="E340">
        <v>1</v>
      </c>
      <c r="F340">
        <v>1</v>
      </c>
      <c r="G340">
        <v>1</v>
      </c>
      <c r="H340">
        <v>3</v>
      </c>
      <c r="I340" t="s">
        <v>936</v>
      </c>
      <c r="J340" t="s">
        <v>937</v>
      </c>
      <c r="K340" t="s">
        <v>938</v>
      </c>
      <c r="L340">
        <v>1346</v>
      </c>
      <c r="N340">
        <v>1009</v>
      </c>
      <c r="O340" t="s">
        <v>118</v>
      </c>
      <c r="P340" t="s">
        <v>118</v>
      </c>
      <c r="Q340">
        <v>1</v>
      </c>
      <c r="X340">
        <v>12</v>
      </c>
      <c r="Y340">
        <v>9.8000000000000007</v>
      </c>
      <c r="Z340">
        <v>0</v>
      </c>
      <c r="AA340">
        <v>0</v>
      </c>
      <c r="AB340">
        <v>0</v>
      </c>
      <c r="AC340">
        <v>0</v>
      </c>
      <c r="AD340">
        <v>1</v>
      </c>
      <c r="AE340">
        <v>0</v>
      </c>
      <c r="AF340" t="s">
        <v>6</v>
      </c>
      <c r="AG340">
        <v>12</v>
      </c>
      <c r="AH340">
        <v>2</v>
      </c>
      <c r="AI340">
        <v>31029400</v>
      </c>
      <c r="AJ340">
        <v>316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</row>
    <row r="341" spans="1:44">
      <c r="A341">
        <f>ROW(Source!A168)</f>
        <v>168</v>
      </c>
      <c r="B341">
        <v>31029411</v>
      </c>
      <c r="C341">
        <v>31029392</v>
      </c>
      <c r="D341">
        <v>29186569</v>
      </c>
      <c r="E341">
        <v>1</v>
      </c>
      <c r="F341">
        <v>1</v>
      </c>
      <c r="G341">
        <v>1</v>
      </c>
      <c r="H341">
        <v>3</v>
      </c>
      <c r="I341" t="s">
        <v>939</v>
      </c>
      <c r="J341" t="s">
        <v>940</v>
      </c>
      <c r="K341" t="s">
        <v>941</v>
      </c>
      <c r="L341">
        <v>1339</v>
      </c>
      <c r="N341">
        <v>1007</v>
      </c>
      <c r="O341" t="s">
        <v>109</v>
      </c>
      <c r="P341" t="s">
        <v>109</v>
      </c>
      <c r="Q341">
        <v>1</v>
      </c>
      <c r="X341">
        <v>3.1</v>
      </c>
      <c r="Y341">
        <v>458.28</v>
      </c>
      <c r="Z341">
        <v>0</v>
      </c>
      <c r="AA341">
        <v>0</v>
      </c>
      <c r="AB341">
        <v>0</v>
      </c>
      <c r="AC341">
        <v>0</v>
      </c>
      <c r="AD341">
        <v>1</v>
      </c>
      <c r="AE341">
        <v>0</v>
      </c>
      <c r="AF341" t="s">
        <v>6</v>
      </c>
      <c r="AG341">
        <v>3.1</v>
      </c>
      <c r="AH341">
        <v>2</v>
      </c>
      <c r="AI341">
        <v>31029401</v>
      </c>
      <c r="AJ341">
        <v>317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</row>
    <row r="342" spans="1:44">
      <c r="A342">
        <f>ROW(Source!A168)</f>
        <v>168</v>
      </c>
      <c r="B342">
        <v>31029412</v>
      </c>
      <c r="C342">
        <v>31029392</v>
      </c>
      <c r="D342">
        <v>29195171</v>
      </c>
      <c r="E342">
        <v>1</v>
      </c>
      <c r="F342">
        <v>1</v>
      </c>
      <c r="G342">
        <v>1</v>
      </c>
      <c r="H342">
        <v>3</v>
      </c>
      <c r="I342" t="s">
        <v>830</v>
      </c>
      <c r="J342" t="s">
        <v>831</v>
      </c>
      <c r="K342" t="s">
        <v>832</v>
      </c>
      <c r="L342">
        <v>1339</v>
      </c>
      <c r="N342">
        <v>1007</v>
      </c>
      <c r="O342" t="s">
        <v>109</v>
      </c>
      <c r="P342" t="s">
        <v>109</v>
      </c>
      <c r="Q342">
        <v>1</v>
      </c>
      <c r="X342">
        <v>0.01</v>
      </c>
      <c r="Y342">
        <v>2.4500000000000002</v>
      </c>
      <c r="Z342">
        <v>0</v>
      </c>
      <c r="AA342">
        <v>0</v>
      </c>
      <c r="AB342">
        <v>0</v>
      </c>
      <c r="AC342">
        <v>0</v>
      </c>
      <c r="AD342">
        <v>1</v>
      </c>
      <c r="AE342">
        <v>0</v>
      </c>
      <c r="AF342" t="s">
        <v>6</v>
      </c>
      <c r="AG342">
        <v>0.01</v>
      </c>
      <c r="AH342">
        <v>2</v>
      </c>
      <c r="AI342">
        <v>31029402</v>
      </c>
      <c r="AJ342">
        <v>318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</row>
    <row r="343" spans="1:44">
      <c r="A343">
        <f>ROW(Source!A169)</f>
        <v>169</v>
      </c>
      <c r="B343">
        <v>31029421</v>
      </c>
      <c r="C343">
        <v>31029413</v>
      </c>
      <c r="D343">
        <v>29084596</v>
      </c>
      <c r="E343">
        <v>1</v>
      </c>
      <c r="F343">
        <v>1</v>
      </c>
      <c r="G343">
        <v>1</v>
      </c>
      <c r="H343">
        <v>1</v>
      </c>
      <c r="I343" t="s">
        <v>893</v>
      </c>
      <c r="J343" t="s">
        <v>6</v>
      </c>
      <c r="K343" t="s">
        <v>894</v>
      </c>
      <c r="L343">
        <v>1369</v>
      </c>
      <c r="N343">
        <v>1013</v>
      </c>
      <c r="O343" t="s">
        <v>773</v>
      </c>
      <c r="P343" t="s">
        <v>773</v>
      </c>
      <c r="Q343">
        <v>1</v>
      </c>
      <c r="X343">
        <v>11.99</v>
      </c>
      <c r="Y343">
        <v>0</v>
      </c>
      <c r="Z343">
        <v>0</v>
      </c>
      <c r="AA343">
        <v>0</v>
      </c>
      <c r="AB343">
        <v>9.18</v>
      </c>
      <c r="AC343">
        <v>0</v>
      </c>
      <c r="AD343">
        <v>1</v>
      </c>
      <c r="AE343">
        <v>1</v>
      </c>
      <c r="AF343" t="s">
        <v>127</v>
      </c>
      <c r="AG343">
        <v>15.856774999999997</v>
      </c>
      <c r="AH343">
        <v>2</v>
      </c>
      <c r="AI343">
        <v>31029414</v>
      </c>
      <c r="AJ343">
        <v>319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</row>
    <row r="344" spans="1:44">
      <c r="A344">
        <f>ROW(Source!A169)</f>
        <v>169</v>
      </c>
      <c r="B344">
        <v>31029422</v>
      </c>
      <c r="C344">
        <v>31029413</v>
      </c>
      <c r="D344">
        <v>29084573</v>
      </c>
      <c r="E344">
        <v>1</v>
      </c>
      <c r="F344">
        <v>1</v>
      </c>
      <c r="G344">
        <v>1</v>
      </c>
      <c r="H344">
        <v>1</v>
      </c>
      <c r="I344" t="s">
        <v>774</v>
      </c>
      <c r="J344" t="s">
        <v>6</v>
      </c>
      <c r="K344" t="s">
        <v>775</v>
      </c>
      <c r="L344">
        <v>608254</v>
      </c>
      <c r="N344">
        <v>1013</v>
      </c>
      <c r="O344" t="s">
        <v>776</v>
      </c>
      <c r="P344" t="s">
        <v>776</v>
      </c>
      <c r="Q344">
        <v>1</v>
      </c>
      <c r="X344">
        <v>0.01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1</v>
      </c>
      <c r="AE344">
        <v>2</v>
      </c>
      <c r="AF344" t="s">
        <v>126</v>
      </c>
      <c r="AG344">
        <v>1.4374999999999999E-2</v>
      </c>
      <c r="AH344">
        <v>2</v>
      </c>
      <c r="AI344">
        <v>31029415</v>
      </c>
      <c r="AJ344">
        <v>320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</row>
    <row r="345" spans="1:44">
      <c r="A345">
        <f>ROW(Source!A169)</f>
        <v>169</v>
      </c>
      <c r="B345">
        <v>31029423</v>
      </c>
      <c r="C345">
        <v>31029413</v>
      </c>
      <c r="D345">
        <v>29147732</v>
      </c>
      <c r="E345">
        <v>1</v>
      </c>
      <c r="F345">
        <v>1</v>
      </c>
      <c r="G345">
        <v>1</v>
      </c>
      <c r="H345">
        <v>2</v>
      </c>
      <c r="I345" t="s">
        <v>846</v>
      </c>
      <c r="J345" t="s">
        <v>847</v>
      </c>
      <c r="K345" t="s">
        <v>848</v>
      </c>
      <c r="L345">
        <v>1368</v>
      </c>
      <c r="N345">
        <v>1011</v>
      </c>
      <c r="O345" t="s">
        <v>780</v>
      </c>
      <c r="P345" t="s">
        <v>780</v>
      </c>
      <c r="Q345">
        <v>1</v>
      </c>
      <c r="X345">
        <v>0.01</v>
      </c>
      <c r="Y345">
        <v>0</v>
      </c>
      <c r="Z345">
        <v>30.85</v>
      </c>
      <c r="AA345">
        <v>13.03</v>
      </c>
      <c r="AB345">
        <v>0</v>
      </c>
      <c r="AC345">
        <v>0</v>
      </c>
      <c r="AD345">
        <v>1</v>
      </c>
      <c r="AE345">
        <v>0</v>
      </c>
      <c r="AF345" t="s">
        <v>126</v>
      </c>
      <c r="AG345">
        <v>1.4374999999999999E-2</v>
      </c>
      <c r="AH345">
        <v>2</v>
      </c>
      <c r="AI345">
        <v>31029416</v>
      </c>
      <c r="AJ345">
        <v>321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</row>
    <row r="346" spans="1:44">
      <c r="A346">
        <f>ROW(Source!A169)</f>
        <v>169</v>
      </c>
      <c r="B346">
        <v>31029424</v>
      </c>
      <c r="C346">
        <v>31029413</v>
      </c>
      <c r="D346">
        <v>29149520</v>
      </c>
      <c r="E346">
        <v>1</v>
      </c>
      <c r="F346">
        <v>1</v>
      </c>
      <c r="G346">
        <v>1</v>
      </c>
      <c r="H346">
        <v>2</v>
      </c>
      <c r="I346" t="s">
        <v>790</v>
      </c>
      <c r="J346" t="s">
        <v>791</v>
      </c>
      <c r="K346" t="s">
        <v>792</v>
      </c>
      <c r="L346">
        <v>1368</v>
      </c>
      <c r="N346">
        <v>1011</v>
      </c>
      <c r="O346" t="s">
        <v>780</v>
      </c>
      <c r="P346" t="s">
        <v>780</v>
      </c>
      <c r="Q346">
        <v>1</v>
      </c>
      <c r="X346">
        <v>0.03</v>
      </c>
      <c r="Y346">
        <v>0</v>
      </c>
      <c r="Z346">
        <v>91.62</v>
      </c>
      <c r="AA346">
        <v>0</v>
      </c>
      <c r="AB346">
        <v>0</v>
      </c>
      <c r="AC346">
        <v>0</v>
      </c>
      <c r="AD346">
        <v>1</v>
      </c>
      <c r="AE346">
        <v>0</v>
      </c>
      <c r="AF346" t="s">
        <v>126</v>
      </c>
      <c r="AG346">
        <v>4.3124999999999997E-2</v>
      </c>
      <c r="AH346">
        <v>2</v>
      </c>
      <c r="AI346">
        <v>31029417</v>
      </c>
      <c r="AJ346">
        <v>322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</row>
    <row r="347" spans="1:44">
      <c r="A347">
        <f>ROW(Source!A169)</f>
        <v>169</v>
      </c>
      <c r="B347">
        <v>31029425</v>
      </c>
      <c r="C347">
        <v>31029413</v>
      </c>
      <c r="D347">
        <v>29151861</v>
      </c>
      <c r="E347">
        <v>1</v>
      </c>
      <c r="F347">
        <v>1</v>
      </c>
      <c r="G347">
        <v>1</v>
      </c>
      <c r="H347">
        <v>3</v>
      </c>
      <c r="I347" t="s">
        <v>835</v>
      </c>
      <c r="J347" t="s">
        <v>836</v>
      </c>
      <c r="K347" t="s">
        <v>837</v>
      </c>
      <c r="L347">
        <v>1327</v>
      </c>
      <c r="N347">
        <v>1005</v>
      </c>
      <c r="O347" t="s">
        <v>284</v>
      </c>
      <c r="P347" t="s">
        <v>284</v>
      </c>
      <c r="Q347">
        <v>1</v>
      </c>
      <c r="X347">
        <v>4.4000000000000004</v>
      </c>
      <c r="Y347">
        <v>73.39</v>
      </c>
      <c r="Z347">
        <v>0</v>
      </c>
      <c r="AA347">
        <v>0</v>
      </c>
      <c r="AB347">
        <v>0</v>
      </c>
      <c r="AC347">
        <v>0</v>
      </c>
      <c r="AD347">
        <v>1</v>
      </c>
      <c r="AE347">
        <v>0</v>
      </c>
      <c r="AF347" t="s">
        <v>6</v>
      </c>
      <c r="AG347">
        <v>4.4000000000000004</v>
      </c>
      <c r="AH347">
        <v>2</v>
      </c>
      <c r="AI347">
        <v>31029418</v>
      </c>
      <c r="AJ347">
        <v>323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</row>
    <row r="348" spans="1:44">
      <c r="A348">
        <f>ROW(Source!A169)</f>
        <v>169</v>
      </c>
      <c r="B348">
        <v>31029426</v>
      </c>
      <c r="C348">
        <v>31029413</v>
      </c>
      <c r="D348">
        <v>29151929</v>
      </c>
      <c r="E348">
        <v>1</v>
      </c>
      <c r="F348">
        <v>1</v>
      </c>
      <c r="G348">
        <v>1</v>
      </c>
      <c r="H348">
        <v>3</v>
      </c>
      <c r="I348" t="s">
        <v>914</v>
      </c>
      <c r="J348" t="s">
        <v>915</v>
      </c>
      <c r="K348" t="s">
        <v>916</v>
      </c>
      <c r="L348">
        <v>1348</v>
      </c>
      <c r="N348">
        <v>1009</v>
      </c>
      <c r="O348" t="s">
        <v>137</v>
      </c>
      <c r="P348" t="s">
        <v>137</v>
      </c>
      <c r="Q348">
        <v>1000</v>
      </c>
      <c r="X348">
        <v>2.9000000000000001E-2</v>
      </c>
      <c r="Y348">
        <v>3151.95</v>
      </c>
      <c r="Z348">
        <v>0</v>
      </c>
      <c r="AA348">
        <v>0</v>
      </c>
      <c r="AB348">
        <v>0</v>
      </c>
      <c r="AC348">
        <v>0</v>
      </c>
      <c r="AD348">
        <v>1</v>
      </c>
      <c r="AE348">
        <v>0</v>
      </c>
      <c r="AF348" t="s">
        <v>6</v>
      </c>
      <c r="AG348">
        <v>2.9000000000000001E-2</v>
      </c>
      <c r="AH348">
        <v>2</v>
      </c>
      <c r="AI348">
        <v>31029419</v>
      </c>
      <c r="AJ348">
        <v>324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</row>
    <row r="349" spans="1:44">
      <c r="A349">
        <f>ROW(Source!A169)</f>
        <v>169</v>
      </c>
      <c r="B349">
        <v>31029427</v>
      </c>
      <c r="C349">
        <v>31029413</v>
      </c>
      <c r="D349">
        <v>29152014</v>
      </c>
      <c r="E349">
        <v>1</v>
      </c>
      <c r="F349">
        <v>1</v>
      </c>
      <c r="G349">
        <v>1</v>
      </c>
      <c r="H349">
        <v>3</v>
      </c>
      <c r="I349" t="s">
        <v>838</v>
      </c>
      <c r="J349" t="s">
        <v>839</v>
      </c>
      <c r="K349" t="s">
        <v>840</v>
      </c>
      <c r="L349">
        <v>1346</v>
      </c>
      <c r="N349">
        <v>1009</v>
      </c>
      <c r="O349" t="s">
        <v>118</v>
      </c>
      <c r="P349" t="s">
        <v>118</v>
      </c>
      <c r="Q349">
        <v>1</v>
      </c>
      <c r="X349">
        <v>0.15</v>
      </c>
      <c r="Y349">
        <v>1.94</v>
      </c>
      <c r="Z349">
        <v>0</v>
      </c>
      <c r="AA349">
        <v>0</v>
      </c>
      <c r="AB349">
        <v>0</v>
      </c>
      <c r="AC349">
        <v>0</v>
      </c>
      <c r="AD349">
        <v>1</v>
      </c>
      <c r="AE349">
        <v>0</v>
      </c>
      <c r="AF349" t="s">
        <v>6</v>
      </c>
      <c r="AG349">
        <v>0.15</v>
      </c>
      <c r="AH349">
        <v>2</v>
      </c>
      <c r="AI349">
        <v>31029420</v>
      </c>
      <c r="AJ349">
        <v>325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</row>
    <row r="350" spans="1:44">
      <c r="A350">
        <f>ROW(Source!A170)</f>
        <v>170</v>
      </c>
      <c r="B350">
        <v>31029439</v>
      </c>
      <c r="C350">
        <v>31029428</v>
      </c>
      <c r="D350">
        <v>29084594</v>
      </c>
      <c r="E350">
        <v>1</v>
      </c>
      <c r="F350">
        <v>1</v>
      </c>
      <c r="G350">
        <v>1</v>
      </c>
      <c r="H350">
        <v>1</v>
      </c>
      <c r="I350" t="s">
        <v>922</v>
      </c>
      <c r="J350" t="s">
        <v>6</v>
      </c>
      <c r="K350" t="s">
        <v>923</v>
      </c>
      <c r="L350">
        <v>1369</v>
      </c>
      <c r="N350">
        <v>1013</v>
      </c>
      <c r="O350" t="s">
        <v>773</v>
      </c>
      <c r="P350" t="s">
        <v>773</v>
      </c>
      <c r="Q350">
        <v>1</v>
      </c>
      <c r="X350">
        <v>159.66999999999999</v>
      </c>
      <c r="Y350">
        <v>0</v>
      </c>
      <c r="Z350">
        <v>0</v>
      </c>
      <c r="AA350">
        <v>0</v>
      </c>
      <c r="AB350">
        <v>8.86</v>
      </c>
      <c r="AC350">
        <v>0</v>
      </c>
      <c r="AD350">
        <v>1</v>
      </c>
      <c r="AE350">
        <v>1</v>
      </c>
      <c r="AF350" t="s">
        <v>127</v>
      </c>
      <c r="AG350">
        <v>211.16357499999995</v>
      </c>
      <c r="AH350">
        <v>2</v>
      </c>
      <c r="AI350">
        <v>31029429</v>
      </c>
      <c r="AJ350">
        <v>326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</row>
    <row r="351" spans="1:44">
      <c r="A351">
        <f>ROW(Source!A170)</f>
        <v>170</v>
      </c>
      <c r="B351">
        <v>31029440</v>
      </c>
      <c r="C351">
        <v>31029428</v>
      </c>
      <c r="D351">
        <v>29084573</v>
      </c>
      <c r="E351">
        <v>1</v>
      </c>
      <c r="F351">
        <v>1</v>
      </c>
      <c r="G351">
        <v>1</v>
      </c>
      <c r="H351">
        <v>1</v>
      </c>
      <c r="I351" t="s">
        <v>774</v>
      </c>
      <c r="J351" t="s">
        <v>6</v>
      </c>
      <c r="K351" t="s">
        <v>775</v>
      </c>
      <c r="L351">
        <v>608254</v>
      </c>
      <c r="N351">
        <v>1013</v>
      </c>
      <c r="O351" t="s">
        <v>776</v>
      </c>
      <c r="P351" t="s">
        <v>776</v>
      </c>
      <c r="Q351">
        <v>1</v>
      </c>
      <c r="X351">
        <v>1.65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1</v>
      </c>
      <c r="AE351">
        <v>2</v>
      </c>
      <c r="AF351" t="s">
        <v>126</v>
      </c>
      <c r="AG351">
        <v>2.3718749999999997</v>
      </c>
      <c r="AH351">
        <v>2</v>
      </c>
      <c r="AI351">
        <v>31029430</v>
      </c>
      <c r="AJ351">
        <v>327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</row>
    <row r="352" spans="1:44">
      <c r="A352">
        <f>ROW(Source!A170)</f>
        <v>170</v>
      </c>
      <c r="B352">
        <v>31029441</v>
      </c>
      <c r="C352">
        <v>31029428</v>
      </c>
      <c r="D352">
        <v>29147673</v>
      </c>
      <c r="E352">
        <v>1</v>
      </c>
      <c r="F352">
        <v>1</v>
      </c>
      <c r="G352">
        <v>1</v>
      </c>
      <c r="H352">
        <v>2</v>
      </c>
      <c r="I352" t="s">
        <v>924</v>
      </c>
      <c r="J352" t="s">
        <v>925</v>
      </c>
      <c r="K352" t="s">
        <v>926</v>
      </c>
      <c r="L352">
        <v>1368</v>
      </c>
      <c r="N352">
        <v>1011</v>
      </c>
      <c r="O352" t="s">
        <v>780</v>
      </c>
      <c r="P352" t="s">
        <v>780</v>
      </c>
      <c r="Q352">
        <v>1</v>
      </c>
      <c r="X352">
        <v>0.08</v>
      </c>
      <c r="Y352">
        <v>0</v>
      </c>
      <c r="Z352">
        <v>97.95</v>
      </c>
      <c r="AA352">
        <v>9.7100000000000009</v>
      </c>
      <c r="AB352">
        <v>0</v>
      </c>
      <c r="AC352">
        <v>0</v>
      </c>
      <c r="AD352">
        <v>1</v>
      </c>
      <c r="AE352">
        <v>0</v>
      </c>
      <c r="AF352" t="s">
        <v>126</v>
      </c>
      <c r="AG352">
        <v>0.11499999999999999</v>
      </c>
      <c r="AH352">
        <v>2</v>
      </c>
      <c r="AI352">
        <v>31029431</v>
      </c>
      <c r="AJ352">
        <v>328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</row>
    <row r="353" spans="1:44">
      <c r="A353">
        <f>ROW(Source!A170)</f>
        <v>170</v>
      </c>
      <c r="B353">
        <v>31029442</v>
      </c>
      <c r="C353">
        <v>31029428</v>
      </c>
      <c r="D353">
        <v>29147732</v>
      </c>
      <c r="E353">
        <v>1</v>
      </c>
      <c r="F353">
        <v>1</v>
      </c>
      <c r="G353">
        <v>1</v>
      </c>
      <c r="H353">
        <v>2</v>
      </c>
      <c r="I353" t="s">
        <v>846</v>
      </c>
      <c r="J353" t="s">
        <v>847</v>
      </c>
      <c r="K353" t="s">
        <v>848</v>
      </c>
      <c r="L353">
        <v>1368</v>
      </c>
      <c r="N353">
        <v>1011</v>
      </c>
      <c r="O353" t="s">
        <v>780</v>
      </c>
      <c r="P353" t="s">
        <v>780</v>
      </c>
      <c r="Q353">
        <v>1</v>
      </c>
      <c r="X353">
        <v>0.27</v>
      </c>
      <c r="Y353">
        <v>0</v>
      </c>
      <c r="Z353">
        <v>30.85</v>
      </c>
      <c r="AA353">
        <v>13.03</v>
      </c>
      <c r="AB353">
        <v>0</v>
      </c>
      <c r="AC353">
        <v>0</v>
      </c>
      <c r="AD353">
        <v>1</v>
      </c>
      <c r="AE353">
        <v>0</v>
      </c>
      <c r="AF353" t="s">
        <v>126</v>
      </c>
      <c r="AG353">
        <v>0.388125</v>
      </c>
      <c r="AH353">
        <v>2</v>
      </c>
      <c r="AI353">
        <v>31029432</v>
      </c>
      <c r="AJ353">
        <v>329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</row>
    <row r="354" spans="1:44">
      <c r="A354">
        <f>ROW(Source!A170)</f>
        <v>170</v>
      </c>
      <c r="B354">
        <v>31029443</v>
      </c>
      <c r="C354">
        <v>31029428</v>
      </c>
      <c r="D354">
        <v>29148135</v>
      </c>
      <c r="E354">
        <v>1</v>
      </c>
      <c r="F354">
        <v>1</v>
      </c>
      <c r="G354">
        <v>1</v>
      </c>
      <c r="H354">
        <v>2</v>
      </c>
      <c r="I354" t="s">
        <v>948</v>
      </c>
      <c r="J354" t="s">
        <v>949</v>
      </c>
      <c r="K354" t="s">
        <v>950</v>
      </c>
      <c r="L354">
        <v>1368</v>
      </c>
      <c r="N354">
        <v>1011</v>
      </c>
      <c r="O354" t="s">
        <v>780</v>
      </c>
      <c r="P354" t="s">
        <v>780</v>
      </c>
      <c r="Q354">
        <v>1</v>
      </c>
      <c r="X354">
        <v>1.3</v>
      </c>
      <c r="Y354">
        <v>0</v>
      </c>
      <c r="Z354">
        <v>12.04</v>
      </c>
      <c r="AA354">
        <v>9.7100000000000009</v>
      </c>
      <c r="AB354">
        <v>0</v>
      </c>
      <c r="AC354">
        <v>0</v>
      </c>
      <c r="AD354">
        <v>1</v>
      </c>
      <c r="AE354">
        <v>0</v>
      </c>
      <c r="AF354" t="s">
        <v>126</v>
      </c>
      <c r="AG354">
        <v>1.8687499999999999</v>
      </c>
      <c r="AH354">
        <v>2</v>
      </c>
      <c r="AI354">
        <v>31029433</v>
      </c>
      <c r="AJ354">
        <v>330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</row>
    <row r="355" spans="1:44">
      <c r="A355">
        <f>ROW(Source!A170)</f>
        <v>170</v>
      </c>
      <c r="B355">
        <v>31029444</v>
      </c>
      <c r="C355">
        <v>31029428</v>
      </c>
      <c r="D355">
        <v>29150615</v>
      </c>
      <c r="E355">
        <v>1</v>
      </c>
      <c r="F355">
        <v>1</v>
      </c>
      <c r="G355">
        <v>1</v>
      </c>
      <c r="H355">
        <v>3</v>
      </c>
      <c r="I355" t="s">
        <v>951</v>
      </c>
      <c r="J355" t="s">
        <v>952</v>
      </c>
      <c r="K355" t="s">
        <v>953</v>
      </c>
      <c r="L355">
        <v>1327</v>
      </c>
      <c r="N355">
        <v>1005</v>
      </c>
      <c r="O355" t="s">
        <v>284</v>
      </c>
      <c r="P355" t="s">
        <v>284</v>
      </c>
      <c r="Q355">
        <v>1</v>
      </c>
      <c r="X355">
        <v>100</v>
      </c>
      <c r="Y355">
        <v>72.97</v>
      </c>
      <c r="Z355">
        <v>0</v>
      </c>
      <c r="AA355">
        <v>0</v>
      </c>
      <c r="AB355">
        <v>0</v>
      </c>
      <c r="AC355">
        <v>0</v>
      </c>
      <c r="AD355">
        <v>1</v>
      </c>
      <c r="AE355">
        <v>0</v>
      </c>
      <c r="AF355" t="s">
        <v>6</v>
      </c>
      <c r="AG355">
        <v>100</v>
      </c>
      <c r="AH355">
        <v>2</v>
      </c>
      <c r="AI355">
        <v>31029434</v>
      </c>
      <c r="AJ355">
        <v>331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</row>
    <row r="356" spans="1:44">
      <c r="A356">
        <f>ROW(Source!A170)</f>
        <v>170</v>
      </c>
      <c r="B356">
        <v>31029445</v>
      </c>
      <c r="C356">
        <v>31029428</v>
      </c>
      <c r="D356">
        <v>29152014</v>
      </c>
      <c r="E356">
        <v>1</v>
      </c>
      <c r="F356">
        <v>1</v>
      </c>
      <c r="G356">
        <v>1</v>
      </c>
      <c r="H356">
        <v>3</v>
      </c>
      <c r="I356" t="s">
        <v>838</v>
      </c>
      <c r="J356" t="s">
        <v>839</v>
      </c>
      <c r="K356" t="s">
        <v>840</v>
      </c>
      <c r="L356">
        <v>1346</v>
      </c>
      <c r="N356">
        <v>1009</v>
      </c>
      <c r="O356" t="s">
        <v>118</v>
      </c>
      <c r="P356" t="s">
        <v>118</v>
      </c>
      <c r="Q356">
        <v>1</v>
      </c>
      <c r="X356">
        <v>0.5</v>
      </c>
      <c r="Y356">
        <v>1.94</v>
      </c>
      <c r="Z356">
        <v>0</v>
      </c>
      <c r="AA356">
        <v>0</v>
      </c>
      <c r="AB356">
        <v>0</v>
      </c>
      <c r="AC356">
        <v>0</v>
      </c>
      <c r="AD356">
        <v>1</v>
      </c>
      <c r="AE356">
        <v>0</v>
      </c>
      <c r="AF356" t="s">
        <v>6</v>
      </c>
      <c r="AG356">
        <v>0.5</v>
      </c>
      <c r="AH356">
        <v>2</v>
      </c>
      <c r="AI356">
        <v>31029435</v>
      </c>
      <c r="AJ356">
        <v>332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</row>
    <row r="357" spans="1:44">
      <c r="A357">
        <f>ROW(Source!A170)</f>
        <v>170</v>
      </c>
      <c r="B357">
        <v>31029446</v>
      </c>
      <c r="C357">
        <v>31029428</v>
      </c>
      <c r="D357">
        <v>29152032</v>
      </c>
      <c r="E357">
        <v>1</v>
      </c>
      <c r="F357">
        <v>1</v>
      </c>
      <c r="G357">
        <v>1</v>
      </c>
      <c r="H357">
        <v>3</v>
      </c>
      <c r="I357" t="s">
        <v>954</v>
      </c>
      <c r="J357" t="s">
        <v>955</v>
      </c>
      <c r="K357" t="s">
        <v>956</v>
      </c>
      <c r="L357">
        <v>1348</v>
      </c>
      <c r="N357">
        <v>1009</v>
      </c>
      <c r="O357" t="s">
        <v>137</v>
      </c>
      <c r="P357" t="s">
        <v>137</v>
      </c>
      <c r="Q357">
        <v>1000</v>
      </c>
      <c r="X357">
        <v>0.375</v>
      </c>
      <c r="Y357">
        <v>4593.7299999999996</v>
      </c>
      <c r="Z357">
        <v>0</v>
      </c>
      <c r="AA357">
        <v>0</v>
      </c>
      <c r="AB357">
        <v>0</v>
      </c>
      <c r="AC357">
        <v>0</v>
      </c>
      <c r="AD357">
        <v>1</v>
      </c>
      <c r="AE357">
        <v>0</v>
      </c>
      <c r="AF357" t="s">
        <v>6</v>
      </c>
      <c r="AG357">
        <v>0.375</v>
      </c>
      <c r="AH357">
        <v>2</v>
      </c>
      <c r="AI357">
        <v>31029436</v>
      </c>
      <c r="AJ357">
        <v>333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</row>
    <row r="358" spans="1:44">
      <c r="A358">
        <f>ROW(Source!A170)</f>
        <v>170</v>
      </c>
      <c r="B358">
        <v>31029447</v>
      </c>
      <c r="C358">
        <v>31029428</v>
      </c>
      <c r="D358">
        <v>29186553</v>
      </c>
      <c r="E358">
        <v>1</v>
      </c>
      <c r="F358">
        <v>1</v>
      </c>
      <c r="G358">
        <v>1</v>
      </c>
      <c r="H358">
        <v>3</v>
      </c>
      <c r="I358" t="s">
        <v>957</v>
      </c>
      <c r="J358" t="s">
        <v>958</v>
      </c>
      <c r="K358" t="s">
        <v>959</v>
      </c>
      <c r="L358">
        <v>1348</v>
      </c>
      <c r="N358">
        <v>1009</v>
      </c>
      <c r="O358" t="s">
        <v>137</v>
      </c>
      <c r="P358" t="s">
        <v>137</v>
      </c>
      <c r="Q358">
        <v>1000</v>
      </c>
      <c r="X358">
        <v>0.05</v>
      </c>
      <c r="Y358">
        <v>9654.98</v>
      </c>
      <c r="Z358">
        <v>0</v>
      </c>
      <c r="AA358">
        <v>0</v>
      </c>
      <c r="AB358">
        <v>0</v>
      </c>
      <c r="AC358">
        <v>0</v>
      </c>
      <c r="AD358">
        <v>1</v>
      </c>
      <c r="AE358">
        <v>0</v>
      </c>
      <c r="AF358" t="s">
        <v>6</v>
      </c>
      <c r="AG358">
        <v>0.05</v>
      </c>
      <c r="AH358">
        <v>2</v>
      </c>
      <c r="AI358">
        <v>31029437</v>
      </c>
      <c r="AJ358">
        <v>334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</row>
    <row r="359" spans="1:44">
      <c r="A359">
        <f>ROW(Source!A170)</f>
        <v>170</v>
      </c>
      <c r="B359">
        <v>31029448</v>
      </c>
      <c r="C359">
        <v>31029428</v>
      </c>
      <c r="D359">
        <v>29195171</v>
      </c>
      <c r="E359">
        <v>1</v>
      </c>
      <c r="F359">
        <v>1</v>
      </c>
      <c r="G359">
        <v>1</v>
      </c>
      <c r="H359">
        <v>3</v>
      </c>
      <c r="I359" t="s">
        <v>830</v>
      </c>
      <c r="J359" t="s">
        <v>831</v>
      </c>
      <c r="K359" t="s">
        <v>832</v>
      </c>
      <c r="L359">
        <v>1339</v>
      </c>
      <c r="N359">
        <v>1007</v>
      </c>
      <c r="O359" t="s">
        <v>109</v>
      </c>
      <c r="P359" t="s">
        <v>109</v>
      </c>
      <c r="Q359">
        <v>1</v>
      </c>
      <c r="X359">
        <v>0.93</v>
      </c>
      <c r="Y359">
        <v>2.4500000000000002</v>
      </c>
      <c r="Z359">
        <v>0</v>
      </c>
      <c r="AA359">
        <v>0</v>
      </c>
      <c r="AB359">
        <v>0</v>
      </c>
      <c r="AC359">
        <v>0</v>
      </c>
      <c r="AD359">
        <v>1</v>
      </c>
      <c r="AE359">
        <v>0</v>
      </c>
      <c r="AF359" t="s">
        <v>6</v>
      </c>
      <c r="AG359">
        <v>0.93</v>
      </c>
      <c r="AH359">
        <v>2</v>
      </c>
      <c r="AI359">
        <v>31029438</v>
      </c>
      <c r="AJ359">
        <v>335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</row>
    <row r="360" spans="1:44">
      <c r="A360">
        <f>ROW(Source!A171)</f>
        <v>171</v>
      </c>
      <c r="B360">
        <v>31029458</v>
      </c>
      <c r="C360">
        <v>31029449</v>
      </c>
      <c r="D360">
        <v>29084579</v>
      </c>
      <c r="E360">
        <v>1</v>
      </c>
      <c r="F360">
        <v>1</v>
      </c>
      <c r="G360">
        <v>1</v>
      </c>
      <c r="H360">
        <v>1</v>
      </c>
      <c r="I360" t="s">
        <v>849</v>
      </c>
      <c r="J360" t="s">
        <v>6</v>
      </c>
      <c r="K360" t="s">
        <v>850</v>
      </c>
      <c r="L360">
        <v>1369</v>
      </c>
      <c r="N360">
        <v>1013</v>
      </c>
      <c r="O360" t="s">
        <v>773</v>
      </c>
      <c r="P360" t="s">
        <v>773</v>
      </c>
      <c r="Q360">
        <v>1</v>
      </c>
      <c r="X360">
        <v>68.75</v>
      </c>
      <c r="Y360">
        <v>0</v>
      </c>
      <c r="Z360">
        <v>0</v>
      </c>
      <c r="AA360">
        <v>0</v>
      </c>
      <c r="AB360">
        <v>9.2899999999999991</v>
      </c>
      <c r="AC360">
        <v>0</v>
      </c>
      <c r="AD360">
        <v>1</v>
      </c>
      <c r="AE360">
        <v>1</v>
      </c>
      <c r="AF360" t="s">
        <v>127</v>
      </c>
      <c r="AG360">
        <v>90.921875</v>
      </c>
      <c r="AH360">
        <v>2</v>
      </c>
      <c r="AI360">
        <v>31029450</v>
      </c>
      <c r="AJ360">
        <v>336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</row>
    <row r="361" spans="1:44">
      <c r="A361">
        <f>ROW(Source!A171)</f>
        <v>171</v>
      </c>
      <c r="B361">
        <v>31029459</v>
      </c>
      <c r="C361">
        <v>31029449</v>
      </c>
      <c r="D361">
        <v>29084573</v>
      </c>
      <c r="E361">
        <v>1</v>
      </c>
      <c r="F361">
        <v>1</v>
      </c>
      <c r="G361">
        <v>1</v>
      </c>
      <c r="H361">
        <v>1</v>
      </c>
      <c r="I361" t="s">
        <v>774</v>
      </c>
      <c r="J361" t="s">
        <v>6</v>
      </c>
      <c r="K361" t="s">
        <v>775</v>
      </c>
      <c r="L361">
        <v>608254</v>
      </c>
      <c r="N361">
        <v>1013</v>
      </c>
      <c r="O361" t="s">
        <v>776</v>
      </c>
      <c r="P361" t="s">
        <v>776</v>
      </c>
      <c r="Q361">
        <v>1</v>
      </c>
      <c r="X361">
        <v>0.03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1</v>
      </c>
      <c r="AE361">
        <v>2</v>
      </c>
      <c r="AF361" t="s">
        <v>126</v>
      </c>
      <c r="AG361">
        <v>4.3124999999999997E-2</v>
      </c>
      <c r="AH361">
        <v>2</v>
      </c>
      <c r="AI361">
        <v>31029451</v>
      </c>
      <c r="AJ361">
        <v>337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</row>
    <row r="362" spans="1:44">
      <c r="A362">
        <f>ROW(Source!A171)</f>
        <v>171</v>
      </c>
      <c r="B362">
        <v>31029460</v>
      </c>
      <c r="C362">
        <v>31029449</v>
      </c>
      <c r="D362">
        <v>29147732</v>
      </c>
      <c r="E362">
        <v>1</v>
      </c>
      <c r="F362">
        <v>1</v>
      </c>
      <c r="G362">
        <v>1</v>
      </c>
      <c r="H362">
        <v>2</v>
      </c>
      <c r="I362" t="s">
        <v>846</v>
      </c>
      <c r="J362" t="s">
        <v>847</v>
      </c>
      <c r="K362" t="s">
        <v>848</v>
      </c>
      <c r="L362">
        <v>1368</v>
      </c>
      <c r="N362">
        <v>1011</v>
      </c>
      <c r="O362" t="s">
        <v>780</v>
      </c>
      <c r="P362" t="s">
        <v>780</v>
      </c>
      <c r="Q362">
        <v>1</v>
      </c>
      <c r="X362">
        <v>0.03</v>
      </c>
      <c r="Y362">
        <v>0</v>
      </c>
      <c r="Z362">
        <v>30.85</v>
      </c>
      <c r="AA362">
        <v>13.03</v>
      </c>
      <c r="AB362">
        <v>0</v>
      </c>
      <c r="AC362">
        <v>0</v>
      </c>
      <c r="AD362">
        <v>1</v>
      </c>
      <c r="AE362">
        <v>0</v>
      </c>
      <c r="AF362" t="s">
        <v>126</v>
      </c>
      <c r="AG362">
        <v>4.3124999999999997E-2</v>
      </c>
      <c r="AH362">
        <v>2</v>
      </c>
      <c r="AI362">
        <v>31029452</v>
      </c>
      <c r="AJ362">
        <v>338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</row>
    <row r="363" spans="1:44">
      <c r="A363">
        <f>ROW(Source!A171)</f>
        <v>171</v>
      </c>
      <c r="B363">
        <v>31029461</v>
      </c>
      <c r="C363">
        <v>31029449</v>
      </c>
      <c r="D363">
        <v>29149520</v>
      </c>
      <c r="E363">
        <v>1</v>
      </c>
      <c r="F363">
        <v>1</v>
      </c>
      <c r="G363">
        <v>1</v>
      </c>
      <c r="H363">
        <v>2</v>
      </c>
      <c r="I363" t="s">
        <v>790</v>
      </c>
      <c r="J363" t="s">
        <v>791</v>
      </c>
      <c r="K363" t="s">
        <v>792</v>
      </c>
      <c r="L363">
        <v>1368</v>
      </c>
      <c r="N363">
        <v>1011</v>
      </c>
      <c r="O363" t="s">
        <v>780</v>
      </c>
      <c r="P363" t="s">
        <v>780</v>
      </c>
      <c r="Q363">
        <v>1</v>
      </c>
      <c r="X363">
        <v>0.2</v>
      </c>
      <c r="Y363">
        <v>0</v>
      </c>
      <c r="Z363">
        <v>91.62</v>
      </c>
      <c r="AA363">
        <v>0</v>
      </c>
      <c r="AB363">
        <v>0</v>
      </c>
      <c r="AC363">
        <v>0</v>
      </c>
      <c r="AD363">
        <v>1</v>
      </c>
      <c r="AE363">
        <v>0</v>
      </c>
      <c r="AF363" t="s">
        <v>126</v>
      </c>
      <c r="AG363">
        <v>0.28749999999999998</v>
      </c>
      <c r="AH363">
        <v>2</v>
      </c>
      <c r="AI363">
        <v>31029453</v>
      </c>
      <c r="AJ363">
        <v>339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</row>
    <row r="364" spans="1:44">
      <c r="A364">
        <f>ROW(Source!A171)</f>
        <v>171</v>
      </c>
      <c r="B364">
        <v>31029462</v>
      </c>
      <c r="C364">
        <v>31029449</v>
      </c>
      <c r="D364">
        <v>29151861</v>
      </c>
      <c r="E364">
        <v>1</v>
      </c>
      <c r="F364">
        <v>1</v>
      </c>
      <c r="G364">
        <v>1</v>
      </c>
      <c r="H364">
        <v>3</v>
      </c>
      <c r="I364" t="s">
        <v>835</v>
      </c>
      <c r="J364" t="s">
        <v>836</v>
      </c>
      <c r="K364" t="s">
        <v>837</v>
      </c>
      <c r="L364">
        <v>1327</v>
      </c>
      <c r="N364">
        <v>1005</v>
      </c>
      <c r="O364" t="s">
        <v>284</v>
      </c>
      <c r="P364" t="s">
        <v>284</v>
      </c>
      <c r="Q364">
        <v>1</v>
      </c>
      <c r="X364">
        <v>0.88</v>
      </c>
      <c r="Y364">
        <v>73.39</v>
      </c>
      <c r="Z364">
        <v>0</v>
      </c>
      <c r="AA364">
        <v>0</v>
      </c>
      <c r="AB364">
        <v>0</v>
      </c>
      <c r="AC364">
        <v>0</v>
      </c>
      <c r="AD364">
        <v>1</v>
      </c>
      <c r="AE364">
        <v>0</v>
      </c>
      <c r="AF364" t="s">
        <v>6</v>
      </c>
      <c r="AG364">
        <v>0.88</v>
      </c>
      <c r="AH364">
        <v>2</v>
      </c>
      <c r="AI364">
        <v>31029454</v>
      </c>
      <c r="AJ364">
        <v>340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</row>
    <row r="365" spans="1:44">
      <c r="A365">
        <f>ROW(Source!A171)</f>
        <v>171</v>
      </c>
      <c r="B365">
        <v>31029463</v>
      </c>
      <c r="C365">
        <v>31029449</v>
      </c>
      <c r="D365">
        <v>29151971</v>
      </c>
      <c r="E365">
        <v>1</v>
      </c>
      <c r="F365">
        <v>1</v>
      </c>
      <c r="G365">
        <v>1</v>
      </c>
      <c r="H365">
        <v>3</v>
      </c>
      <c r="I365" t="s">
        <v>942</v>
      </c>
      <c r="J365" t="s">
        <v>943</v>
      </c>
      <c r="K365" t="s">
        <v>944</v>
      </c>
      <c r="L365">
        <v>1348</v>
      </c>
      <c r="N365">
        <v>1009</v>
      </c>
      <c r="O365" t="s">
        <v>137</v>
      </c>
      <c r="P365" t="s">
        <v>137</v>
      </c>
      <c r="Q365">
        <v>1000</v>
      </c>
      <c r="X365">
        <v>7.9000000000000001E-2</v>
      </c>
      <c r="Y365">
        <v>3311.4</v>
      </c>
      <c r="Z365">
        <v>0</v>
      </c>
      <c r="AA365">
        <v>0</v>
      </c>
      <c r="AB365">
        <v>0</v>
      </c>
      <c r="AC365">
        <v>0</v>
      </c>
      <c r="AD365">
        <v>1</v>
      </c>
      <c r="AE365">
        <v>0</v>
      </c>
      <c r="AF365" t="s">
        <v>6</v>
      </c>
      <c r="AG365">
        <v>7.9000000000000001E-2</v>
      </c>
      <c r="AH365">
        <v>2</v>
      </c>
      <c r="AI365">
        <v>31029455</v>
      </c>
      <c r="AJ365">
        <v>341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</row>
    <row r="366" spans="1:44">
      <c r="A366">
        <f>ROW(Source!A171)</f>
        <v>171</v>
      </c>
      <c r="B366">
        <v>31029464</v>
      </c>
      <c r="C366">
        <v>31029449</v>
      </c>
      <c r="D366">
        <v>29152014</v>
      </c>
      <c r="E366">
        <v>1</v>
      </c>
      <c r="F366">
        <v>1</v>
      </c>
      <c r="G366">
        <v>1</v>
      </c>
      <c r="H366">
        <v>3</v>
      </c>
      <c r="I366" t="s">
        <v>838</v>
      </c>
      <c r="J366" t="s">
        <v>839</v>
      </c>
      <c r="K366" t="s">
        <v>840</v>
      </c>
      <c r="L366">
        <v>1346</v>
      </c>
      <c r="N366">
        <v>1009</v>
      </c>
      <c r="O366" t="s">
        <v>118</v>
      </c>
      <c r="P366" t="s">
        <v>118</v>
      </c>
      <c r="Q366">
        <v>1</v>
      </c>
      <c r="X366">
        <v>0.36</v>
      </c>
      <c r="Y366">
        <v>1.94</v>
      </c>
      <c r="Z366">
        <v>0</v>
      </c>
      <c r="AA366">
        <v>0</v>
      </c>
      <c r="AB366">
        <v>0</v>
      </c>
      <c r="AC366">
        <v>0</v>
      </c>
      <c r="AD366">
        <v>1</v>
      </c>
      <c r="AE366">
        <v>0</v>
      </c>
      <c r="AF366" t="s">
        <v>6</v>
      </c>
      <c r="AG366">
        <v>0.36</v>
      </c>
      <c r="AH366">
        <v>2</v>
      </c>
      <c r="AI366">
        <v>31029456</v>
      </c>
      <c r="AJ366">
        <v>342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</row>
    <row r="367" spans="1:44">
      <c r="A367">
        <f>ROW(Source!A171)</f>
        <v>171</v>
      </c>
      <c r="B367">
        <v>31029465</v>
      </c>
      <c r="C367">
        <v>31029449</v>
      </c>
      <c r="D367">
        <v>29152186</v>
      </c>
      <c r="E367">
        <v>1</v>
      </c>
      <c r="F367">
        <v>1</v>
      </c>
      <c r="G367">
        <v>1</v>
      </c>
      <c r="H367">
        <v>3</v>
      </c>
      <c r="I367" t="s">
        <v>945</v>
      </c>
      <c r="J367" t="s">
        <v>946</v>
      </c>
      <c r="K367" t="s">
        <v>947</v>
      </c>
      <c r="L367">
        <v>1348</v>
      </c>
      <c r="N367">
        <v>1009</v>
      </c>
      <c r="O367" t="s">
        <v>137</v>
      </c>
      <c r="P367" t="s">
        <v>137</v>
      </c>
      <c r="Q367">
        <v>1000</v>
      </c>
      <c r="X367">
        <v>6.3E-2</v>
      </c>
      <c r="Y367">
        <v>16802.490000000002</v>
      </c>
      <c r="Z367">
        <v>0</v>
      </c>
      <c r="AA367">
        <v>0</v>
      </c>
      <c r="AB367">
        <v>0</v>
      </c>
      <c r="AC367">
        <v>0</v>
      </c>
      <c r="AD367">
        <v>1</v>
      </c>
      <c r="AE367">
        <v>0</v>
      </c>
      <c r="AF367" t="s">
        <v>6</v>
      </c>
      <c r="AG367">
        <v>6.3E-2</v>
      </c>
      <c r="AH367">
        <v>2</v>
      </c>
      <c r="AI367">
        <v>31029457</v>
      </c>
      <c r="AJ367">
        <v>343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</row>
    <row r="368" spans="1:44">
      <c r="A368">
        <f>ROW(Source!A173)</f>
        <v>173</v>
      </c>
      <c r="B368">
        <v>31029478</v>
      </c>
      <c r="C368">
        <v>31029467</v>
      </c>
      <c r="D368">
        <v>29084594</v>
      </c>
      <c r="E368">
        <v>1</v>
      </c>
      <c r="F368">
        <v>1</v>
      </c>
      <c r="G368">
        <v>1</v>
      </c>
      <c r="H368">
        <v>1</v>
      </c>
      <c r="I368" t="s">
        <v>922</v>
      </c>
      <c r="J368" t="s">
        <v>6</v>
      </c>
      <c r="K368" t="s">
        <v>923</v>
      </c>
      <c r="L368">
        <v>1369</v>
      </c>
      <c r="N368">
        <v>1013</v>
      </c>
      <c r="O368" t="s">
        <v>773</v>
      </c>
      <c r="P368" t="s">
        <v>773</v>
      </c>
      <c r="Q368">
        <v>1</v>
      </c>
      <c r="X368">
        <v>129.94999999999999</v>
      </c>
      <c r="Y368">
        <v>0</v>
      </c>
      <c r="Z368">
        <v>0</v>
      </c>
      <c r="AA368">
        <v>0</v>
      </c>
      <c r="AB368">
        <v>8.86</v>
      </c>
      <c r="AC368">
        <v>0</v>
      </c>
      <c r="AD368">
        <v>1</v>
      </c>
      <c r="AE368">
        <v>1</v>
      </c>
      <c r="AF368" t="s">
        <v>127</v>
      </c>
      <c r="AG368">
        <v>171.85887499999995</v>
      </c>
      <c r="AH368">
        <v>2</v>
      </c>
      <c r="AI368">
        <v>31029468</v>
      </c>
      <c r="AJ368">
        <v>344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</row>
    <row r="369" spans="1:44">
      <c r="A369">
        <f>ROW(Source!A173)</f>
        <v>173</v>
      </c>
      <c r="B369">
        <v>31029479</v>
      </c>
      <c r="C369">
        <v>31029467</v>
      </c>
      <c r="D369">
        <v>29084573</v>
      </c>
      <c r="E369">
        <v>1</v>
      </c>
      <c r="F369">
        <v>1</v>
      </c>
      <c r="G369">
        <v>1</v>
      </c>
      <c r="H369">
        <v>1</v>
      </c>
      <c r="I369" t="s">
        <v>774</v>
      </c>
      <c r="J369" t="s">
        <v>6</v>
      </c>
      <c r="K369" t="s">
        <v>775</v>
      </c>
      <c r="L369">
        <v>608254</v>
      </c>
      <c r="N369">
        <v>1013</v>
      </c>
      <c r="O369" t="s">
        <v>776</v>
      </c>
      <c r="P369" t="s">
        <v>776</v>
      </c>
      <c r="Q369">
        <v>1</v>
      </c>
      <c r="X369">
        <v>1.44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1</v>
      </c>
      <c r="AE369">
        <v>2</v>
      </c>
      <c r="AF369" t="s">
        <v>126</v>
      </c>
      <c r="AG369">
        <v>2.0699999999999998</v>
      </c>
      <c r="AH369">
        <v>2</v>
      </c>
      <c r="AI369">
        <v>31029469</v>
      </c>
      <c r="AJ369">
        <v>345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</row>
    <row r="370" spans="1:44">
      <c r="A370">
        <f>ROW(Source!A173)</f>
        <v>173</v>
      </c>
      <c r="B370">
        <v>31029480</v>
      </c>
      <c r="C370">
        <v>31029467</v>
      </c>
      <c r="D370">
        <v>29147673</v>
      </c>
      <c r="E370">
        <v>1</v>
      </c>
      <c r="F370">
        <v>1</v>
      </c>
      <c r="G370">
        <v>1</v>
      </c>
      <c r="H370">
        <v>2</v>
      </c>
      <c r="I370" t="s">
        <v>924</v>
      </c>
      <c r="J370" t="s">
        <v>925</v>
      </c>
      <c r="K370" t="s">
        <v>926</v>
      </c>
      <c r="L370">
        <v>1368</v>
      </c>
      <c r="N370">
        <v>1011</v>
      </c>
      <c r="O370" t="s">
        <v>780</v>
      </c>
      <c r="P370" t="s">
        <v>780</v>
      </c>
      <c r="Q370">
        <v>1</v>
      </c>
      <c r="X370">
        <v>0.14000000000000001</v>
      </c>
      <c r="Y370">
        <v>0</v>
      </c>
      <c r="Z370">
        <v>97.95</v>
      </c>
      <c r="AA370">
        <v>9.7100000000000009</v>
      </c>
      <c r="AB370">
        <v>0</v>
      </c>
      <c r="AC370">
        <v>0</v>
      </c>
      <c r="AD370">
        <v>1</v>
      </c>
      <c r="AE370">
        <v>0</v>
      </c>
      <c r="AF370" t="s">
        <v>126</v>
      </c>
      <c r="AG370">
        <v>0.20125000000000001</v>
      </c>
      <c r="AH370">
        <v>2</v>
      </c>
      <c r="AI370">
        <v>31029470</v>
      </c>
      <c r="AJ370">
        <v>346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</row>
    <row r="371" spans="1:44">
      <c r="A371">
        <f>ROW(Source!A173)</f>
        <v>173</v>
      </c>
      <c r="B371">
        <v>31029481</v>
      </c>
      <c r="C371">
        <v>31029467</v>
      </c>
      <c r="D371">
        <v>29147732</v>
      </c>
      <c r="E371">
        <v>1</v>
      </c>
      <c r="F371">
        <v>1</v>
      </c>
      <c r="G371">
        <v>1</v>
      </c>
      <c r="H371">
        <v>2</v>
      </c>
      <c r="I371" t="s">
        <v>846</v>
      </c>
      <c r="J371" t="s">
        <v>847</v>
      </c>
      <c r="K371" t="s">
        <v>848</v>
      </c>
      <c r="L371">
        <v>1368</v>
      </c>
      <c r="N371">
        <v>1011</v>
      </c>
      <c r="O371" t="s">
        <v>780</v>
      </c>
      <c r="P371" t="s">
        <v>780</v>
      </c>
      <c r="Q371">
        <v>1</v>
      </c>
      <c r="X371">
        <v>1.3</v>
      </c>
      <c r="Y371">
        <v>0</v>
      </c>
      <c r="Z371">
        <v>30.85</v>
      </c>
      <c r="AA371">
        <v>13.03</v>
      </c>
      <c r="AB371">
        <v>0</v>
      </c>
      <c r="AC371">
        <v>0</v>
      </c>
      <c r="AD371">
        <v>1</v>
      </c>
      <c r="AE371">
        <v>0</v>
      </c>
      <c r="AF371" t="s">
        <v>126</v>
      </c>
      <c r="AG371">
        <v>1.8687499999999999</v>
      </c>
      <c r="AH371">
        <v>2</v>
      </c>
      <c r="AI371">
        <v>31029471</v>
      </c>
      <c r="AJ371">
        <v>347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</row>
    <row r="372" spans="1:44">
      <c r="A372">
        <f>ROW(Source!A173)</f>
        <v>173</v>
      </c>
      <c r="B372">
        <v>31029482</v>
      </c>
      <c r="C372">
        <v>31029467</v>
      </c>
      <c r="D372">
        <v>29150545</v>
      </c>
      <c r="E372">
        <v>1</v>
      </c>
      <c r="F372">
        <v>1</v>
      </c>
      <c r="G372">
        <v>1</v>
      </c>
      <c r="H372">
        <v>3</v>
      </c>
      <c r="I372" t="s">
        <v>927</v>
      </c>
      <c r="J372" t="s">
        <v>928</v>
      </c>
      <c r="K372" t="s">
        <v>929</v>
      </c>
      <c r="L372">
        <v>1348</v>
      </c>
      <c r="N372">
        <v>1009</v>
      </c>
      <c r="O372" t="s">
        <v>137</v>
      </c>
      <c r="P372" t="s">
        <v>137</v>
      </c>
      <c r="Q372">
        <v>1000</v>
      </c>
      <c r="X372">
        <v>2.5000000000000001E-3</v>
      </c>
      <c r="Y372">
        <v>9206.16</v>
      </c>
      <c r="Z372">
        <v>0</v>
      </c>
      <c r="AA372">
        <v>0</v>
      </c>
      <c r="AB372">
        <v>0</v>
      </c>
      <c r="AC372">
        <v>0</v>
      </c>
      <c r="AD372">
        <v>1</v>
      </c>
      <c r="AE372">
        <v>0</v>
      </c>
      <c r="AF372" t="s">
        <v>6</v>
      </c>
      <c r="AG372">
        <v>2.5000000000000001E-3</v>
      </c>
      <c r="AH372">
        <v>2</v>
      </c>
      <c r="AI372">
        <v>31029472</v>
      </c>
      <c r="AJ372">
        <v>348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</row>
    <row r="373" spans="1:44">
      <c r="A373">
        <f>ROW(Source!A173)</f>
        <v>173</v>
      </c>
      <c r="B373">
        <v>31029483</v>
      </c>
      <c r="C373">
        <v>31029467</v>
      </c>
      <c r="D373">
        <v>29151213</v>
      </c>
      <c r="E373">
        <v>1</v>
      </c>
      <c r="F373">
        <v>1</v>
      </c>
      <c r="G373">
        <v>1</v>
      </c>
      <c r="H373">
        <v>3</v>
      </c>
      <c r="I373" t="s">
        <v>930</v>
      </c>
      <c r="J373" t="s">
        <v>931</v>
      </c>
      <c r="K373" t="s">
        <v>932</v>
      </c>
      <c r="L373">
        <v>1327</v>
      </c>
      <c r="N373">
        <v>1005</v>
      </c>
      <c r="O373" t="s">
        <v>284</v>
      </c>
      <c r="P373" t="s">
        <v>284</v>
      </c>
      <c r="Q373">
        <v>1</v>
      </c>
      <c r="X373">
        <v>108</v>
      </c>
      <c r="Y373">
        <v>9.39</v>
      </c>
      <c r="Z373">
        <v>0</v>
      </c>
      <c r="AA373">
        <v>0</v>
      </c>
      <c r="AB373">
        <v>0</v>
      </c>
      <c r="AC373">
        <v>0</v>
      </c>
      <c r="AD373">
        <v>1</v>
      </c>
      <c r="AE373">
        <v>0</v>
      </c>
      <c r="AF373" t="s">
        <v>6</v>
      </c>
      <c r="AG373">
        <v>108</v>
      </c>
      <c r="AH373">
        <v>2</v>
      </c>
      <c r="AI373">
        <v>31029473</v>
      </c>
      <c r="AJ373">
        <v>349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</row>
    <row r="374" spans="1:44">
      <c r="A374">
        <f>ROW(Source!A173)</f>
        <v>173</v>
      </c>
      <c r="B374">
        <v>31029484</v>
      </c>
      <c r="C374">
        <v>31029467</v>
      </c>
      <c r="D374">
        <v>29151587</v>
      </c>
      <c r="E374">
        <v>1</v>
      </c>
      <c r="F374">
        <v>1</v>
      </c>
      <c r="G374">
        <v>1</v>
      </c>
      <c r="H374">
        <v>3</v>
      </c>
      <c r="I374" t="s">
        <v>933</v>
      </c>
      <c r="J374" t="s">
        <v>934</v>
      </c>
      <c r="K374" t="s">
        <v>935</v>
      </c>
      <c r="L374">
        <v>1348</v>
      </c>
      <c r="N374">
        <v>1009</v>
      </c>
      <c r="O374" t="s">
        <v>137</v>
      </c>
      <c r="P374" t="s">
        <v>137</v>
      </c>
      <c r="Q374">
        <v>1000</v>
      </c>
      <c r="X374">
        <v>1.2999999999999999E-2</v>
      </c>
      <c r="Y374">
        <v>418.43</v>
      </c>
      <c r="Z374">
        <v>0</v>
      </c>
      <c r="AA374">
        <v>0</v>
      </c>
      <c r="AB374">
        <v>0</v>
      </c>
      <c r="AC374">
        <v>0</v>
      </c>
      <c r="AD374">
        <v>1</v>
      </c>
      <c r="AE374">
        <v>0</v>
      </c>
      <c r="AF374" t="s">
        <v>6</v>
      </c>
      <c r="AG374">
        <v>1.2999999999999999E-2</v>
      </c>
      <c r="AH374">
        <v>2</v>
      </c>
      <c r="AI374">
        <v>31029474</v>
      </c>
      <c r="AJ374">
        <v>350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</row>
    <row r="375" spans="1:44">
      <c r="A375">
        <f>ROW(Source!A173)</f>
        <v>173</v>
      </c>
      <c r="B375">
        <v>31029485</v>
      </c>
      <c r="C375">
        <v>31029467</v>
      </c>
      <c r="D375">
        <v>29151964</v>
      </c>
      <c r="E375">
        <v>1</v>
      </c>
      <c r="F375">
        <v>1</v>
      </c>
      <c r="G375">
        <v>1</v>
      </c>
      <c r="H375">
        <v>3</v>
      </c>
      <c r="I375" t="s">
        <v>936</v>
      </c>
      <c r="J375" t="s">
        <v>937</v>
      </c>
      <c r="K375" t="s">
        <v>938</v>
      </c>
      <c r="L375">
        <v>1346</v>
      </c>
      <c r="N375">
        <v>1009</v>
      </c>
      <c r="O375" t="s">
        <v>118</v>
      </c>
      <c r="P375" t="s">
        <v>118</v>
      </c>
      <c r="Q375">
        <v>1</v>
      </c>
      <c r="X375">
        <v>12</v>
      </c>
      <c r="Y375">
        <v>9.8000000000000007</v>
      </c>
      <c r="Z375">
        <v>0</v>
      </c>
      <c r="AA375">
        <v>0</v>
      </c>
      <c r="AB375">
        <v>0</v>
      </c>
      <c r="AC375">
        <v>0</v>
      </c>
      <c r="AD375">
        <v>1</v>
      </c>
      <c r="AE375">
        <v>0</v>
      </c>
      <c r="AF375" t="s">
        <v>6</v>
      </c>
      <c r="AG375">
        <v>12</v>
      </c>
      <c r="AH375">
        <v>2</v>
      </c>
      <c r="AI375">
        <v>31029475</v>
      </c>
      <c r="AJ375">
        <v>351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</row>
    <row r="376" spans="1:44">
      <c r="A376">
        <f>ROW(Source!A173)</f>
        <v>173</v>
      </c>
      <c r="B376">
        <v>31029486</v>
      </c>
      <c r="C376">
        <v>31029467</v>
      </c>
      <c r="D376">
        <v>29186569</v>
      </c>
      <c r="E376">
        <v>1</v>
      </c>
      <c r="F376">
        <v>1</v>
      </c>
      <c r="G376">
        <v>1</v>
      </c>
      <c r="H376">
        <v>3</v>
      </c>
      <c r="I376" t="s">
        <v>939</v>
      </c>
      <c r="J376" t="s">
        <v>940</v>
      </c>
      <c r="K376" t="s">
        <v>941</v>
      </c>
      <c r="L376">
        <v>1339</v>
      </c>
      <c r="N376">
        <v>1007</v>
      </c>
      <c r="O376" t="s">
        <v>109</v>
      </c>
      <c r="P376" t="s">
        <v>109</v>
      </c>
      <c r="Q376">
        <v>1</v>
      </c>
      <c r="X376">
        <v>3.1</v>
      </c>
      <c r="Y376">
        <v>458.28</v>
      </c>
      <c r="Z376">
        <v>0</v>
      </c>
      <c r="AA376">
        <v>0</v>
      </c>
      <c r="AB376">
        <v>0</v>
      </c>
      <c r="AC376">
        <v>0</v>
      </c>
      <c r="AD376">
        <v>1</v>
      </c>
      <c r="AE376">
        <v>0</v>
      </c>
      <c r="AF376" t="s">
        <v>6</v>
      </c>
      <c r="AG376">
        <v>3.1</v>
      </c>
      <c r="AH376">
        <v>2</v>
      </c>
      <c r="AI376">
        <v>31029476</v>
      </c>
      <c r="AJ376">
        <v>352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</row>
    <row r="377" spans="1:44">
      <c r="A377">
        <f>ROW(Source!A173)</f>
        <v>173</v>
      </c>
      <c r="B377">
        <v>31029487</v>
      </c>
      <c r="C377">
        <v>31029467</v>
      </c>
      <c r="D377">
        <v>29195171</v>
      </c>
      <c r="E377">
        <v>1</v>
      </c>
      <c r="F377">
        <v>1</v>
      </c>
      <c r="G377">
        <v>1</v>
      </c>
      <c r="H377">
        <v>3</v>
      </c>
      <c r="I377" t="s">
        <v>830</v>
      </c>
      <c r="J377" t="s">
        <v>831</v>
      </c>
      <c r="K377" t="s">
        <v>832</v>
      </c>
      <c r="L377">
        <v>1339</v>
      </c>
      <c r="N377">
        <v>1007</v>
      </c>
      <c r="O377" t="s">
        <v>109</v>
      </c>
      <c r="P377" t="s">
        <v>109</v>
      </c>
      <c r="Q377">
        <v>1</v>
      </c>
      <c r="X377">
        <v>0.01</v>
      </c>
      <c r="Y377">
        <v>2.4500000000000002</v>
      </c>
      <c r="Z377">
        <v>0</v>
      </c>
      <c r="AA377">
        <v>0</v>
      </c>
      <c r="AB377">
        <v>0</v>
      </c>
      <c r="AC377">
        <v>0</v>
      </c>
      <c r="AD377">
        <v>1</v>
      </c>
      <c r="AE377">
        <v>0</v>
      </c>
      <c r="AF377" t="s">
        <v>6</v>
      </c>
      <c r="AG377">
        <v>0.01</v>
      </c>
      <c r="AH377">
        <v>2</v>
      </c>
      <c r="AI377">
        <v>31029477</v>
      </c>
      <c r="AJ377">
        <v>353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</row>
    <row r="378" spans="1:44">
      <c r="A378">
        <f>ROW(Source!A174)</f>
        <v>174</v>
      </c>
      <c r="B378">
        <v>31029496</v>
      </c>
      <c r="C378">
        <v>31029488</v>
      </c>
      <c r="D378">
        <v>29084596</v>
      </c>
      <c r="E378">
        <v>1</v>
      </c>
      <c r="F378">
        <v>1</v>
      </c>
      <c r="G378">
        <v>1</v>
      </c>
      <c r="H378">
        <v>1</v>
      </c>
      <c r="I378" t="s">
        <v>893</v>
      </c>
      <c r="J378" t="s">
        <v>6</v>
      </c>
      <c r="K378" t="s">
        <v>894</v>
      </c>
      <c r="L378">
        <v>1369</v>
      </c>
      <c r="N378">
        <v>1013</v>
      </c>
      <c r="O378" t="s">
        <v>773</v>
      </c>
      <c r="P378" t="s">
        <v>773</v>
      </c>
      <c r="Q378">
        <v>1</v>
      </c>
      <c r="X378">
        <v>11.99</v>
      </c>
      <c r="Y378">
        <v>0</v>
      </c>
      <c r="Z378">
        <v>0</v>
      </c>
      <c r="AA378">
        <v>0</v>
      </c>
      <c r="AB378">
        <v>9.18</v>
      </c>
      <c r="AC378">
        <v>0</v>
      </c>
      <c r="AD378">
        <v>1</v>
      </c>
      <c r="AE378">
        <v>1</v>
      </c>
      <c r="AF378" t="s">
        <v>127</v>
      </c>
      <c r="AG378">
        <v>15.856774999999997</v>
      </c>
      <c r="AH378">
        <v>2</v>
      </c>
      <c r="AI378">
        <v>31029489</v>
      </c>
      <c r="AJ378">
        <v>354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</row>
    <row r="379" spans="1:44">
      <c r="A379">
        <f>ROW(Source!A174)</f>
        <v>174</v>
      </c>
      <c r="B379">
        <v>31029497</v>
      </c>
      <c r="C379">
        <v>31029488</v>
      </c>
      <c r="D379">
        <v>29084573</v>
      </c>
      <c r="E379">
        <v>1</v>
      </c>
      <c r="F379">
        <v>1</v>
      </c>
      <c r="G379">
        <v>1</v>
      </c>
      <c r="H379">
        <v>1</v>
      </c>
      <c r="I379" t="s">
        <v>774</v>
      </c>
      <c r="J379" t="s">
        <v>6</v>
      </c>
      <c r="K379" t="s">
        <v>775</v>
      </c>
      <c r="L379">
        <v>608254</v>
      </c>
      <c r="N379">
        <v>1013</v>
      </c>
      <c r="O379" t="s">
        <v>776</v>
      </c>
      <c r="P379" t="s">
        <v>776</v>
      </c>
      <c r="Q379">
        <v>1</v>
      </c>
      <c r="X379">
        <v>0.01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1</v>
      </c>
      <c r="AE379">
        <v>2</v>
      </c>
      <c r="AF379" t="s">
        <v>126</v>
      </c>
      <c r="AG379">
        <v>1.4374999999999999E-2</v>
      </c>
      <c r="AH379">
        <v>2</v>
      </c>
      <c r="AI379">
        <v>31029490</v>
      </c>
      <c r="AJ379">
        <v>355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</row>
    <row r="380" spans="1:44">
      <c r="A380">
        <f>ROW(Source!A174)</f>
        <v>174</v>
      </c>
      <c r="B380">
        <v>31029498</v>
      </c>
      <c r="C380">
        <v>31029488</v>
      </c>
      <c r="D380">
        <v>29147732</v>
      </c>
      <c r="E380">
        <v>1</v>
      </c>
      <c r="F380">
        <v>1</v>
      </c>
      <c r="G380">
        <v>1</v>
      </c>
      <c r="H380">
        <v>2</v>
      </c>
      <c r="I380" t="s">
        <v>846</v>
      </c>
      <c r="J380" t="s">
        <v>847</v>
      </c>
      <c r="K380" t="s">
        <v>848</v>
      </c>
      <c r="L380">
        <v>1368</v>
      </c>
      <c r="N380">
        <v>1011</v>
      </c>
      <c r="O380" t="s">
        <v>780</v>
      </c>
      <c r="P380" t="s">
        <v>780</v>
      </c>
      <c r="Q380">
        <v>1</v>
      </c>
      <c r="X380">
        <v>0.01</v>
      </c>
      <c r="Y380">
        <v>0</v>
      </c>
      <c r="Z380">
        <v>30.85</v>
      </c>
      <c r="AA380">
        <v>13.03</v>
      </c>
      <c r="AB380">
        <v>0</v>
      </c>
      <c r="AC380">
        <v>0</v>
      </c>
      <c r="AD380">
        <v>1</v>
      </c>
      <c r="AE380">
        <v>0</v>
      </c>
      <c r="AF380" t="s">
        <v>126</v>
      </c>
      <c r="AG380">
        <v>1.4374999999999999E-2</v>
      </c>
      <c r="AH380">
        <v>2</v>
      </c>
      <c r="AI380">
        <v>31029491</v>
      </c>
      <c r="AJ380">
        <v>356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</row>
    <row r="381" spans="1:44">
      <c r="A381">
        <f>ROW(Source!A174)</f>
        <v>174</v>
      </c>
      <c r="B381">
        <v>31029499</v>
      </c>
      <c r="C381">
        <v>31029488</v>
      </c>
      <c r="D381">
        <v>29149520</v>
      </c>
      <c r="E381">
        <v>1</v>
      </c>
      <c r="F381">
        <v>1</v>
      </c>
      <c r="G381">
        <v>1</v>
      </c>
      <c r="H381">
        <v>2</v>
      </c>
      <c r="I381" t="s">
        <v>790</v>
      </c>
      <c r="J381" t="s">
        <v>791</v>
      </c>
      <c r="K381" t="s">
        <v>792</v>
      </c>
      <c r="L381">
        <v>1368</v>
      </c>
      <c r="N381">
        <v>1011</v>
      </c>
      <c r="O381" t="s">
        <v>780</v>
      </c>
      <c r="P381" t="s">
        <v>780</v>
      </c>
      <c r="Q381">
        <v>1</v>
      </c>
      <c r="X381">
        <v>0.03</v>
      </c>
      <c r="Y381">
        <v>0</v>
      </c>
      <c r="Z381">
        <v>91.62</v>
      </c>
      <c r="AA381">
        <v>0</v>
      </c>
      <c r="AB381">
        <v>0</v>
      </c>
      <c r="AC381">
        <v>0</v>
      </c>
      <c r="AD381">
        <v>1</v>
      </c>
      <c r="AE381">
        <v>0</v>
      </c>
      <c r="AF381" t="s">
        <v>126</v>
      </c>
      <c r="AG381">
        <v>4.3124999999999997E-2</v>
      </c>
      <c r="AH381">
        <v>2</v>
      </c>
      <c r="AI381">
        <v>31029492</v>
      </c>
      <c r="AJ381">
        <v>357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</row>
    <row r="382" spans="1:44">
      <c r="A382">
        <f>ROW(Source!A174)</f>
        <v>174</v>
      </c>
      <c r="B382">
        <v>31029500</v>
      </c>
      <c r="C382">
        <v>31029488</v>
      </c>
      <c r="D382">
        <v>29151861</v>
      </c>
      <c r="E382">
        <v>1</v>
      </c>
      <c r="F382">
        <v>1</v>
      </c>
      <c r="G382">
        <v>1</v>
      </c>
      <c r="H382">
        <v>3</v>
      </c>
      <c r="I382" t="s">
        <v>835</v>
      </c>
      <c r="J382" t="s">
        <v>836</v>
      </c>
      <c r="K382" t="s">
        <v>837</v>
      </c>
      <c r="L382">
        <v>1327</v>
      </c>
      <c r="N382">
        <v>1005</v>
      </c>
      <c r="O382" t="s">
        <v>284</v>
      </c>
      <c r="P382" t="s">
        <v>284</v>
      </c>
      <c r="Q382">
        <v>1</v>
      </c>
      <c r="X382">
        <v>4.4000000000000004</v>
      </c>
      <c r="Y382">
        <v>73.39</v>
      </c>
      <c r="Z382">
        <v>0</v>
      </c>
      <c r="AA382">
        <v>0</v>
      </c>
      <c r="AB382">
        <v>0</v>
      </c>
      <c r="AC382">
        <v>0</v>
      </c>
      <c r="AD382">
        <v>1</v>
      </c>
      <c r="AE382">
        <v>0</v>
      </c>
      <c r="AF382" t="s">
        <v>6</v>
      </c>
      <c r="AG382">
        <v>4.4000000000000004</v>
      </c>
      <c r="AH382">
        <v>2</v>
      </c>
      <c r="AI382">
        <v>31029493</v>
      </c>
      <c r="AJ382">
        <v>358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</row>
    <row r="383" spans="1:44">
      <c r="A383">
        <f>ROW(Source!A174)</f>
        <v>174</v>
      </c>
      <c r="B383">
        <v>31029501</v>
      </c>
      <c r="C383">
        <v>31029488</v>
      </c>
      <c r="D383">
        <v>29151929</v>
      </c>
      <c r="E383">
        <v>1</v>
      </c>
      <c r="F383">
        <v>1</v>
      </c>
      <c r="G383">
        <v>1</v>
      </c>
      <c r="H383">
        <v>3</v>
      </c>
      <c r="I383" t="s">
        <v>914</v>
      </c>
      <c r="J383" t="s">
        <v>915</v>
      </c>
      <c r="K383" t="s">
        <v>916</v>
      </c>
      <c r="L383">
        <v>1348</v>
      </c>
      <c r="N383">
        <v>1009</v>
      </c>
      <c r="O383" t="s">
        <v>137</v>
      </c>
      <c r="P383" t="s">
        <v>137</v>
      </c>
      <c r="Q383">
        <v>1000</v>
      </c>
      <c r="X383">
        <v>2.9000000000000001E-2</v>
      </c>
      <c r="Y383">
        <v>3151.95</v>
      </c>
      <c r="Z383">
        <v>0</v>
      </c>
      <c r="AA383">
        <v>0</v>
      </c>
      <c r="AB383">
        <v>0</v>
      </c>
      <c r="AC383">
        <v>0</v>
      </c>
      <c r="AD383">
        <v>1</v>
      </c>
      <c r="AE383">
        <v>0</v>
      </c>
      <c r="AF383" t="s">
        <v>6</v>
      </c>
      <c r="AG383">
        <v>2.9000000000000001E-2</v>
      </c>
      <c r="AH383">
        <v>2</v>
      </c>
      <c r="AI383">
        <v>31029494</v>
      </c>
      <c r="AJ383">
        <v>359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</row>
    <row r="384" spans="1:44">
      <c r="A384">
        <f>ROW(Source!A174)</f>
        <v>174</v>
      </c>
      <c r="B384">
        <v>31029502</v>
      </c>
      <c r="C384">
        <v>31029488</v>
      </c>
      <c r="D384">
        <v>29152014</v>
      </c>
      <c r="E384">
        <v>1</v>
      </c>
      <c r="F384">
        <v>1</v>
      </c>
      <c r="G384">
        <v>1</v>
      </c>
      <c r="H384">
        <v>3</v>
      </c>
      <c r="I384" t="s">
        <v>838</v>
      </c>
      <c r="J384" t="s">
        <v>839</v>
      </c>
      <c r="K384" t="s">
        <v>840</v>
      </c>
      <c r="L384">
        <v>1346</v>
      </c>
      <c r="N384">
        <v>1009</v>
      </c>
      <c r="O384" t="s">
        <v>118</v>
      </c>
      <c r="P384" t="s">
        <v>118</v>
      </c>
      <c r="Q384">
        <v>1</v>
      </c>
      <c r="X384">
        <v>0.15</v>
      </c>
      <c r="Y384">
        <v>1.94</v>
      </c>
      <c r="Z384">
        <v>0</v>
      </c>
      <c r="AA384">
        <v>0</v>
      </c>
      <c r="AB384">
        <v>0</v>
      </c>
      <c r="AC384">
        <v>0</v>
      </c>
      <c r="AD384">
        <v>1</v>
      </c>
      <c r="AE384">
        <v>0</v>
      </c>
      <c r="AF384" t="s">
        <v>6</v>
      </c>
      <c r="AG384">
        <v>0.15</v>
      </c>
      <c r="AH384">
        <v>2</v>
      </c>
      <c r="AI384">
        <v>31029495</v>
      </c>
      <c r="AJ384">
        <v>360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</row>
    <row r="385" spans="1:44">
      <c r="A385">
        <f>ROW(Source!A175)</f>
        <v>175</v>
      </c>
      <c r="B385">
        <v>31029518</v>
      </c>
      <c r="C385">
        <v>31029503</v>
      </c>
      <c r="D385">
        <v>29084594</v>
      </c>
      <c r="E385">
        <v>1</v>
      </c>
      <c r="F385">
        <v>1</v>
      </c>
      <c r="G385">
        <v>1</v>
      </c>
      <c r="H385">
        <v>1</v>
      </c>
      <c r="I385" t="s">
        <v>922</v>
      </c>
      <c r="J385" t="s">
        <v>6</v>
      </c>
      <c r="K385" t="s">
        <v>923</v>
      </c>
      <c r="L385">
        <v>1369</v>
      </c>
      <c r="N385">
        <v>1013</v>
      </c>
      <c r="O385" t="s">
        <v>773</v>
      </c>
      <c r="P385" t="s">
        <v>773</v>
      </c>
      <c r="Q385">
        <v>1</v>
      </c>
      <c r="X385">
        <v>159.66999999999999</v>
      </c>
      <c r="Y385">
        <v>0</v>
      </c>
      <c r="Z385">
        <v>0</v>
      </c>
      <c r="AA385">
        <v>0</v>
      </c>
      <c r="AB385">
        <v>8.86</v>
      </c>
      <c r="AC385">
        <v>0</v>
      </c>
      <c r="AD385">
        <v>1</v>
      </c>
      <c r="AE385">
        <v>1</v>
      </c>
      <c r="AF385" t="s">
        <v>127</v>
      </c>
      <c r="AG385">
        <v>211.16357499999995</v>
      </c>
      <c r="AH385">
        <v>2</v>
      </c>
      <c r="AI385">
        <v>31029504</v>
      </c>
      <c r="AJ385">
        <v>361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</row>
    <row r="386" spans="1:44">
      <c r="A386">
        <f>ROW(Source!A175)</f>
        <v>175</v>
      </c>
      <c r="B386">
        <v>31029519</v>
      </c>
      <c r="C386">
        <v>31029503</v>
      </c>
      <c r="D386">
        <v>29084573</v>
      </c>
      <c r="E386">
        <v>1</v>
      </c>
      <c r="F386">
        <v>1</v>
      </c>
      <c r="G386">
        <v>1</v>
      </c>
      <c r="H386">
        <v>1</v>
      </c>
      <c r="I386" t="s">
        <v>774</v>
      </c>
      <c r="J386" t="s">
        <v>6</v>
      </c>
      <c r="K386" t="s">
        <v>775</v>
      </c>
      <c r="L386">
        <v>608254</v>
      </c>
      <c r="N386">
        <v>1013</v>
      </c>
      <c r="O386" t="s">
        <v>776</v>
      </c>
      <c r="P386" t="s">
        <v>776</v>
      </c>
      <c r="Q386">
        <v>1</v>
      </c>
      <c r="X386">
        <v>1.65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1</v>
      </c>
      <c r="AE386">
        <v>2</v>
      </c>
      <c r="AF386" t="s">
        <v>126</v>
      </c>
      <c r="AG386">
        <v>2.3718749999999997</v>
      </c>
      <c r="AH386">
        <v>2</v>
      </c>
      <c r="AI386">
        <v>31029505</v>
      </c>
      <c r="AJ386">
        <v>362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</row>
    <row r="387" spans="1:44">
      <c r="A387">
        <f>ROW(Source!A175)</f>
        <v>175</v>
      </c>
      <c r="B387">
        <v>31029520</v>
      </c>
      <c r="C387">
        <v>31029503</v>
      </c>
      <c r="D387">
        <v>29147673</v>
      </c>
      <c r="E387">
        <v>1</v>
      </c>
      <c r="F387">
        <v>1</v>
      </c>
      <c r="G387">
        <v>1</v>
      </c>
      <c r="H387">
        <v>2</v>
      </c>
      <c r="I387" t="s">
        <v>924</v>
      </c>
      <c r="J387" t="s">
        <v>925</v>
      </c>
      <c r="K387" t="s">
        <v>926</v>
      </c>
      <c r="L387">
        <v>1368</v>
      </c>
      <c r="N387">
        <v>1011</v>
      </c>
      <c r="O387" t="s">
        <v>780</v>
      </c>
      <c r="P387" t="s">
        <v>780</v>
      </c>
      <c r="Q387">
        <v>1</v>
      </c>
      <c r="X387">
        <v>0.08</v>
      </c>
      <c r="Y387">
        <v>0</v>
      </c>
      <c r="Z387">
        <v>97.95</v>
      </c>
      <c r="AA387">
        <v>9.7100000000000009</v>
      </c>
      <c r="AB387">
        <v>0</v>
      </c>
      <c r="AC387">
        <v>0</v>
      </c>
      <c r="AD387">
        <v>1</v>
      </c>
      <c r="AE387">
        <v>0</v>
      </c>
      <c r="AF387" t="s">
        <v>126</v>
      </c>
      <c r="AG387">
        <v>0.11499999999999999</v>
      </c>
      <c r="AH387">
        <v>2</v>
      </c>
      <c r="AI387">
        <v>31029506</v>
      </c>
      <c r="AJ387">
        <v>363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</row>
    <row r="388" spans="1:44">
      <c r="A388">
        <f>ROW(Source!A175)</f>
        <v>175</v>
      </c>
      <c r="B388">
        <v>31029521</v>
      </c>
      <c r="C388">
        <v>31029503</v>
      </c>
      <c r="D388">
        <v>29147732</v>
      </c>
      <c r="E388">
        <v>1</v>
      </c>
      <c r="F388">
        <v>1</v>
      </c>
      <c r="G388">
        <v>1</v>
      </c>
      <c r="H388">
        <v>2</v>
      </c>
      <c r="I388" t="s">
        <v>846</v>
      </c>
      <c r="J388" t="s">
        <v>847</v>
      </c>
      <c r="K388" t="s">
        <v>848</v>
      </c>
      <c r="L388">
        <v>1368</v>
      </c>
      <c r="N388">
        <v>1011</v>
      </c>
      <c r="O388" t="s">
        <v>780</v>
      </c>
      <c r="P388" t="s">
        <v>780</v>
      </c>
      <c r="Q388">
        <v>1</v>
      </c>
      <c r="X388">
        <v>0.27</v>
      </c>
      <c r="Y388">
        <v>0</v>
      </c>
      <c r="Z388">
        <v>30.85</v>
      </c>
      <c r="AA388">
        <v>13.03</v>
      </c>
      <c r="AB388">
        <v>0</v>
      </c>
      <c r="AC388">
        <v>0</v>
      </c>
      <c r="AD388">
        <v>1</v>
      </c>
      <c r="AE388">
        <v>0</v>
      </c>
      <c r="AF388" t="s">
        <v>126</v>
      </c>
      <c r="AG388">
        <v>0.388125</v>
      </c>
      <c r="AH388">
        <v>2</v>
      </c>
      <c r="AI388">
        <v>31029507</v>
      </c>
      <c r="AJ388">
        <v>364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</row>
    <row r="389" spans="1:44">
      <c r="A389">
        <f>ROW(Source!A175)</f>
        <v>175</v>
      </c>
      <c r="B389">
        <v>31029522</v>
      </c>
      <c r="C389">
        <v>31029503</v>
      </c>
      <c r="D389">
        <v>29148135</v>
      </c>
      <c r="E389">
        <v>1</v>
      </c>
      <c r="F389">
        <v>1</v>
      </c>
      <c r="G389">
        <v>1</v>
      </c>
      <c r="H389">
        <v>2</v>
      </c>
      <c r="I389" t="s">
        <v>948</v>
      </c>
      <c r="J389" t="s">
        <v>949</v>
      </c>
      <c r="K389" t="s">
        <v>950</v>
      </c>
      <c r="L389">
        <v>1368</v>
      </c>
      <c r="N389">
        <v>1011</v>
      </c>
      <c r="O389" t="s">
        <v>780</v>
      </c>
      <c r="P389" t="s">
        <v>780</v>
      </c>
      <c r="Q389">
        <v>1</v>
      </c>
      <c r="X389">
        <v>1.3</v>
      </c>
      <c r="Y389">
        <v>0</v>
      </c>
      <c r="Z389">
        <v>12.04</v>
      </c>
      <c r="AA389">
        <v>9.7100000000000009</v>
      </c>
      <c r="AB389">
        <v>0</v>
      </c>
      <c r="AC389">
        <v>0</v>
      </c>
      <c r="AD389">
        <v>1</v>
      </c>
      <c r="AE389">
        <v>0</v>
      </c>
      <c r="AF389" t="s">
        <v>126</v>
      </c>
      <c r="AG389">
        <v>1.8687499999999999</v>
      </c>
      <c r="AH389">
        <v>2</v>
      </c>
      <c r="AI389">
        <v>31029508</v>
      </c>
      <c r="AJ389">
        <v>365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</row>
    <row r="390" spans="1:44">
      <c r="A390">
        <f>ROW(Source!A175)</f>
        <v>175</v>
      </c>
      <c r="B390">
        <v>31029523</v>
      </c>
      <c r="C390">
        <v>31029503</v>
      </c>
      <c r="D390">
        <v>29150615</v>
      </c>
      <c r="E390">
        <v>1</v>
      </c>
      <c r="F390">
        <v>1</v>
      </c>
      <c r="G390">
        <v>1</v>
      </c>
      <c r="H390">
        <v>3</v>
      </c>
      <c r="I390" t="s">
        <v>951</v>
      </c>
      <c r="J390" t="s">
        <v>952</v>
      </c>
      <c r="K390" t="s">
        <v>953</v>
      </c>
      <c r="L390">
        <v>1327</v>
      </c>
      <c r="N390">
        <v>1005</v>
      </c>
      <c r="O390" t="s">
        <v>284</v>
      </c>
      <c r="P390" t="s">
        <v>284</v>
      </c>
      <c r="Q390">
        <v>1</v>
      </c>
      <c r="X390">
        <v>100</v>
      </c>
      <c r="Y390">
        <v>72.97</v>
      </c>
      <c r="Z390">
        <v>0</v>
      </c>
      <c r="AA390">
        <v>0</v>
      </c>
      <c r="AB390">
        <v>0</v>
      </c>
      <c r="AC390">
        <v>0</v>
      </c>
      <c r="AD390">
        <v>1</v>
      </c>
      <c r="AE390">
        <v>0</v>
      </c>
      <c r="AF390" t="s">
        <v>6</v>
      </c>
      <c r="AG390">
        <v>100</v>
      </c>
      <c r="AH390">
        <v>2</v>
      </c>
      <c r="AI390">
        <v>31029509</v>
      </c>
      <c r="AJ390">
        <v>366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</row>
    <row r="391" spans="1:44">
      <c r="A391">
        <f>ROW(Source!A175)</f>
        <v>175</v>
      </c>
      <c r="B391">
        <v>31029514</v>
      </c>
      <c r="C391">
        <v>31029503</v>
      </c>
      <c r="D391">
        <v>29152014</v>
      </c>
      <c r="E391">
        <v>1</v>
      </c>
      <c r="F391">
        <v>1</v>
      </c>
      <c r="G391">
        <v>1</v>
      </c>
      <c r="H391">
        <v>3</v>
      </c>
      <c r="I391" t="s">
        <v>838</v>
      </c>
      <c r="J391" t="s">
        <v>839</v>
      </c>
      <c r="K391" t="s">
        <v>840</v>
      </c>
      <c r="L391">
        <v>1346</v>
      </c>
      <c r="N391">
        <v>1009</v>
      </c>
      <c r="O391" t="s">
        <v>118</v>
      </c>
      <c r="P391" t="s">
        <v>118</v>
      </c>
      <c r="Q391">
        <v>1</v>
      </c>
      <c r="X391">
        <v>0.5</v>
      </c>
      <c r="Y391">
        <v>1.94</v>
      </c>
      <c r="Z391">
        <v>0</v>
      </c>
      <c r="AA391">
        <v>0</v>
      </c>
      <c r="AB391">
        <v>0</v>
      </c>
      <c r="AC391">
        <v>0</v>
      </c>
      <c r="AD391">
        <v>1</v>
      </c>
      <c r="AE391">
        <v>0</v>
      </c>
      <c r="AF391" t="s">
        <v>6</v>
      </c>
      <c r="AG391">
        <v>0.5</v>
      </c>
      <c r="AH391">
        <v>2</v>
      </c>
      <c r="AI391">
        <v>31029510</v>
      </c>
      <c r="AJ391">
        <v>367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</row>
    <row r="392" spans="1:44">
      <c r="A392">
        <f>ROW(Source!A175)</f>
        <v>175</v>
      </c>
      <c r="B392">
        <v>31029515</v>
      </c>
      <c r="C392">
        <v>31029503</v>
      </c>
      <c r="D392">
        <v>29152032</v>
      </c>
      <c r="E392">
        <v>1</v>
      </c>
      <c r="F392">
        <v>1</v>
      </c>
      <c r="G392">
        <v>1</v>
      </c>
      <c r="H392">
        <v>3</v>
      </c>
      <c r="I392" t="s">
        <v>954</v>
      </c>
      <c r="J392" t="s">
        <v>955</v>
      </c>
      <c r="K392" t="s">
        <v>956</v>
      </c>
      <c r="L392">
        <v>1348</v>
      </c>
      <c r="N392">
        <v>1009</v>
      </c>
      <c r="O392" t="s">
        <v>137</v>
      </c>
      <c r="P392" t="s">
        <v>137</v>
      </c>
      <c r="Q392">
        <v>1000</v>
      </c>
      <c r="X392">
        <v>0.375</v>
      </c>
      <c r="Y392">
        <v>4593.7299999999996</v>
      </c>
      <c r="Z392">
        <v>0</v>
      </c>
      <c r="AA392">
        <v>0</v>
      </c>
      <c r="AB392">
        <v>0</v>
      </c>
      <c r="AC392">
        <v>0</v>
      </c>
      <c r="AD392">
        <v>1</v>
      </c>
      <c r="AE392">
        <v>0</v>
      </c>
      <c r="AF392" t="s">
        <v>6</v>
      </c>
      <c r="AG392">
        <v>0.375</v>
      </c>
      <c r="AH392">
        <v>2</v>
      </c>
      <c r="AI392">
        <v>31029511</v>
      </c>
      <c r="AJ392">
        <v>368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</row>
    <row r="393" spans="1:44">
      <c r="A393">
        <f>ROW(Source!A175)</f>
        <v>175</v>
      </c>
      <c r="B393">
        <v>31029516</v>
      </c>
      <c r="C393">
        <v>31029503</v>
      </c>
      <c r="D393">
        <v>29186553</v>
      </c>
      <c r="E393">
        <v>1</v>
      </c>
      <c r="F393">
        <v>1</v>
      </c>
      <c r="G393">
        <v>1</v>
      </c>
      <c r="H393">
        <v>3</v>
      </c>
      <c r="I393" t="s">
        <v>957</v>
      </c>
      <c r="J393" t="s">
        <v>958</v>
      </c>
      <c r="K393" t="s">
        <v>959</v>
      </c>
      <c r="L393">
        <v>1348</v>
      </c>
      <c r="N393">
        <v>1009</v>
      </c>
      <c r="O393" t="s">
        <v>137</v>
      </c>
      <c r="P393" t="s">
        <v>137</v>
      </c>
      <c r="Q393">
        <v>1000</v>
      </c>
      <c r="X393">
        <v>0.05</v>
      </c>
      <c r="Y393">
        <v>9654.98</v>
      </c>
      <c r="Z393">
        <v>0</v>
      </c>
      <c r="AA393">
        <v>0</v>
      </c>
      <c r="AB393">
        <v>0</v>
      </c>
      <c r="AC393">
        <v>0</v>
      </c>
      <c r="AD393">
        <v>1</v>
      </c>
      <c r="AE393">
        <v>0</v>
      </c>
      <c r="AF393" t="s">
        <v>6</v>
      </c>
      <c r="AG393">
        <v>0.05</v>
      </c>
      <c r="AH393">
        <v>2</v>
      </c>
      <c r="AI393">
        <v>31029512</v>
      </c>
      <c r="AJ393">
        <v>369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</row>
    <row r="394" spans="1:44">
      <c r="A394">
        <f>ROW(Source!A175)</f>
        <v>175</v>
      </c>
      <c r="B394">
        <v>31029517</v>
      </c>
      <c r="C394">
        <v>31029503</v>
      </c>
      <c r="D394">
        <v>29195171</v>
      </c>
      <c r="E394">
        <v>1</v>
      </c>
      <c r="F394">
        <v>1</v>
      </c>
      <c r="G394">
        <v>1</v>
      </c>
      <c r="H394">
        <v>3</v>
      </c>
      <c r="I394" t="s">
        <v>830</v>
      </c>
      <c r="J394" t="s">
        <v>831</v>
      </c>
      <c r="K394" t="s">
        <v>832</v>
      </c>
      <c r="L394">
        <v>1339</v>
      </c>
      <c r="N394">
        <v>1007</v>
      </c>
      <c r="O394" t="s">
        <v>109</v>
      </c>
      <c r="P394" t="s">
        <v>109</v>
      </c>
      <c r="Q394">
        <v>1</v>
      </c>
      <c r="X394">
        <v>0.93</v>
      </c>
      <c r="Y394">
        <v>2.4500000000000002</v>
      </c>
      <c r="Z394">
        <v>0</v>
      </c>
      <c r="AA394">
        <v>0</v>
      </c>
      <c r="AB394">
        <v>0</v>
      </c>
      <c r="AC394">
        <v>0</v>
      </c>
      <c r="AD394">
        <v>1</v>
      </c>
      <c r="AE394">
        <v>0</v>
      </c>
      <c r="AF394" t="s">
        <v>6</v>
      </c>
      <c r="AG394">
        <v>0.93</v>
      </c>
      <c r="AH394">
        <v>2</v>
      </c>
      <c r="AI394">
        <v>31029513</v>
      </c>
      <c r="AJ394">
        <v>370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</row>
    <row r="395" spans="1:44">
      <c r="A395">
        <f>ROW(Source!A176)</f>
        <v>176</v>
      </c>
      <c r="B395">
        <v>31029533</v>
      </c>
      <c r="C395">
        <v>31029524</v>
      </c>
      <c r="D395">
        <v>29084579</v>
      </c>
      <c r="E395">
        <v>1</v>
      </c>
      <c r="F395">
        <v>1</v>
      </c>
      <c r="G395">
        <v>1</v>
      </c>
      <c r="H395">
        <v>1</v>
      </c>
      <c r="I395" t="s">
        <v>849</v>
      </c>
      <c r="J395" t="s">
        <v>6</v>
      </c>
      <c r="K395" t="s">
        <v>850</v>
      </c>
      <c r="L395">
        <v>1369</v>
      </c>
      <c r="N395">
        <v>1013</v>
      </c>
      <c r="O395" t="s">
        <v>773</v>
      </c>
      <c r="P395" t="s">
        <v>773</v>
      </c>
      <c r="Q395">
        <v>1</v>
      </c>
      <c r="X395">
        <v>68.75</v>
      </c>
      <c r="Y395">
        <v>0</v>
      </c>
      <c r="Z395">
        <v>0</v>
      </c>
      <c r="AA395">
        <v>0</v>
      </c>
      <c r="AB395">
        <v>9.2899999999999991</v>
      </c>
      <c r="AC395">
        <v>0</v>
      </c>
      <c r="AD395">
        <v>1</v>
      </c>
      <c r="AE395">
        <v>1</v>
      </c>
      <c r="AF395" t="s">
        <v>127</v>
      </c>
      <c r="AG395">
        <v>90.921875</v>
      </c>
      <c r="AH395">
        <v>2</v>
      </c>
      <c r="AI395">
        <v>31029525</v>
      </c>
      <c r="AJ395">
        <v>371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</row>
    <row r="396" spans="1:44">
      <c r="A396">
        <f>ROW(Source!A176)</f>
        <v>176</v>
      </c>
      <c r="B396">
        <v>31029534</v>
      </c>
      <c r="C396">
        <v>31029524</v>
      </c>
      <c r="D396">
        <v>29084573</v>
      </c>
      <c r="E396">
        <v>1</v>
      </c>
      <c r="F396">
        <v>1</v>
      </c>
      <c r="G396">
        <v>1</v>
      </c>
      <c r="H396">
        <v>1</v>
      </c>
      <c r="I396" t="s">
        <v>774</v>
      </c>
      <c r="J396" t="s">
        <v>6</v>
      </c>
      <c r="K396" t="s">
        <v>775</v>
      </c>
      <c r="L396">
        <v>608254</v>
      </c>
      <c r="N396">
        <v>1013</v>
      </c>
      <c r="O396" t="s">
        <v>776</v>
      </c>
      <c r="P396" t="s">
        <v>776</v>
      </c>
      <c r="Q396">
        <v>1</v>
      </c>
      <c r="X396">
        <v>0.03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1</v>
      </c>
      <c r="AE396">
        <v>2</v>
      </c>
      <c r="AF396" t="s">
        <v>126</v>
      </c>
      <c r="AG396">
        <v>4.3124999999999997E-2</v>
      </c>
      <c r="AH396">
        <v>2</v>
      </c>
      <c r="AI396">
        <v>31029526</v>
      </c>
      <c r="AJ396">
        <v>372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</row>
    <row r="397" spans="1:44">
      <c r="A397">
        <f>ROW(Source!A176)</f>
        <v>176</v>
      </c>
      <c r="B397">
        <v>31029535</v>
      </c>
      <c r="C397">
        <v>31029524</v>
      </c>
      <c r="D397">
        <v>29147732</v>
      </c>
      <c r="E397">
        <v>1</v>
      </c>
      <c r="F397">
        <v>1</v>
      </c>
      <c r="G397">
        <v>1</v>
      </c>
      <c r="H397">
        <v>2</v>
      </c>
      <c r="I397" t="s">
        <v>846</v>
      </c>
      <c r="J397" t="s">
        <v>847</v>
      </c>
      <c r="K397" t="s">
        <v>848</v>
      </c>
      <c r="L397">
        <v>1368</v>
      </c>
      <c r="N397">
        <v>1011</v>
      </c>
      <c r="O397" t="s">
        <v>780</v>
      </c>
      <c r="P397" t="s">
        <v>780</v>
      </c>
      <c r="Q397">
        <v>1</v>
      </c>
      <c r="X397">
        <v>0.03</v>
      </c>
      <c r="Y397">
        <v>0</v>
      </c>
      <c r="Z397">
        <v>30.85</v>
      </c>
      <c r="AA397">
        <v>13.03</v>
      </c>
      <c r="AB397">
        <v>0</v>
      </c>
      <c r="AC397">
        <v>0</v>
      </c>
      <c r="AD397">
        <v>1</v>
      </c>
      <c r="AE397">
        <v>0</v>
      </c>
      <c r="AF397" t="s">
        <v>126</v>
      </c>
      <c r="AG397">
        <v>4.3124999999999997E-2</v>
      </c>
      <c r="AH397">
        <v>2</v>
      </c>
      <c r="AI397">
        <v>31029527</v>
      </c>
      <c r="AJ397">
        <v>373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</row>
    <row r="398" spans="1:44">
      <c r="A398">
        <f>ROW(Source!A176)</f>
        <v>176</v>
      </c>
      <c r="B398">
        <v>31029536</v>
      </c>
      <c r="C398">
        <v>31029524</v>
      </c>
      <c r="D398">
        <v>29149520</v>
      </c>
      <c r="E398">
        <v>1</v>
      </c>
      <c r="F398">
        <v>1</v>
      </c>
      <c r="G398">
        <v>1</v>
      </c>
      <c r="H398">
        <v>2</v>
      </c>
      <c r="I398" t="s">
        <v>790</v>
      </c>
      <c r="J398" t="s">
        <v>791</v>
      </c>
      <c r="K398" t="s">
        <v>792</v>
      </c>
      <c r="L398">
        <v>1368</v>
      </c>
      <c r="N398">
        <v>1011</v>
      </c>
      <c r="O398" t="s">
        <v>780</v>
      </c>
      <c r="P398" t="s">
        <v>780</v>
      </c>
      <c r="Q398">
        <v>1</v>
      </c>
      <c r="X398">
        <v>0.2</v>
      </c>
      <c r="Y398">
        <v>0</v>
      </c>
      <c r="Z398">
        <v>91.62</v>
      </c>
      <c r="AA398">
        <v>0</v>
      </c>
      <c r="AB398">
        <v>0</v>
      </c>
      <c r="AC398">
        <v>0</v>
      </c>
      <c r="AD398">
        <v>1</v>
      </c>
      <c r="AE398">
        <v>0</v>
      </c>
      <c r="AF398" t="s">
        <v>126</v>
      </c>
      <c r="AG398">
        <v>0.28749999999999998</v>
      </c>
      <c r="AH398">
        <v>2</v>
      </c>
      <c r="AI398">
        <v>31029528</v>
      </c>
      <c r="AJ398">
        <v>374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</row>
    <row r="399" spans="1:44">
      <c r="A399">
        <f>ROW(Source!A176)</f>
        <v>176</v>
      </c>
      <c r="B399">
        <v>31029537</v>
      </c>
      <c r="C399">
        <v>31029524</v>
      </c>
      <c r="D399">
        <v>29151861</v>
      </c>
      <c r="E399">
        <v>1</v>
      </c>
      <c r="F399">
        <v>1</v>
      </c>
      <c r="G399">
        <v>1</v>
      </c>
      <c r="H399">
        <v>3</v>
      </c>
      <c r="I399" t="s">
        <v>835</v>
      </c>
      <c r="J399" t="s">
        <v>836</v>
      </c>
      <c r="K399" t="s">
        <v>837</v>
      </c>
      <c r="L399">
        <v>1327</v>
      </c>
      <c r="N399">
        <v>1005</v>
      </c>
      <c r="O399" t="s">
        <v>284</v>
      </c>
      <c r="P399" t="s">
        <v>284</v>
      </c>
      <c r="Q399">
        <v>1</v>
      </c>
      <c r="X399">
        <v>0.88</v>
      </c>
      <c r="Y399">
        <v>73.39</v>
      </c>
      <c r="Z399">
        <v>0</v>
      </c>
      <c r="AA399">
        <v>0</v>
      </c>
      <c r="AB399">
        <v>0</v>
      </c>
      <c r="AC399">
        <v>0</v>
      </c>
      <c r="AD399">
        <v>1</v>
      </c>
      <c r="AE399">
        <v>0</v>
      </c>
      <c r="AF399" t="s">
        <v>6</v>
      </c>
      <c r="AG399">
        <v>0.88</v>
      </c>
      <c r="AH399">
        <v>2</v>
      </c>
      <c r="AI399">
        <v>31029529</v>
      </c>
      <c r="AJ399">
        <v>375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</row>
    <row r="400" spans="1:44">
      <c r="A400">
        <f>ROW(Source!A176)</f>
        <v>176</v>
      </c>
      <c r="B400">
        <v>31029538</v>
      </c>
      <c r="C400">
        <v>31029524</v>
      </c>
      <c r="D400">
        <v>29151971</v>
      </c>
      <c r="E400">
        <v>1</v>
      </c>
      <c r="F400">
        <v>1</v>
      </c>
      <c r="G400">
        <v>1</v>
      </c>
      <c r="H400">
        <v>3</v>
      </c>
      <c r="I400" t="s">
        <v>942</v>
      </c>
      <c r="J400" t="s">
        <v>943</v>
      </c>
      <c r="K400" t="s">
        <v>944</v>
      </c>
      <c r="L400">
        <v>1348</v>
      </c>
      <c r="N400">
        <v>1009</v>
      </c>
      <c r="O400" t="s">
        <v>137</v>
      </c>
      <c r="P400" t="s">
        <v>137</v>
      </c>
      <c r="Q400">
        <v>1000</v>
      </c>
      <c r="X400">
        <v>7.9000000000000001E-2</v>
      </c>
      <c r="Y400">
        <v>3311.4</v>
      </c>
      <c r="Z400">
        <v>0</v>
      </c>
      <c r="AA400">
        <v>0</v>
      </c>
      <c r="AB400">
        <v>0</v>
      </c>
      <c r="AC400">
        <v>0</v>
      </c>
      <c r="AD400">
        <v>1</v>
      </c>
      <c r="AE400">
        <v>0</v>
      </c>
      <c r="AF400" t="s">
        <v>6</v>
      </c>
      <c r="AG400">
        <v>7.9000000000000001E-2</v>
      </c>
      <c r="AH400">
        <v>2</v>
      </c>
      <c r="AI400">
        <v>31029530</v>
      </c>
      <c r="AJ400">
        <v>376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</row>
    <row r="401" spans="1:44">
      <c r="A401">
        <f>ROW(Source!A176)</f>
        <v>176</v>
      </c>
      <c r="B401">
        <v>31029539</v>
      </c>
      <c r="C401">
        <v>31029524</v>
      </c>
      <c r="D401">
        <v>29152014</v>
      </c>
      <c r="E401">
        <v>1</v>
      </c>
      <c r="F401">
        <v>1</v>
      </c>
      <c r="G401">
        <v>1</v>
      </c>
      <c r="H401">
        <v>3</v>
      </c>
      <c r="I401" t="s">
        <v>838</v>
      </c>
      <c r="J401" t="s">
        <v>839</v>
      </c>
      <c r="K401" t="s">
        <v>840</v>
      </c>
      <c r="L401">
        <v>1346</v>
      </c>
      <c r="N401">
        <v>1009</v>
      </c>
      <c r="O401" t="s">
        <v>118</v>
      </c>
      <c r="P401" t="s">
        <v>118</v>
      </c>
      <c r="Q401">
        <v>1</v>
      </c>
      <c r="X401">
        <v>0.36</v>
      </c>
      <c r="Y401">
        <v>1.94</v>
      </c>
      <c r="Z401">
        <v>0</v>
      </c>
      <c r="AA401">
        <v>0</v>
      </c>
      <c r="AB401">
        <v>0</v>
      </c>
      <c r="AC401">
        <v>0</v>
      </c>
      <c r="AD401">
        <v>1</v>
      </c>
      <c r="AE401">
        <v>0</v>
      </c>
      <c r="AF401" t="s">
        <v>6</v>
      </c>
      <c r="AG401">
        <v>0.36</v>
      </c>
      <c r="AH401">
        <v>2</v>
      </c>
      <c r="AI401">
        <v>31029531</v>
      </c>
      <c r="AJ401">
        <v>377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</row>
    <row r="402" spans="1:44">
      <c r="A402">
        <f>ROW(Source!A176)</f>
        <v>176</v>
      </c>
      <c r="B402">
        <v>31029540</v>
      </c>
      <c r="C402">
        <v>31029524</v>
      </c>
      <c r="D402">
        <v>29152186</v>
      </c>
      <c r="E402">
        <v>1</v>
      </c>
      <c r="F402">
        <v>1</v>
      </c>
      <c r="G402">
        <v>1</v>
      </c>
      <c r="H402">
        <v>3</v>
      </c>
      <c r="I402" t="s">
        <v>945</v>
      </c>
      <c r="J402" t="s">
        <v>946</v>
      </c>
      <c r="K402" t="s">
        <v>947</v>
      </c>
      <c r="L402">
        <v>1348</v>
      </c>
      <c r="N402">
        <v>1009</v>
      </c>
      <c r="O402" t="s">
        <v>137</v>
      </c>
      <c r="P402" t="s">
        <v>137</v>
      </c>
      <c r="Q402">
        <v>1000</v>
      </c>
      <c r="X402">
        <v>6.3E-2</v>
      </c>
      <c r="Y402">
        <v>16802.490000000002</v>
      </c>
      <c r="Z402">
        <v>0</v>
      </c>
      <c r="AA402">
        <v>0</v>
      </c>
      <c r="AB402">
        <v>0</v>
      </c>
      <c r="AC402">
        <v>0</v>
      </c>
      <c r="AD402">
        <v>1</v>
      </c>
      <c r="AE402">
        <v>0</v>
      </c>
      <c r="AF402" t="s">
        <v>6</v>
      </c>
      <c r="AG402">
        <v>6.3E-2</v>
      </c>
      <c r="AH402">
        <v>2</v>
      </c>
      <c r="AI402">
        <v>31029532</v>
      </c>
      <c r="AJ402">
        <v>378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</row>
    <row r="403" spans="1:44">
      <c r="A403">
        <f>ROW(Source!A177)</f>
        <v>177</v>
      </c>
      <c r="B403">
        <v>31029558</v>
      </c>
      <c r="C403">
        <v>31029541</v>
      </c>
      <c r="D403">
        <v>29084580</v>
      </c>
      <c r="E403">
        <v>1</v>
      </c>
      <c r="F403">
        <v>1</v>
      </c>
      <c r="G403">
        <v>1</v>
      </c>
      <c r="H403">
        <v>1</v>
      </c>
      <c r="I403" t="s">
        <v>960</v>
      </c>
      <c r="J403" t="s">
        <v>6</v>
      </c>
      <c r="K403" t="s">
        <v>961</v>
      </c>
      <c r="L403">
        <v>1369</v>
      </c>
      <c r="N403">
        <v>1013</v>
      </c>
      <c r="O403" t="s">
        <v>773</v>
      </c>
      <c r="P403" t="s">
        <v>773</v>
      </c>
      <c r="Q403">
        <v>1</v>
      </c>
      <c r="X403">
        <v>92.92</v>
      </c>
      <c r="Y403">
        <v>0</v>
      </c>
      <c r="Z403">
        <v>0</v>
      </c>
      <c r="AA403">
        <v>0</v>
      </c>
      <c r="AB403">
        <v>9.08</v>
      </c>
      <c r="AC403">
        <v>0</v>
      </c>
      <c r="AD403">
        <v>1</v>
      </c>
      <c r="AE403">
        <v>1</v>
      </c>
      <c r="AF403" t="s">
        <v>127</v>
      </c>
      <c r="AG403">
        <v>122.88669999999998</v>
      </c>
      <c r="AH403">
        <v>2</v>
      </c>
      <c r="AI403">
        <v>31029542</v>
      </c>
      <c r="AJ403">
        <v>379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</row>
    <row r="404" spans="1:44">
      <c r="A404">
        <f>ROW(Source!A177)</f>
        <v>177</v>
      </c>
      <c r="B404">
        <v>31029559</v>
      </c>
      <c r="C404">
        <v>31029541</v>
      </c>
      <c r="D404">
        <v>29084573</v>
      </c>
      <c r="E404">
        <v>1</v>
      </c>
      <c r="F404">
        <v>1</v>
      </c>
      <c r="G404">
        <v>1</v>
      </c>
      <c r="H404">
        <v>1</v>
      </c>
      <c r="I404" t="s">
        <v>774</v>
      </c>
      <c r="J404" t="s">
        <v>6</v>
      </c>
      <c r="K404" t="s">
        <v>775</v>
      </c>
      <c r="L404">
        <v>608254</v>
      </c>
      <c r="N404">
        <v>1013</v>
      </c>
      <c r="O404" t="s">
        <v>776</v>
      </c>
      <c r="P404" t="s">
        <v>776</v>
      </c>
      <c r="Q404">
        <v>1</v>
      </c>
      <c r="X404">
        <v>8.4499999999999993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1</v>
      </c>
      <c r="AE404">
        <v>2</v>
      </c>
      <c r="AF404" t="s">
        <v>126</v>
      </c>
      <c r="AG404">
        <v>12.146875</v>
      </c>
      <c r="AH404">
        <v>2</v>
      </c>
      <c r="AI404">
        <v>31029543</v>
      </c>
      <c r="AJ404">
        <v>380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</row>
    <row r="405" spans="1:44">
      <c r="A405">
        <f>ROW(Source!A177)</f>
        <v>177</v>
      </c>
      <c r="B405">
        <v>31029560</v>
      </c>
      <c r="C405">
        <v>31029541</v>
      </c>
      <c r="D405">
        <v>29147520</v>
      </c>
      <c r="E405">
        <v>1</v>
      </c>
      <c r="F405">
        <v>1</v>
      </c>
      <c r="G405">
        <v>1</v>
      </c>
      <c r="H405">
        <v>2</v>
      </c>
      <c r="I405" t="s">
        <v>777</v>
      </c>
      <c r="J405" t="s">
        <v>778</v>
      </c>
      <c r="K405" t="s">
        <v>779</v>
      </c>
      <c r="L405">
        <v>1368</v>
      </c>
      <c r="N405">
        <v>1011</v>
      </c>
      <c r="O405" t="s">
        <v>780</v>
      </c>
      <c r="P405" t="s">
        <v>780</v>
      </c>
      <c r="Q405">
        <v>1</v>
      </c>
      <c r="X405">
        <v>7.08</v>
      </c>
      <c r="Y405">
        <v>0</v>
      </c>
      <c r="Z405">
        <v>85.93</v>
      </c>
      <c r="AA405">
        <v>13.03</v>
      </c>
      <c r="AB405">
        <v>0</v>
      </c>
      <c r="AC405">
        <v>0</v>
      </c>
      <c r="AD405">
        <v>1</v>
      </c>
      <c r="AE405">
        <v>0</v>
      </c>
      <c r="AF405" t="s">
        <v>126</v>
      </c>
      <c r="AG405">
        <v>10.177499999999998</v>
      </c>
      <c r="AH405">
        <v>2</v>
      </c>
      <c r="AI405">
        <v>31029544</v>
      </c>
      <c r="AJ405">
        <v>381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</row>
    <row r="406" spans="1:44">
      <c r="A406">
        <f>ROW(Source!A177)</f>
        <v>177</v>
      </c>
      <c r="B406">
        <v>31029561</v>
      </c>
      <c r="C406">
        <v>31029541</v>
      </c>
      <c r="D406">
        <v>29147601</v>
      </c>
      <c r="E406">
        <v>1</v>
      </c>
      <c r="F406">
        <v>1</v>
      </c>
      <c r="G406">
        <v>1</v>
      </c>
      <c r="H406">
        <v>2</v>
      </c>
      <c r="I406" t="s">
        <v>781</v>
      </c>
      <c r="J406" t="s">
        <v>782</v>
      </c>
      <c r="K406" t="s">
        <v>783</v>
      </c>
      <c r="L406">
        <v>1368</v>
      </c>
      <c r="N406">
        <v>1011</v>
      </c>
      <c r="O406" t="s">
        <v>780</v>
      </c>
      <c r="P406" t="s">
        <v>780</v>
      </c>
      <c r="Q406">
        <v>1</v>
      </c>
      <c r="X406">
        <v>1.37</v>
      </c>
      <c r="Y406">
        <v>0</v>
      </c>
      <c r="Z406">
        <v>108.45</v>
      </c>
      <c r="AA406">
        <v>13.03</v>
      </c>
      <c r="AB406">
        <v>0</v>
      </c>
      <c r="AC406">
        <v>0</v>
      </c>
      <c r="AD406">
        <v>1</v>
      </c>
      <c r="AE406">
        <v>0</v>
      </c>
      <c r="AF406" t="s">
        <v>126</v>
      </c>
      <c r="AG406">
        <v>1.9693750000000001</v>
      </c>
      <c r="AH406">
        <v>2</v>
      </c>
      <c r="AI406">
        <v>31029545</v>
      </c>
      <c r="AJ406">
        <v>382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</row>
    <row r="407" spans="1:44">
      <c r="A407">
        <f>ROW(Source!A177)</f>
        <v>177</v>
      </c>
      <c r="B407">
        <v>31029562</v>
      </c>
      <c r="C407">
        <v>31029541</v>
      </c>
      <c r="D407">
        <v>29148219</v>
      </c>
      <c r="E407">
        <v>1</v>
      </c>
      <c r="F407">
        <v>1</v>
      </c>
      <c r="G407">
        <v>1</v>
      </c>
      <c r="H407">
        <v>2</v>
      </c>
      <c r="I407" t="s">
        <v>784</v>
      </c>
      <c r="J407" t="s">
        <v>785</v>
      </c>
      <c r="K407" t="s">
        <v>786</v>
      </c>
      <c r="L407">
        <v>1368</v>
      </c>
      <c r="N407">
        <v>1011</v>
      </c>
      <c r="O407" t="s">
        <v>780</v>
      </c>
      <c r="P407" t="s">
        <v>780</v>
      </c>
      <c r="Q407">
        <v>1</v>
      </c>
      <c r="X407">
        <v>1.31</v>
      </c>
      <c r="Y407">
        <v>0</v>
      </c>
      <c r="Z407">
        <v>30</v>
      </c>
      <c r="AA407">
        <v>0</v>
      </c>
      <c r="AB407">
        <v>0</v>
      </c>
      <c r="AC407">
        <v>0</v>
      </c>
      <c r="AD407">
        <v>1</v>
      </c>
      <c r="AE407">
        <v>0</v>
      </c>
      <c r="AF407" t="s">
        <v>126</v>
      </c>
      <c r="AG407">
        <v>1.8831250000000002</v>
      </c>
      <c r="AH407">
        <v>2</v>
      </c>
      <c r="AI407">
        <v>31029546</v>
      </c>
      <c r="AJ407">
        <v>383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</row>
    <row r="408" spans="1:44">
      <c r="A408">
        <f>ROW(Source!A177)</f>
        <v>177</v>
      </c>
      <c r="B408">
        <v>31029563</v>
      </c>
      <c r="C408">
        <v>31029541</v>
      </c>
      <c r="D408">
        <v>29149520</v>
      </c>
      <c r="E408">
        <v>1</v>
      </c>
      <c r="F408">
        <v>1</v>
      </c>
      <c r="G408">
        <v>1</v>
      </c>
      <c r="H408">
        <v>2</v>
      </c>
      <c r="I408" t="s">
        <v>790</v>
      </c>
      <c r="J408" t="s">
        <v>791</v>
      </c>
      <c r="K408" t="s">
        <v>792</v>
      </c>
      <c r="L408">
        <v>1368</v>
      </c>
      <c r="N408">
        <v>1011</v>
      </c>
      <c r="O408" t="s">
        <v>780</v>
      </c>
      <c r="P408" t="s">
        <v>780</v>
      </c>
      <c r="Q408">
        <v>1</v>
      </c>
      <c r="X408">
        <v>2.0699999999999998</v>
      </c>
      <c r="Y408">
        <v>0</v>
      </c>
      <c r="Z408">
        <v>91.62</v>
      </c>
      <c r="AA408">
        <v>0</v>
      </c>
      <c r="AB408">
        <v>0</v>
      </c>
      <c r="AC408">
        <v>0</v>
      </c>
      <c r="AD408">
        <v>1</v>
      </c>
      <c r="AE408">
        <v>0</v>
      </c>
      <c r="AF408" t="s">
        <v>126</v>
      </c>
      <c r="AG408">
        <v>2.9756249999999995</v>
      </c>
      <c r="AH408">
        <v>2</v>
      </c>
      <c r="AI408">
        <v>31029547</v>
      </c>
      <c r="AJ408">
        <v>384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</row>
    <row r="409" spans="1:44">
      <c r="A409">
        <f>ROW(Source!A177)</f>
        <v>177</v>
      </c>
      <c r="B409">
        <v>31029564</v>
      </c>
      <c r="C409">
        <v>31029541</v>
      </c>
      <c r="D409">
        <v>29150561</v>
      </c>
      <c r="E409">
        <v>1</v>
      </c>
      <c r="F409">
        <v>1</v>
      </c>
      <c r="G409">
        <v>1</v>
      </c>
      <c r="H409">
        <v>3</v>
      </c>
      <c r="I409" t="s">
        <v>793</v>
      </c>
      <c r="J409" t="s">
        <v>794</v>
      </c>
      <c r="K409" t="s">
        <v>795</v>
      </c>
      <c r="L409">
        <v>1348</v>
      </c>
      <c r="N409">
        <v>1009</v>
      </c>
      <c r="O409" t="s">
        <v>137</v>
      </c>
      <c r="P409" t="s">
        <v>137</v>
      </c>
      <c r="Q409">
        <v>1000</v>
      </c>
      <c r="X409">
        <v>1.5200000000000001E-3</v>
      </c>
      <c r="Y409">
        <v>8466.1</v>
      </c>
      <c r="Z409">
        <v>0</v>
      </c>
      <c r="AA409">
        <v>0</v>
      </c>
      <c r="AB409">
        <v>0</v>
      </c>
      <c r="AC409">
        <v>0</v>
      </c>
      <c r="AD409">
        <v>1</v>
      </c>
      <c r="AE409">
        <v>0</v>
      </c>
      <c r="AF409" t="s">
        <v>6</v>
      </c>
      <c r="AG409">
        <v>1.5200000000000001E-3</v>
      </c>
      <c r="AH409">
        <v>2</v>
      </c>
      <c r="AI409">
        <v>31029548</v>
      </c>
      <c r="AJ409">
        <v>385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</row>
    <row r="410" spans="1:44">
      <c r="A410">
        <f>ROW(Source!A177)</f>
        <v>177</v>
      </c>
      <c r="B410">
        <v>31029565</v>
      </c>
      <c r="C410">
        <v>31029541</v>
      </c>
      <c r="D410">
        <v>29151859</v>
      </c>
      <c r="E410">
        <v>1</v>
      </c>
      <c r="F410">
        <v>1</v>
      </c>
      <c r="G410">
        <v>1</v>
      </c>
      <c r="H410">
        <v>3</v>
      </c>
      <c r="I410" t="s">
        <v>799</v>
      </c>
      <c r="J410" t="s">
        <v>800</v>
      </c>
      <c r="K410" t="s">
        <v>801</v>
      </c>
      <c r="L410">
        <v>1348</v>
      </c>
      <c r="N410">
        <v>1009</v>
      </c>
      <c r="O410" t="s">
        <v>137</v>
      </c>
      <c r="P410" t="s">
        <v>137</v>
      </c>
      <c r="Q410">
        <v>1000</v>
      </c>
      <c r="X410">
        <v>1.7100000000000001E-2</v>
      </c>
      <c r="Y410">
        <v>1215.8</v>
      </c>
      <c r="Z410">
        <v>0</v>
      </c>
      <c r="AA410">
        <v>0</v>
      </c>
      <c r="AB410">
        <v>0</v>
      </c>
      <c r="AC410">
        <v>0</v>
      </c>
      <c r="AD410">
        <v>1</v>
      </c>
      <c r="AE410">
        <v>0</v>
      </c>
      <c r="AF410" t="s">
        <v>6</v>
      </c>
      <c r="AG410">
        <v>1.7100000000000001E-2</v>
      </c>
      <c r="AH410">
        <v>2</v>
      </c>
      <c r="AI410">
        <v>31029549</v>
      </c>
      <c r="AJ410">
        <v>386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</row>
    <row r="411" spans="1:44">
      <c r="A411">
        <f>ROW(Source!A177)</f>
        <v>177</v>
      </c>
      <c r="B411">
        <v>31029566</v>
      </c>
      <c r="C411">
        <v>31029541</v>
      </c>
      <c r="D411">
        <v>29151997</v>
      </c>
      <c r="E411">
        <v>1</v>
      </c>
      <c r="F411">
        <v>1</v>
      </c>
      <c r="G411">
        <v>1</v>
      </c>
      <c r="H411">
        <v>3</v>
      </c>
      <c r="I411" t="s">
        <v>802</v>
      </c>
      <c r="J411" t="s">
        <v>803</v>
      </c>
      <c r="K411" t="s">
        <v>804</v>
      </c>
      <c r="L411">
        <v>1327</v>
      </c>
      <c r="N411">
        <v>1005</v>
      </c>
      <c r="O411" t="s">
        <v>284</v>
      </c>
      <c r="P411" t="s">
        <v>284</v>
      </c>
      <c r="Q411">
        <v>1</v>
      </c>
      <c r="X411">
        <v>65</v>
      </c>
      <c r="Y411">
        <v>6.17</v>
      </c>
      <c r="Z411">
        <v>0</v>
      </c>
      <c r="AA411">
        <v>0</v>
      </c>
      <c r="AB411">
        <v>0</v>
      </c>
      <c r="AC411">
        <v>0</v>
      </c>
      <c r="AD411">
        <v>1</v>
      </c>
      <c r="AE411">
        <v>0</v>
      </c>
      <c r="AF411" t="s">
        <v>6</v>
      </c>
      <c r="AG411">
        <v>65</v>
      </c>
      <c r="AH411">
        <v>2</v>
      </c>
      <c r="AI411">
        <v>31029550</v>
      </c>
      <c r="AJ411">
        <v>387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</row>
    <row r="412" spans="1:44">
      <c r="A412">
        <f>ROW(Source!A177)</f>
        <v>177</v>
      </c>
      <c r="B412">
        <v>31029567</v>
      </c>
      <c r="C412">
        <v>31029541</v>
      </c>
      <c r="D412">
        <v>29152039</v>
      </c>
      <c r="E412">
        <v>1</v>
      </c>
      <c r="F412">
        <v>1</v>
      </c>
      <c r="G412">
        <v>1</v>
      </c>
      <c r="H412">
        <v>3</v>
      </c>
      <c r="I412" t="s">
        <v>962</v>
      </c>
      <c r="J412" t="s">
        <v>963</v>
      </c>
      <c r="K412" t="s">
        <v>964</v>
      </c>
      <c r="L412">
        <v>1346</v>
      </c>
      <c r="N412">
        <v>1009</v>
      </c>
      <c r="O412" t="s">
        <v>118</v>
      </c>
      <c r="P412" t="s">
        <v>118</v>
      </c>
      <c r="Q412">
        <v>1</v>
      </c>
      <c r="X412">
        <v>22.41</v>
      </c>
      <c r="Y412">
        <v>11.12</v>
      </c>
      <c r="Z412">
        <v>0</v>
      </c>
      <c r="AA412">
        <v>0</v>
      </c>
      <c r="AB412">
        <v>0</v>
      </c>
      <c r="AC412">
        <v>0</v>
      </c>
      <c r="AD412">
        <v>1</v>
      </c>
      <c r="AE412">
        <v>0</v>
      </c>
      <c r="AF412" t="s">
        <v>6</v>
      </c>
      <c r="AG412">
        <v>22.41</v>
      </c>
      <c r="AH412">
        <v>2</v>
      </c>
      <c r="AI412">
        <v>31029551</v>
      </c>
      <c r="AJ412">
        <v>388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</row>
    <row r="413" spans="1:44">
      <c r="A413">
        <f>ROW(Source!A177)</f>
        <v>177</v>
      </c>
      <c r="B413">
        <v>31029568</v>
      </c>
      <c r="C413">
        <v>31029541</v>
      </c>
      <c r="D413">
        <v>29152054</v>
      </c>
      <c r="E413">
        <v>1</v>
      </c>
      <c r="F413">
        <v>1</v>
      </c>
      <c r="G413">
        <v>1</v>
      </c>
      <c r="H413">
        <v>3</v>
      </c>
      <c r="I413" t="s">
        <v>805</v>
      </c>
      <c r="J413" t="s">
        <v>806</v>
      </c>
      <c r="K413" t="s">
        <v>807</v>
      </c>
      <c r="L413">
        <v>1348</v>
      </c>
      <c r="N413">
        <v>1009</v>
      </c>
      <c r="O413" t="s">
        <v>137</v>
      </c>
      <c r="P413" t="s">
        <v>137</v>
      </c>
      <c r="Q413">
        <v>1000</v>
      </c>
      <c r="X413">
        <v>1.6800000000000001E-3</v>
      </c>
      <c r="Y413">
        <v>10183</v>
      </c>
      <c r="Z413">
        <v>0</v>
      </c>
      <c r="AA413">
        <v>0</v>
      </c>
      <c r="AB413">
        <v>0</v>
      </c>
      <c r="AC413">
        <v>0</v>
      </c>
      <c r="AD413">
        <v>1</v>
      </c>
      <c r="AE413">
        <v>0</v>
      </c>
      <c r="AF413" t="s">
        <v>6</v>
      </c>
      <c r="AG413">
        <v>1.6800000000000001E-3</v>
      </c>
      <c r="AH413">
        <v>2</v>
      </c>
      <c r="AI413">
        <v>31029552</v>
      </c>
      <c r="AJ413">
        <v>389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</row>
    <row r="414" spans="1:44">
      <c r="A414">
        <f>ROW(Source!A177)</f>
        <v>177</v>
      </c>
      <c r="B414">
        <v>31029569</v>
      </c>
      <c r="C414">
        <v>31029541</v>
      </c>
      <c r="D414">
        <v>29157674</v>
      </c>
      <c r="E414">
        <v>1</v>
      </c>
      <c r="F414">
        <v>1</v>
      </c>
      <c r="G414">
        <v>1</v>
      </c>
      <c r="H414">
        <v>3</v>
      </c>
      <c r="I414" t="s">
        <v>808</v>
      </c>
      <c r="J414" t="s">
        <v>809</v>
      </c>
      <c r="K414" t="s">
        <v>810</v>
      </c>
      <c r="L414">
        <v>1296</v>
      </c>
      <c r="N414">
        <v>1002</v>
      </c>
      <c r="O414" t="s">
        <v>142</v>
      </c>
      <c r="P414" t="s">
        <v>142</v>
      </c>
      <c r="Q414">
        <v>1</v>
      </c>
      <c r="X414">
        <v>22.2</v>
      </c>
      <c r="Y414">
        <v>50.49</v>
      </c>
      <c r="Z414">
        <v>0</v>
      </c>
      <c r="AA414">
        <v>0</v>
      </c>
      <c r="AB414">
        <v>0</v>
      </c>
      <c r="AC414">
        <v>0</v>
      </c>
      <c r="AD414">
        <v>1</v>
      </c>
      <c r="AE414">
        <v>0</v>
      </c>
      <c r="AF414" t="s">
        <v>6</v>
      </c>
      <c r="AG414">
        <v>22.2</v>
      </c>
      <c r="AH414">
        <v>2</v>
      </c>
      <c r="AI414">
        <v>31029553</v>
      </c>
      <c r="AJ414">
        <v>390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</row>
    <row r="415" spans="1:44">
      <c r="A415">
        <f>ROW(Source!A177)</f>
        <v>177</v>
      </c>
      <c r="B415">
        <v>31029570</v>
      </c>
      <c r="C415">
        <v>31029541</v>
      </c>
      <c r="D415">
        <v>29157993</v>
      </c>
      <c r="E415">
        <v>1</v>
      </c>
      <c r="F415">
        <v>1</v>
      </c>
      <c r="G415">
        <v>1</v>
      </c>
      <c r="H415">
        <v>3</v>
      </c>
      <c r="I415" t="s">
        <v>811</v>
      </c>
      <c r="J415" t="s">
        <v>812</v>
      </c>
      <c r="K415" t="s">
        <v>813</v>
      </c>
      <c r="L415">
        <v>1035</v>
      </c>
      <c r="N415">
        <v>1013</v>
      </c>
      <c r="O415" t="s">
        <v>292</v>
      </c>
      <c r="P415" t="s">
        <v>292</v>
      </c>
      <c r="Q415">
        <v>1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1</v>
      </c>
      <c r="AD415">
        <v>0</v>
      </c>
      <c r="AE415">
        <v>0</v>
      </c>
      <c r="AF415" t="s">
        <v>6</v>
      </c>
      <c r="AG415">
        <v>0</v>
      </c>
      <c r="AH415">
        <v>2</v>
      </c>
      <c r="AI415">
        <v>31029554</v>
      </c>
      <c r="AJ415">
        <v>391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</row>
    <row r="416" spans="1:44">
      <c r="A416">
        <f>ROW(Source!A177)</f>
        <v>177</v>
      </c>
      <c r="B416">
        <v>31029571</v>
      </c>
      <c r="C416">
        <v>31029541</v>
      </c>
      <c r="D416">
        <v>29158165</v>
      </c>
      <c r="E416">
        <v>1</v>
      </c>
      <c r="F416">
        <v>1</v>
      </c>
      <c r="G416">
        <v>1</v>
      </c>
      <c r="H416">
        <v>3</v>
      </c>
      <c r="I416" t="s">
        <v>965</v>
      </c>
      <c r="J416" t="s">
        <v>966</v>
      </c>
      <c r="K416" t="s">
        <v>967</v>
      </c>
      <c r="L416">
        <v>1339</v>
      </c>
      <c r="N416">
        <v>1007</v>
      </c>
      <c r="O416" t="s">
        <v>109</v>
      </c>
      <c r="P416" t="s">
        <v>109</v>
      </c>
      <c r="Q416">
        <v>1</v>
      </c>
      <c r="X416">
        <v>7.0000000000000007E-2</v>
      </c>
      <c r="Y416">
        <v>844.49</v>
      </c>
      <c r="Z416">
        <v>0</v>
      </c>
      <c r="AA416">
        <v>0</v>
      </c>
      <c r="AB416">
        <v>0</v>
      </c>
      <c r="AC416">
        <v>0</v>
      </c>
      <c r="AD416">
        <v>1</v>
      </c>
      <c r="AE416">
        <v>0</v>
      </c>
      <c r="AF416" t="s">
        <v>6</v>
      </c>
      <c r="AG416">
        <v>7.0000000000000007E-2</v>
      </c>
      <c r="AH416">
        <v>2</v>
      </c>
      <c r="AI416">
        <v>31029555</v>
      </c>
      <c r="AJ416">
        <v>392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</row>
    <row r="417" spans="1:44">
      <c r="A417">
        <f>ROW(Source!A177)</f>
        <v>177</v>
      </c>
      <c r="B417">
        <v>31029572</v>
      </c>
      <c r="C417">
        <v>31029541</v>
      </c>
      <c r="D417">
        <v>29172042</v>
      </c>
      <c r="E417">
        <v>1</v>
      </c>
      <c r="F417">
        <v>1</v>
      </c>
      <c r="G417">
        <v>1</v>
      </c>
      <c r="H417">
        <v>3</v>
      </c>
      <c r="I417" t="s">
        <v>393</v>
      </c>
      <c r="J417" t="s">
        <v>395</v>
      </c>
      <c r="K417" t="s">
        <v>394</v>
      </c>
      <c r="L417">
        <v>1327</v>
      </c>
      <c r="N417">
        <v>1005</v>
      </c>
      <c r="O417" t="s">
        <v>284</v>
      </c>
      <c r="P417" t="s">
        <v>284</v>
      </c>
      <c r="Q417">
        <v>1</v>
      </c>
      <c r="X417">
        <v>100</v>
      </c>
      <c r="Y417">
        <v>223.55</v>
      </c>
      <c r="Z417">
        <v>0</v>
      </c>
      <c r="AA417">
        <v>0</v>
      </c>
      <c r="AB417">
        <v>0</v>
      </c>
      <c r="AC417">
        <v>0</v>
      </c>
      <c r="AD417">
        <v>1</v>
      </c>
      <c r="AE417">
        <v>0</v>
      </c>
      <c r="AF417" t="s">
        <v>6</v>
      </c>
      <c r="AG417">
        <v>100</v>
      </c>
      <c r="AH417">
        <v>3</v>
      </c>
      <c r="AI417">
        <v>-1</v>
      </c>
      <c r="AJ417" t="s">
        <v>6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</row>
    <row r="418" spans="1:44">
      <c r="A418">
        <f>ROW(Source!A177)</f>
        <v>177</v>
      </c>
      <c r="B418">
        <v>31029573</v>
      </c>
      <c r="C418">
        <v>31029541</v>
      </c>
      <c r="D418">
        <v>29186570</v>
      </c>
      <c r="E418">
        <v>1</v>
      </c>
      <c r="F418">
        <v>1</v>
      </c>
      <c r="G418">
        <v>1</v>
      </c>
      <c r="H418">
        <v>3</v>
      </c>
      <c r="I418" t="s">
        <v>814</v>
      </c>
      <c r="J418" t="s">
        <v>815</v>
      </c>
      <c r="K418" t="s">
        <v>816</v>
      </c>
      <c r="L418">
        <v>1339</v>
      </c>
      <c r="N418">
        <v>1007</v>
      </c>
      <c r="O418" t="s">
        <v>109</v>
      </c>
      <c r="P418" t="s">
        <v>109</v>
      </c>
      <c r="Q418">
        <v>1</v>
      </c>
      <c r="X418">
        <v>7.5999999999999998E-2</v>
      </c>
      <c r="Y418">
        <v>476.34</v>
      </c>
      <c r="Z418">
        <v>0</v>
      </c>
      <c r="AA418">
        <v>0</v>
      </c>
      <c r="AB418">
        <v>0</v>
      </c>
      <c r="AC418">
        <v>0</v>
      </c>
      <c r="AD418">
        <v>1</v>
      </c>
      <c r="AE418">
        <v>0</v>
      </c>
      <c r="AF418" t="s">
        <v>6</v>
      </c>
      <c r="AG418">
        <v>7.5999999999999998E-2</v>
      </c>
      <c r="AH418">
        <v>2</v>
      </c>
      <c r="AI418">
        <v>31029556</v>
      </c>
      <c r="AJ418">
        <v>393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</row>
    <row r="419" spans="1:44">
      <c r="A419">
        <f>ROW(Source!A177)</f>
        <v>177</v>
      </c>
      <c r="B419">
        <v>31029574</v>
      </c>
      <c r="C419">
        <v>31029541</v>
      </c>
      <c r="D419">
        <v>29194450</v>
      </c>
      <c r="E419">
        <v>1</v>
      </c>
      <c r="F419">
        <v>1</v>
      </c>
      <c r="G419">
        <v>1</v>
      </c>
      <c r="H419">
        <v>3</v>
      </c>
      <c r="I419" t="s">
        <v>817</v>
      </c>
      <c r="J419" t="s">
        <v>818</v>
      </c>
      <c r="K419" t="s">
        <v>819</v>
      </c>
      <c r="L419">
        <v>1348</v>
      </c>
      <c r="N419">
        <v>1009</v>
      </c>
      <c r="O419" t="s">
        <v>137</v>
      </c>
      <c r="P419" t="s">
        <v>137</v>
      </c>
      <c r="Q419">
        <v>1000</v>
      </c>
      <c r="X419">
        <v>1.0999999999999999E-2</v>
      </c>
      <c r="Y419">
        <v>728.98</v>
      </c>
      <c r="Z419">
        <v>0</v>
      </c>
      <c r="AA419">
        <v>0</v>
      </c>
      <c r="AB419">
        <v>0</v>
      </c>
      <c r="AC419">
        <v>0</v>
      </c>
      <c r="AD419">
        <v>1</v>
      </c>
      <c r="AE419">
        <v>0</v>
      </c>
      <c r="AF419" t="s">
        <v>6</v>
      </c>
      <c r="AG419">
        <v>1.0999999999999999E-2</v>
      </c>
      <c r="AH419">
        <v>2</v>
      </c>
      <c r="AI419">
        <v>31029557</v>
      </c>
      <c r="AJ419">
        <v>394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</row>
    <row r="420" spans="1:44">
      <c r="A420">
        <f>ROW(Source!A182)</f>
        <v>182</v>
      </c>
      <c r="B420">
        <v>31029582</v>
      </c>
      <c r="C420">
        <v>31029579</v>
      </c>
      <c r="D420">
        <v>29084679</v>
      </c>
      <c r="E420">
        <v>1</v>
      </c>
      <c r="F420">
        <v>1</v>
      </c>
      <c r="G420">
        <v>1</v>
      </c>
      <c r="H420">
        <v>1</v>
      </c>
      <c r="I420" t="s">
        <v>968</v>
      </c>
      <c r="J420" t="s">
        <v>6</v>
      </c>
      <c r="K420" t="s">
        <v>969</v>
      </c>
      <c r="L420">
        <v>1369</v>
      </c>
      <c r="N420">
        <v>1013</v>
      </c>
      <c r="O420" t="s">
        <v>773</v>
      </c>
      <c r="P420" t="s">
        <v>773</v>
      </c>
      <c r="Q420">
        <v>1</v>
      </c>
      <c r="X420">
        <v>1.03</v>
      </c>
      <c r="Y420">
        <v>0</v>
      </c>
      <c r="Z420">
        <v>0</v>
      </c>
      <c r="AA420">
        <v>0</v>
      </c>
      <c r="AB420">
        <v>6.94</v>
      </c>
      <c r="AC420">
        <v>0</v>
      </c>
      <c r="AD420">
        <v>1</v>
      </c>
      <c r="AE420">
        <v>1</v>
      </c>
      <c r="AF420" t="s">
        <v>36</v>
      </c>
      <c r="AG420">
        <v>1.1844999999999999</v>
      </c>
      <c r="AH420">
        <v>2</v>
      </c>
      <c r="AI420">
        <v>31029580</v>
      </c>
      <c r="AJ420">
        <v>395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</row>
    <row r="421" spans="1:44">
      <c r="A421">
        <f>ROW(Source!A182)</f>
        <v>182</v>
      </c>
      <c r="B421">
        <v>31029583</v>
      </c>
      <c r="C421">
        <v>31029579</v>
      </c>
      <c r="D421">
        <v>29156232</v>
      </c>
      <c r="E421">
        <v>1</v>
      </c>
      <c r="F421">
        <v>1</v>
      </c>
      <c r="G421">
        <v>1</v>
      </c>
      <c r="H421">
        <v>3</v>
      </c>
      <c r="I421" t="s">
        <v>970</v>
      </c>
      <c r="J421" t="s">
        <v>971</v>
      </c>
      <c r="K421" t="s">
        <v>972</v>
      </c>
      <c r="L421">
        <v>1354</v>
      </c>
      <c r="N421">
        <v>1010</v>
      </c>
      <c r="O421" t="s">
        <v>704</v>
      </c>
      <c r="P421" t="s">
        <v>704</v>
      </c>
      <c r="Q421">
        <v>1</v>
      </c>
      <c r="X421">
        <v>20</v>
      </c>
      <c r="Y421">
        <v>0.89</v>
      </c>
      <c r="Z421">
        <v>0</v>
      </c>
      <c r="AA421">
        <v>0</v>
      </c>
      <c r="AB421">
        <v>0</v>
      </c>
      <c r="AC421">
        <v>0</v>
      </c>
      <c r="AD421">
        <v>1</v>
      </c>
      <c r="AE421">
        <v>0</v>
      </c>
      <c r="AF421" t="s">
        <v>6</v>
      </c>
      <c r="AG421">
        <v>20</v>
      </c>
      <c r="AH421">
        <v>2</v>
      </c>
      <c r="AI421">
        <v>31029581</v>
      </c>
      <c r="AJ421">
        <v>396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</row>
    <row r="422" spans="1:44">
      <c r="A422">
        <f>ROW(Source!A183)</f>
        <v>183</v>
      </c>
      <c r="B422">
        <v>31029588</v>
      </c>
      <c r="C422">
        <v>31029584</v>
      </c>
      <c r="D422">
        <v>29084574</v>
      </c>
      <c r="E422">
        <v>1</v>
      </c>
      <c r="F422">
        <v>1</v>
      </c>
      <c r="G422">
        <v>1</v>
      </c>
      <c r="H422">
        <v>1</v>
      </c>
      <c r="I422" t="s">
        <v>820</v>
      </c>
      <c r="J422" t="s">
        <v>6</v>
      </c>
      <c r="K422" t="s">
        <v>821</v>
      </c>
      <c r="L422">
        <v>1369</v>
      </c>
      <c r="N422">
        <v>1013</v>
      </c>
      <c r="O422" t="s">
        <v>773</v>
      </c>
      <c r="P422" t="s">
        <v>773</v>
      </c>
      <c r="Q422">
        <v>1</v>
      </c>
      <c r="X422">
        <v>0.45700000000000002</v>
      </c>
      <c r="Y422">
        <v>0</v>
      </c>
      <c r="Z422">
        <v>0</v>
      </c>
      <c r="AA422">
        <v>0</v>
      </c>
      <c r="AB422">
        <v>7.53</v>
      </c>
      <c r="AC422">
        <v>0</v>
      </c>
      <c r="AD422">
        <v>1</v>
      </c>
      <c r="AE422">
        <v>1</v>
      </c>
      <c r="AF422" t="s">
        <v>6</v>
      </c>
      <c r="AG422">
        <v>0.45700000000000002</v>
      </c>
      <c r="AH422">
        <v>2</v>
      </c>
      <c r="AI422">
        <v>31029585</v>
      </c>
      <c r="AJ422">
        <v>397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</row>
    <row r="423" spans="1:44">
      <c r="A423">
        <f>ROW(Source!A183)</f>
        <v>183</v>
      </c>
      <c r="B423">
        <v>31029589</v>
      </c>
      <c r="C423">
        <v>31029584</v>
      </c>
      <c r="D423">
        <v>29084573</v>
      </c>
      <c r="E423">
        <v>1</v>
      </c>
      <c r="F423">
        <v>1</v>
      </c>
      <c r="G423">
        <v>1</v>
      </c>
      <c r="H423">
        <v>1</v>
      </c>
      <c r="I423" t="s">
        <v>774</v>
      </c>
      <c r="J423" t="s">
        <v>6</v>
      </c>
      <c r="K423" t="s">
        <v>775</v>
      </c>
      <c r="L423">
        <v>608254</v>
      </c>
      <c r="N423">
        <v>1013</v>
      </c>
      <c r="O423" t="s">
        <v>776</v>
      </c>
      <c r="P423" t="s">
        <v>776</v>
      </c>
      <c r="Q423">
        <v>1</v>
      </c>
      <c r="X423">
        <v>0.10100000000000001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1</v>
      </c>
      <c r="AE423">
        <v>2</v>
      </c>
      <c r="AF423" t="s">
        <v>6</v>
      </c>
      <c r="AG423">
        <v>0.10100000000000001</v>
      </c>
      <c r="AH423">
        <v>2</v>
      </c>
      <c r="AI423">
        <v>31029586</v>
      </c>
      <c r="AJ423">
        <v>398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</row>
    <row r="424" spans="1:44">
      <c r="A424">
        <f>ROW(Source!A183)</f>
        <v>183</v>
      </c>
      <c r="B424">
        <v>31029590</v>
      </c>
      <c r="C424">
        <v>31029584</v>
      </c>
      <c r="D424">
        <v>29147673</v>
      </c>
      <c r="E424">
        <v>1</v>
      </c>
      <c r="F424">
        <v>1</v>
      </c>
      <c r="G424">
        <v>1</v>
      </c>
      <c r="H424">
        <v>2</v>
      </c>
      <c r="I424" t="s">
        <v>924</v>
      </c>
      <c r="J424" t="s">
        <v>925</v>
      </c>
      <c r="K424" t="s">
        <v>926</v>
      </c>
      <c r="L424">
        <v>1368</v>
      </c>
      <c r="N424">
        <v>1011</v>
      </c>
      <c r="O424" t="s">
        <v>780</v>
      </c>
      <c r="P424" t="s">
        <v>780</v>
      </c>
      <c r="Q424">
        <v>1</v>
      </c>
      <c r="X424">
        <v>0.10100000000000001</v>
      </c>
      <c r="Y424">
        <v>0</v>
      </c>
      <c r="Z424">
        <v>97.95</v>
      </c>
      <c r="AA424">
        <v>9.7100000000000009</v>
      </c>
      <c r="AB424">
        <v>0</v>
      </c>
      <c r="AC424">
        <v>0</v>
      </c>
      <c r="AD424">
        <v>1</v>
      </c>
      <c r="AE424">
        <v>0</v>
      </c>
      <c r="AF424" t="s">
        <v>6</v>
      </c>
      <c r="AG424">
        <v>0.10100000000000001</v>
      </c>
      <c r="AH424">
        <v>2</v>
      </c>
      <c r="AI424">
        <v>31029587</v>
      </c>
      <c r="AJ424">
        <v>399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</row>
    <row r="425" spans="1:44">
      <c r="A425">
        <f>ROW(Source!A184)</f>
        <v>184</v>
      </c>
      <c r="B425">
        <v>31029593</v>
      </c>
      <c r="C425">
        <v>31029591</v>
      </c>
      <c r="D425">
        <v>29149529</v>
      </c>
      <c r="E425">
        <v>1</v>
      </c>
      <c r="F425">
        <v>1</v>
      </c>
      <c r="G425">
        <v>1</v>
      </c>
      <c r="H425">
        <v>2</v>
      </c>
      <c r="I425" t="s">
        <v>973</v>
      </c>
      <c r="J425" t="s">
        <v>974</v>
      </c>
      <c r="K425" t="s">
        <v>975</v>
      </c>
      <c r="L425">
        <v>1368</v>
      </c>
      <c r="N425">
        <v>1011</v>
      </c>
      <c r="O425" t="s">
        <v>780</v>
      </c>
      <c r="P425" t="s">
        <v>780</v>
      </c>
      <c r="Q425">
        <v>1</v>
      </c>
      <c r="X425">
        <v>0.14000000000000001</v>
      </c>
      <c r="Y425">
        <v>0</v>
      </c>
      <c r="Z425">
        <v>109.5</v>
      </c>
      <c r="AA425">
        <v>0</v>
      </c>
      <c r="AB425">
        <v>0</v>
      </c>
      <c r="AC425">
        <v>0</v>
      </c>
      <c r="AD425">
        <v>1</v>
      </c>
      <c r="AE425">
        <v>0</v>
      </c>
      <c r="AF425" t="s">
        <v>6</v>
      </c>
      <c r="AG425">
        <v>0.14000000000000001</v>
      </c>
      <c r="AH425">
        <v>2</v>
      </c>
      <c r="AI425">
        <v>31029592</v>
      </c>
      <c r="AJ425">
        <v>400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</row>
    <row r="426" spans="1:44">
      <c r="A426">
        <f>ROW(Source!A223)</f>
        <v>223</v>
      </c>
      <c r="B426">
        <v>31029597</v>
      </c>
      <c r="C426">
        <v>31029594</v>
      </c>
      <c r="D426">
        <v>29084582</v>
      </c>
      <c r="E426">
        <v>1</v>
      </c>
      <c r="F426">
        <v>1</v>
      </c>
      <c r="G426">
        <v>1</v>
      </c>
      <c r="H426">
        <v>1</v>
      </c>
      <c r="I426" t="s">
        <v>891</v>
      </c>
      <c r="J426" t="s">
        <v>6</v>
      </c>
      <c r="K426" t="s">
        <v>892</v>
      </c>
      <c r="L426">
        <v>1369</v>
      </c>
      <c r="N426">
        <v>1013</v>
      </c>
      <c r="O426" t="s">
        <v>773</v>
      </c>
      <c r="P426" t="s">
        <v>773</v>
      </c>
      <c r="Q426">
        <v>1</v>
      </c>
      <c r="X426">
        <v>53.36</v>
      </c>
      <c r="Y426">
        <v>0</v>
      </c>
      <c r="Z426">
        <v>0</v>
      </c>
      <c r="AA426">
        <v>0</v>
      </c>
      <c r="AB426">
        <v>7.88</v>
      </c>
      <c r="AC426">
        <v>0</v>
      </c>
      <c r="AD426">
        <v>1</v>
      </c>
      <c r="AE426">
        <v>1</v>
      </c>
      <c r="AF426" t="s">
        <v>36</v>
      </c>
      <c r="AG426">
        <v>61.363999999999997</v>
      </c>
      <c r="AH426">
        <v>2</v>
      </c>
      <c r="AI426">
        <v>31029595</v>
      </c>
      <c r="AJ426">
        <v>401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</row>
    <row r="427" spans="1:44">
      <c r="A427">
        <f>ROW(Source!A223)</f>
        <v>223</v>
      </c>
      <c r="B427">
        <v>31029598</v>
      </c>
      <c r="C427">
        <v>31029594</v>
      </c>
      <c r="D427">
        <v>29215982</v>
      </c>
      <c r="E427">
        <v>1</v>
      </c>
      <c r="F427">
        <v>1</v>
      </c>
      <c r="G427">
        <v>1</v>
      </c>
      <c r="H427">
        <v>3</v>
      </c>
      <c r="I427" t="s">
        <v>825</v>
      </c>
      <c r="J427" t="s">
        <v>826</v>
      </c>
      <c r="K427" t="s">
        <v>827</v>
      </c>
      <c r="L427">
        <v>1348</v>
      </c>
      <c r="N427">
        <v>1009</v>
      </c>
      <c r="O427" t="s">
        <v>137</v>
      </c>
      <c r="P427" t="s">
        <v>137</v>
      </c>
      <c r="Q427">
        <v>1000</v>
      </c>
      <c r="X427">
        <v>0.47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0</v>
      </c>
      <c r="AF427" t="s">
        <v>6</v>
      </c>
      <c r="AG427">
        <v>0.47</v>
      </c>
      <c r="AH427">
        <v>2</v>
      </c>
      <c r="AI427">
        <v>31029596</v>
      </c>
      <c r="AJ427">
        <v>402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</row>
    <row r="428" spans="1:44">
      <c r="A428">
        <f>ROW(Source!A224)</f>
        <v>224</v>
      </c>
      <c r="B428">
        <v>31029602</v>
      </c>
      <c r="C428">
        <v>31029599</v>
      </c>
      <c r="D428">
        <v>29084610</v>
      </c>
      <c r="E428">
        <v>1</v>
      </c>
      <c r="F428">
        <v>1</v>
      </c>
      <c r="G428">
        <v>1</v>
      </c>
      <c r="H428">
        <v>1</v>
      </c>
      <c r="I428" t="s">
        <v>976</v>
      </c>
      <c r="J428" t="s">
        <v>6</v>
      </c>
      <c r="K428" t="s">
        <v>977</v>
      </c>
      <c r="L428">
        <v>1369</v>
      </c>
      <c r="N428">
        <v>1013</v>
      </c>
      <c r="O428" t="s">
        <v>773</v>
      </c>
      <c r="P428" t="s">
        <v>773</v>
      </c>
      <c r="Q428">
        <v>1</v>
      </c>
      <c r="X428">
        <v>214.32</v>
      </c>
      <c r="Y428">
        <v>0</v>
      </c>
      <c r="Z428">
        <v>0</v>
      </c>
      <c r="AA428">
        <v>0</v>
      </c>
      <c r="AB428">
        <v>7</v>
      </c>
      <c r="AC428">
        <v>0</v>
      </c>
      <c r="AD428">
        <v>1</v>
      </c>
      <c r="AE428">
        <v>1</v>
      </c>
      <c r="AF428" t="s">
        <v>36</v>
      </c>
      <c r="AG428">
        <v>246.46799999999996</v>
      </c>
      <c r="AH428">
        <v>2</v>
      </c>
      <c r="AI428">
        <v>31029600</v>
      </c>
      <c r="AJ428">
        <v>403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</row>
    <row r="429" spans="1:44">
      <c r="A429">
        <f>ROW(Source!A224)</f>
        <v>224</v>
      </c>
      <c r="B429">
        <v>31029603</v>
      </c>
      <c r="C429">
        <v>31029599</v>
      </c>
      <c r="D429">
        <v>29215982</v>
      </c>
      <c r="E429">
        <v>1</v>
      </c>
      <c r="F429">
        <v>1</v>
      </c>
      <c r="G429">
        <v>1</v>
      </c>
      <c r="H429">
        <v>3</v>
      </c>
      <c r="I429" t="s">
        <v>825</v>
      </c>
      <c r="J429" t="s">
        <v>826</v>
      </c>
      <c r="K429" t="s">
        <v>827</v>
      </c>
      <c r="L429">
        <v>1348</v>
      </c>
      <c r="N429">
        <v>1009</v>
      </c>
      <c r="O429" t="s">
        <v>137</v>
      </c>
      <c r="P429" t="s">
        <v>137</v>
      </c>
      <c r="Q429">
        <v>1000</v>
      </c>
      <c r="X429">
        <v>100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 t="s">
        <v>6</v>
      </c>
      <c r="AG429">
        <v>100</v>
      </c>
      <c r="AH429">
        <v>2</v>
      </c>
      <c r="AI429">
        <v>31029601</v>
      </c>
      <c r="AJ429">
        <v>404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</row>
    <row r="430" spans="1:44">
      <c r="A430">
        <f>ROW(Source!A225)</f>
        <v>225</v>
      </c>
      <c r="B430">
        <v>31029608</v>
      </c>
      <c r="C430">
        <v>31029604</v>
      </c>
      <c r="D430">
        <v>29084574</v>
      </c>
      <c r="E430">
        <v>1</v>
      </c>
      <c r="F430">
        <v>1</v>
      </c>
      <c r="G430">
        <v>1</v>
      </c>
      <c r="H430">
        <v>1</v>
      </c>
      <c r="I430" t="s">
        <v>820</v>
      </c>
      <c r="J430" t="s">
        <v>6</v>
      </c>
      <c r="K430" t="s">
        <v>821</v>
      </c>
      <c r="L430">
        <v>1369</v>
      </c>
      <c r="N430">
        <v>1013</v>
      </c>
      <c r="O430" t="s">
        <v>773</v>
      </c>
      <c r="P430" t="s">
        <v>773</v>
      </c>
      <c r="Q430">
        <v>1</v>
      </c>
      <c r="X430">
        <v>7</v>
      </c>
      <c r="Y430">
        <v>0</v>
      </c>
      <c r="Z430">
        <v>0</v>
      </c>
      <c r="AA430">
        <v>0</v>
      </c>
      <c r="AB430">
        <v>7.53</v>
      </c>
      <c r="AC430">
        <v>0</v>
      </c>
      <c r="AD430">
        <v>1</v>
      </c>
      <c r="AE430">
        <v>1</v>
      </c>
      <c r="AF430" t="s">
        <v>36</v>
      </c>
      <c r="AG430">
        <v>8.0499999999999989</v>
      </c>
      <c r="AH430">
        <v>2</v>
      </c>
      <c r="AI430">
        <v>31029605</v>
      </c>
      <c r="AJ430">
        <v>405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</row>
    <row r="431" spans="1:44">
      <c r="A431">
        <f>ROW(Source!A225)</f>
        <v>225</v>
      </c>
      <c r="B431">
        <v>31029609</v>
      </c>
      <c r="C431">
        <v>31029604</v>
      </c>
      <c r="D431">
        <v>29084573</v>
      </c>
      <c r="E431">
        <v>1</v>
      </c>
      <c r="F431">
        <v>1</v>
      </c>
      <c r="G431">
        <v>1</v>
      </c>
      <c r="H431">
        <v>1</v>
      </c>
      <c r="I431" t="s">
        <v>774</v>
      </c>
      <c r="J431" t="s">
        <v>6</v>
      </c>
      <c r="K431" t="s">
        <v>775</v>
      </c>
      <c r="L431">
        <v>608254</v>
      </c>
      <c r="N431">
        <v>1013</v>
      </c>
      <c r="O431" t="s">
        <v>776</v>
      </c>
      <c r="P431" t="s">
        <v>776</v>
      </c>
      <c r="Q431">
        <v>1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1</v>
      </c>
      <c r="AE431">
        <v>2</v>
      </c>
      <c r="AF431" t="s">
        <v>36</v>
      </c>
      <c r="AG431">
        <v>0</v>
      </c>
      <c r="AH431">
        <v>2</v>
      </c>
      <c r="AI431">
        <v>31029606</v>
      </c>
      <c r="AJ431">
        <v>406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</row>
    <row r="432" spans="1:44">
      <c r="A432">
        <f>ROW(Source!A225)</f>
        <v>225</v>
      </c>
      <c r="B432">
        <v>31029610</v>
      </c>
      <c r="C432">
        <v>31029604</v>
      </c>
      <c r="D432">
        <v>29149128</v>
      </c>
      <c r="E432">
        <v>1</v>
      </c>
      <c r="F432">
        <v>1</v>
      </c>
      <c r="G432">
        <v>1</v>
      </c>
      <c r="H432">
        <v>2</v>
      </c>
      <c r="I432" t="s">
        <v>978</v>
      </c>
      <c r="J432" t="s">
        <v>979</v>
      </c>
      <c r="K432" t="s">
        <v>980</v>
      </c>
      <c r="L432">
        <v>1368</v>
      </c>
      <c r="N432">
        <v>1011</v>
      </c>
      <c r="O432" t="s">
        <v>780</v>
      </c>
      <c r="P432" t="s">
        <v>780</v>
      </c>
      <c r="Q432">
        <v>1</v>
      </c>
      <c r="X432">
        <v>1.34</v>
      </c>
      <c r="Y432">
        <v>0</v>
      </c>
      <c r="Z432">
        <v>6.16</v>
      </c>
      <c r="AA432">
        <v>0</v>
      </c>
      <c r="AB432">
        <v>0</v>
      </c>
      <c r="AC432">
        <v>0</v>
      </c>
      <c r="AD432">
        <v>1</v>
      </c>
      <c r="AE432">
        <v>0</v>
      </c>
      <c r="AF432" t="s">
        <v>36</v>
      </c>
      <c r="AG432">
        <v>1.5409999999999999</v>
      </c>
      <c r="AH432">
        <v>2</v>
      </c>
      <c r="AI432">
        <v>31029607</v>
      </c>
      <c r="AJ432">
        <v>407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</row>
    <row r="433" spans="1:44">
      <c r="A433">
        <f>ROW(Source!A226)</f>
        <v>226</v>
      </c>
      <c r="B433">
        <v>31029625</v>
      </c>
      <c r="C433">
        <v>31029611</v>
      </c>
      <c r="D433">
        <v>29084585</v>
      </c>
      <c r="E433">
        <v>1</v>
      </c>
      <c r="F433">
        <v>1</v>
      </c>
      <c r="G433">
        <v>1</v>
      </c>
      <c r="H433">
        <v>1</v>
      </c>
      <c r="I433" t="s">
        <v>981</v>
      </c>
      <c r="J433" t="s">
        <v>6</v>
      </c>
      <c r="K433" t="s">
        <v>982</v>
      </c>
      <c r="L433">
        <v>1369</v>
      </c>
      <c r="N433">
        <v>1013</v>
      </c>
      <c r="O433" t="s">
        <v>773</v>
      </c>
      <c r="P433" t="s">
        <v>773</v>
      </c>
      <c r="Q433">
        <v>1</v>
      </c>
      <c r="X433">
        <v>22.5</v>
      </c>
      <c r="Y433">
        <v>0</v>
      </c>
      <c r="Z433">
        <v>0</v>
      </c>
      <c r="AA433">
        <v>0</v>
      </c>
      <c r="AB433">
        <v>8.09</v>
      </c>
      <c r="AC433">
        <v>0</v>
      </c>
      <c r="AD433">
        <v>1</v>
      </c>
      <c r="AE433">
        <v>1</v>
      </c>
      <c r="AF433" t="s">
        <v>127</v>
      </c>
      <c r="AG433">
        <v>29.756249999999994</v>
      </c>
      <c r="AH433">
        <v>2</v>
      </c>
      <c r="AI433">
        <v>31029612</v>
      </c>
      <c r="AJ433">
        <v>408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</row>
    <row r="434" spans="1:44">
      <c r="A434">
        <f>ROW(Source!A226)</f>
        <v>226</v>
      </c>
      <c r="B434">
        <v>31029626</v>
      </c>
      <c r="C434">
        <v>31029611</v>
      </c>
      <c r="D434">
        <v>29149183</v>
      </c>
      <c r="E434">
        <v>1</v>
      </c>
      <c r="F434">
        <v>1</v>
      </c>
      <c r="G434">
        <v>1</v>
      </c>
      <c r="H434">
        <v>2</v>
      </c>
      <c r="I434" t="s">
        <v>983</v>
      </c>
      <c r="J434" t="s">
        <v>984</v>
      </c>
      <c r="K434" t="s">
        <v>985</v>
      </c>
      <c r="L434">
        <v>1368</v>
      </c>
      <c r="N434">
        <v>1011</v>
      </c>
      <c r="O434" t="s">
        <v>780</v>
      </c>
      <c r="P434" t="s">
        <v>780</v>
      </c>
      <c r="Q434">
        <v>1</v>
      </c>
      <c r="X434">
        <v>0.23</v>
      </c>
      <c r="Y434">
        <v>0</v>
      </c>
      <c r="Z434">
        <v>1.95</v>
      </c>
      <c r="AA434">
        <v>0</v>
      </c>
      <c r="AB434">
        <v>0</v>
      </c>
      <c r="AC434">
        <v>0</v>
      </c>
      <c r="AD434">
        <v>1</v>
      </c>
      <c r="AE434">
        <v>0</v>
      </c>
      <c r="AF434" t="s">
        <v>126</v>
      </c>
      <c r="AG434">
        <v>0.330625</v>
      </c>
      <c r="AH434">
        <v>2</v>
      </c>
      <c r="AI434">
        <v>31029613</v>
      </c>
      <c r="AJ434">
        <v>409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</row>
    <row r="435" spans="1:44">
      <c r="A435">
        <f>ROW(Source!A226)</f>
        <v>226</v>
      </c>
      <c r="B435">
        <v>31029627</v>
      </c>
      <c r="C435">
        <v>31029611</v>
      </c>
      <c r="D435">
        <v>29149262</v>
      </c>
      <c r="E435">
        <v>1</v>
      </c>
      <c r="F435">
        <v>1</v>
      </c>
      <c r="G435">
        <v>1</v>
      </c>
      <c r="H435">
        <v>2</v>
      </c>
      <c r="I435" t="s">
        <v>986</v>
      </c>
      <c r="J435" t="s">
        <v>987</v>
      </c>
      <c r="K435" t="s">
        <v>988</v>
      </c>
      <c r="L435">
        <v>1368</v>
      </c>
      <c r="N435">
        <v>1011</v>
      </c>
      <c r="O435" t="s">
        <v>780</v>
      </c>
      <c r="P435" t="s">
        <v>780</v>
      </c>
      <c r="Q435">
        <v>1</v>
      </c>
      <c r="X435">
        <v>0.33</v>
      </c>
      <c r="Y435">
        <v>0</v>
      </c>
      <c r="Z435">
        <v>4.87</v>
      </c>
      <c r="AA435">
        <v>0</v>
      </c>
      <c r="AB435">
        <v>0</v>
      </c>
      <c r="AC435">
        <v>0</v>
      </c>
      <c r="AD435">
        <v>1</v>
      </c>
      <c r="AE435">
        <v>0</v>
      </c>
      <c r="AF435" t="s">
        <v>126</v>
      </c>
      <c r="AG435">
        <v>0.47437499999999999</v>
      </c>
      <c r="AH435">
        <v>2</v>
      </c>
      <c r="AI435">
        <v>31029614</v>
      </c>
      <c r="AJ435">
        <v>410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</row>
    <row r="436" spans="1:44">
      <c r="A436">
        <f>ROW(Source!A226)</f>
        <v>226</v>
      </c>
      <c r="B436">
        <v>31029628</v>
      </c>
      <c r="C436">
        <v>31029611</v>
      </c>
      <c r="D436">
        <v>29149520</v>
      </c>
      <c r="E436">
        <v>1</v>
      </c>
      <c r="F436">
        <v>1</v>
      </c>
      <c r="G436">
        <v>1</v>
      </c>
      <c r="H436">
        <v>2</v>
      </c>
      <c r="I436" t="s">
        <v>790</v>
      </c>
      <c r="J436" t="s">
        <v>791</v>
      </c>
      <c r="K436" t="s">
        <v>792</v>
      </c>
      <c r="L436">
        <v>1368</v>
      </c>
      <c r="N436">
        <v>1011</v>
      </c>
      <c r="O436" t="s">
        <v>780</v>
      </c>
      <c r="P436" t="s">
        <v>780</v>
      </c>
      <c r="Q436">
        <v>1</v>
      </c>
      <c r="X436">
        <v>0.36</v>
      </c>
      <c r="Y436">
        <v>0</v>
      </c>
      <c r="Z436">
        <v>91.62</v>
      </c>
      <c r="AA436">
        <v>0</v>
      </c>
      <c r="AB436">
        <v>0</v>
      </c>
      <c r="AC436">
        <v>0</v>
      </c>
      <c r="AD436">
        <v>1</v>
      </c>
      <c r="AE436">
        <v>0</v>
      </c>
      <c r="AF436" t="s">
        <v>126</v>
      </c>
      <c r="AG436">
        <v>0.51749999999999996</v>
      </c>
      <c r="AH436">
        <v>2</v>
      </c>
      <c r="AI436">
        <v>31029615</v>
      </c>
      <c r="AJ436">
        <v>411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</row>
    <row r="437" spans="1:44">
      <c r="A437">
        <f>ROW(Source!A226)</f>
        <v>226</v>
      </c>
      <c r="B437">
        <v>31029629</v>
      </c>
      <c r="C437">
        <v>31029611</v>
      </c>
      <c r="D437">
        <v>29151128</v>
      </c>
      <c r="E437">
        <v>1</v>
      </c>
      <c r="F437">
        <v>1</v>
      </c>
      <c r="G437">
        <v>1</v>
      </c>
      <c r="H437">
        <v>3</v>
      </c>
      <c r="I437" t="s">
        <v>989</v>
      </c>
      <c r="J437" t="s">
        <v>990</v>
      </c>
      <c r="K437" t="s">
        <v>991</v>
      </c>
      <c r="L437">
        <v>1348</v>
      </c>
      <c r="N437">
        <v>1009</v>
      </c>
      <c r="O437" t="s">
        <v>137</v>
      </c>
      <c r="P437" t="s">
        <v>137</v>
      </c>
      <c r="Q437">
        <v>1000</v>
      </c>
      <c r="X437">
        <v>3.0999999999999999E-3</v>
      </c>
      <c r="Y437">
        <v>6501.88</v>
      </c>
      <c r="Z437">
        <v>0</v>
      </c>
      <c r="AA437">
        <v>0</v>
      </c>
      <c r="AB437">
        <v>0</v>
      </c>
      <c r="AC437">
        <v>0</v>
      </c>
      <c r="AD437">
        <v>1</v>
      </c>
      <c r="AE437">
        <v>0</v>
      </c>
      <c r="AF437" t="s">
        <v>6</v>
      </c>
      <c r="AG437">
        <v>3.0999999999999999E-3</v>
      </c>
      <c r="AH437">
        <v>2</v>
      </c>
      <c r="AI437">
        <v>31029616</v>
      </c>
      <c r="AJ437">
        <v>412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</row>
    <row r="438" spans="1:44">
      <c r="A438">
        <f>ROW(Source!A226)</f>
        <v>226</v>
      </c>
      <c r="B438">
        <v>31029630</v>
      </c>
      <c r="C438">
        <v>31029611</v>
      </c>
      <c r="D438">
        <v>29151859</v>
      </c>
      <c r="E438">
        <v>1</v>
      </c>
      <c r="F438">
        <v>1</v>
      </c>
      <c r="G438">
        <v>1</v>
      </c>
      <c r="H438">
        <v>3</v>
      </c>
      <c r="I438" t="s">
        <v>799</v>
      </c>
      <c r="J438" t="s">
        <v>800</v>
      </c>
      <c r="K438" t="s">
        <v>801</v>
      </c>
      <c r="L438">
        <v>1348</v>
      </c>
      <c r="N438">
        <v>1009</v>
      </c>
      <c r="O438" t="s">
        <v>137</v>
      </c>
      <c r="P438" t="s">
        <v>137</v>
      </c>
      <c r="Q438">
        <v>1000</v>
      </c>
      <c r="X438">
        <v>2.5799999999999998E-3</v>
      </c>
      <c r="Y438">
        <v>1215.8</v>
      </c>
      <c r="Z438">
        <v>0</v>
      </c>
      <c r="AA438">
        <v>0</v>
      </c>
      <c r="AB438">
        <v>0</v>
      </c>
      <c r="AC438">
        <v>0</v>
      </c>
      <c r="AD438">
        <v>1</v>
      </c>
      <c r="AE438">
        <v>0</v>
      </c>
      <c r="AF438" t="s">
        <v>6</v>
      </c>
      <c r="AG438">
        <v>2.5799999999999998E-3</v>
      </c>
      <c r="AH438">
        <v>2</v>
      </c>
      <c r="AI438">
        <v>31029617</v>
      </c>
      <c r="AJ438">
        <v>413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</row>
    <row r="439" spans="1:44">
      <c r="A439">
        <f>ROW(Source!A226)</f>
        <v>226</v>
      </c>
      <c r="B439">
        <v>31029631</v>
      </c>
      <c r="C439">
        <v>31029611</v>
      </c>
      <c r="D439">
        <v>29151973</v>
      </c>
      <c r="E439">
        <v>1</v>
      </c>
      <c r="F439">
        <v>1</v>
      </c>
      <c r="G439">
        <v>1</v>
      </c>
      <c r="H439">
        <v>3</v>
      </c>
      <c r="I439" t="s">
        <v>992</v>
      </c>
      <c r="J439" t="s">
        <v>993</v>
      </c>
      <c r="K439" t="s">
        <v>994</v>
      </c>
      <c r="L439">
        <v>1348</v>
      </c>
      <c r="N439">
        <v>1009</v>
      </c>
      <c r="O439" t="s">
        <v>137</v>
      </c>
      <c r="P439" t="s">
        <v>137</v>
      </c>
      <c r="Q439">
        <v>1000</v>
      </c>
      <c r="X439">
        <v>7.4999999999999997E-3</v>
      </c>
      <c r="Y439">
        <v>9824.7000000000007</v>
      </c>
      <c r="Z439">
        <v>0</v>
      </c>
      <c r="AA439">
        <v>0</v>
      </c>
      <c r="AB439">
        <v>0</v>
      </c>
      <c r="AC439">
        <v>0</v>
      </c>
      <c r="AD439">
        <v>1</v>
      </c>
      <c r="AE439">
        <v>0</v>
      </c>
      <c r="AF439" t="s">
        <v>6</v>
      </c>
      <c r="AG439">
        <v>7.4999999999999997E-3</v>
      </c>
      <c r="AH439">
        <v>2</v>
      </c>
      <c r="AI439">
        <v>31029618</v>
      </c>
      <c r="AJ439">
        <v>414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</row>
    <row r="440" spans="1:44">
      <c r="A440">
        <f>ROW(Source!A226)</f>
        <v>226</v>
      </c>
      <c r="B440">
        <v>31029632</v>
      </c>
      <c r="C440">
        <v>31029611</v>
      </c>
      <c r="D440">
        <v>29151997</v>
      </c>
      <c r="E440">
        <v>1</v>
      </c>
      <c r="F440">
        <v>1</v>
      </c>
      <c r="G440">
        <v>1</v>
      </c>
      <c r="H440">
        <v>3</v>
      </c>
      <c r="I440" t="s">
        <v>802</v>
      </c>
      <c r="J440" t="s">
        <v>803</v>
      </c>
      <c r="K440" t="s">
        <v>804</v>
      </c>
      <c r="L440">
        <v>1327</v>
      </c>
      <c r="N440">
        <v>1005</v>
      </c>
      <c r="O440" t="s">
        <v>284</v>
      </c>
      <c r="P440" t="s">
        <v>284</v>
      </c>
      <c r="Q440">
        <v>1</v>
      </c>
      <c r="X440">
        <v>1.45</v>
      </c>
      <c r="Y440">
        <v>6.17</v>
      </c>
      <c r="Z440">
        <v>0</v>
      </c>
      <c r="AA440">
        <v>0</v>
      </c>
      <c r="AB440">
        <v>0</v>
      </c>
      <c r="AC440">
        <v>0</v>
      </c>
      <c r="AD440">
        <v>1</v>
      </c>
      <c r="AE440">
        <v>0</v>
      </c>
      <c r="AF440" t="s">
        <v>6</v>
      </c>
      <c r="AG440">
        <v>1.45</v>
      </c>
      <c r="AH440">
        <v>2</v>
      </c>
      <c r="AI440">
        <v>31029619</v>
      </c>
      <c r="AJ440">
        <v>415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</row>
    <row r="441" spans="1:44">
      <c r="A441">
        <f>ROW(Source!A226)</f>
        <v>226</v>
      </c>
      <c r="B441">
        <v>31029633</v>
      </c>
      <c r="C441">
        <v>31029611</v>
      </c>
      <c r="D441">
        <v>29152054</v>
      </c>
      <c r="E441">
        <v>1</v>
      </c>
      <c r="F441">
        <v>1</v>
      </c>
      <c r="G441">
        <v>1</v>
      </c>
      <c r="H441">
        <v>3</v>
      </c>
      <c r="I441" t="s">
        <v>805</v>
      </c>
      <c r="J441" t="s">
        <v>806</v>
      </c>
      <c r="K441" t="s">
        <v>807</v>
      </c>
      <c r="L441">
        <v>1348</v>
      </c>
      <c r="N441">
        <v>1009</v>
      </c>
      <c r="O441" t="s">
        <v>137</v>
      </c>
      <c r="P441" t="s">
        <v>137</v>
      </c>
      <c r="Q441">
        <v>1000</v>
      </c>
      <c r="X441">
        <v>3.0000000000000001E-3</v>
      </c>
      <c r="Y441">
        <v>10183</v>
      </c>
      <c r="Z441">
        <v>0</v>
      </c>
      <c r="AA441">
        <v>0</v>
      </c>
      <c r="AB441">
        <v>0</v>
      </c>
      <c r="AC441">
        <v>0</v>
      </c>
      <c r="AD441">
        <v>1</v>
      </c>
      <c r="AE441">
        <v>0</v>
      </c>
      <c r="AF441" t="s">
        <v>6</v>
      </c>
      <c r="AG441">
        <v>3.0000000000000001E-3</v>
      </c>
      <c r="AH441">
        <v>2</v>
      </c>
      <c r="AI441">
        <v>31029620</v>
      </c>
      <c r="AJ441">
        <v>416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</row>
    <row r="442" spans="1:44">
      <c r="A442">
        <f>ROW(Source!A226)</f>
        <v>226</v>
      </c>
      <c r="B442">
        <v>31029634</v>
      </c>
      <c r="C442">
        <v>31029611</v>
      </c>
      <c r="D442">
        <v>29158140</v>
      </c>
      <c r="E442">
        <v>1</v>
      </c>
      <c r="F442">
        <v>1</v>
      </c>
      <c r="G442">
        <v>1</v>
      </c>
      <c r="H442">
        <v>3</v>
      </c>
      <c r="I442" t="s">
        <v>995</v>
      </c>
      <c r="J442" t="s">
        <v>996</v>
      </c>
      <c r="K442" t="s">
        <v>997</v>
      </c>
      <c r="L442">
        <v>1339</v>
      </c>
      <c r="N442">
        <v>1007</v>
      </c>
      <c r="O442" t="s">
        <v>109</v>
      </c>
      <c r="P442" t="s">
        <v>109</v>
      </c>
      <c r="Q442">
        <v>1</v>
      </c>
      <c r="X442">
        <v>0.93</v>
      </c>
      <c r="Y442">
        <v>1636.8</v>
      </c>
      <c r="Z442">
        <v>0</v>
      </c>
      <c r="AA442">
        <v>0</v>
      </c>
      <c r="AB442">
        <v>0</v>
      </c>
      <c r="AC442">
        <v>0</v>
      </c>
      <c r="AD442">
        <v>1</v>
      </c>
      <c r="AE442">
        <v>0</v>
      </c>
      <c r="AF442" t="s">
        <v>6</v>
      </c>
      <c r="AG442">
        <v>0.93</v>
      </c>
      <c r="AH442">
        <v>2</v>
      </c>
      <c r="AI442">
        <v>31029621</v>
      </c>
      <c r="AJ442">
        <v>417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</row>
    <row r="443" spans="1:44">
      <c r="A443">
        <f>ROW(Source!A226)</f>
        <v>226</v>
      </c>
      <c r="B443">
        <v>31029635</v>
      </c>
      <c r="C443">
        <v>31029611</v>
      </c>
      <c r="D443">
        <v>29158172</v>
      </c>
      <c r="E443">
        <v>1</v>
      </c>
      <c r="F443">
        <v>1</v>
      </c>
      <c r="G443">
        <v>1</v>
      </c>
      <c r="H443">
        <v>3</v>
      </c>
      <c r="I443" t="s">
        <v>998</v>
      </c>
      <c r="J443" t="s">
        <v>999</v>
      </c>
      <c r="K443" t="s">
        <v>1000</v>
      </c>
      <c r="L443">
        <v>1339</v>
      </c>
      <c r="N443">
        <v>1007</v>
      </c>
      <c r="O443" t="s">
        <v>109</v>
      </c>
      <c r="P443" t="s">
        <v>109</v>
      </c>
      <c r="Q443">
        <v>1</v>
      </c>
      <c r="X443">
        <v>0.12</v>
      </c>
      <c r="Y443">
        <v>1025.4000000000001</v>
      </c>
      <c r="Z443">
        <v>0</v>
      </c>
      <c r="AA443">
        <v>0</v>
      </c>
      <c r="AB443">
        <v>0</v>
      </c>
      <c r="AC443">
        <v>0</v>
      </c>
      <c r="AD443">
        <v>1</v>
      </c>
      <c r="AE443">
        <v>0</v>
      </c>
      <c r="AF443" t="s">
        <v>6</v>
      </c>
      <c r="AG443">
        <v>0.12</v>
      </c>
      <c r="AH443">
        <v>2</v>
      </c>
      <c r="AI443">
        <v>31029622</v>
      </c>
      <c r="AJ443">
        <v>418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</row>
    <row r="444" spans="1:44">
      <c r="A444">
        <f>ROW(Source!A226)</f>
        <v>226</v>
      </c>
      <c r="B444">
        <v>31029636</v>
      </c>
      <c r="C444">
        <v>31029611</v>
      </c>
      <c r="D444">
        <v>29158189</v>
      </c>
      <c r="E444">
        <v>1</v>
      </c>
      <c r="F444">
        <v>1</v>
      </c>
      <c r="G444">
        <v>1</v>
      </c>
      <c r="H444">
        <v>3</v>
      </c>
      <c r="I444" t="s">
        <v>1001</v>
      </c>
      <c r="J444" t="s">
        <v>1002</v>
      </c>
      <c r="K444" t="s">
        <v>1003</v>
      </c>
      <c r="L444">
        <v>1339</v>
      </c>
      <c r="N444">
        <v>1007</v>
      </c>
      <c r="O444" t="s">
        <v>109</v>
      </c>
      <c r="P444" t="s">
        <v>109</v>
      </c>
      <c r="Q444">
        <v>1</v>
      </c>
      <c r="X444">
        <v>0.01</v>
      </c>
      <c r="Y444">
        <v>463.36</v>
      </c>
      <c r="Z444">
        <v>0</v>
      </c>
      <c r="AA444">
        <v>0</v>
      </c>
      <c r="AB444">
        <v>0</v>
      </c>
      <c r="AC444">
        <v>0</v>
      </c>
      <c r="AD444">
        <v>1</v>
      </c>
      <c r="AE444">
        <v>0</v>
      </c>
      <c r="AF444" t="s">
        <v>6</v>
      </c>
      <c r="AG444">
        <v>0.01</v>
      </c>
      <c r="AH444">
        <v>2</v>
      </c>
      <c r="AI444">
        <v>31029623</v>
      </c>
      <c r="AJ444">
        <v>419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</row>
    <row r="445" spans="1:44">
      <c r="A445">
        <f>ROW(Source!A226)</f>
        <v>226</v>
      </c>
      <c r="B445">
        <v>31029637</v>
      </c>
      <c r="C445">
        <v>31029611</v>
      </c>
      <c r="D445">
        <v>29165332</v>
      </c>
      <c r="E445">
        <v>1</v>
      </c>
      <c r="F445">
        <v>1</v>
      </c>
      <c r="G445">
        <v>1</v>
      </c>
      <c r="H445">
        <v>3</v>
      </c>
      <c r="I445" t="s">
        <v>1004</v>
      </c>
      <c r="J445" t="s">
        <v>1005</v>
      </c>
      <c r="K445" t="s">
        <v>1006</v>
      </c>
      <c r="L445">
        <v>1348</v>
      </c>
      <c r="N445">
        <v>1009</v>
      </c>
      <c r="O445" t="s">
        <v>137</v>
      </c>
      <c r="P445" t="s">
        <v>137</v>
      </c>
      <c r="Q445">
        <v>1000</v>
      </c>
      <c r="X445">
        <v>3.0100000000000001E-3</v>
      </c>
      <c r="Y445">
        <v>15255</v>
      </c>
      <c r="Z445">
        <v>0</v>
      </c>
      <c r="AA445">
        <v>0</v>
      </c>
      <c r="AB445">
        <v>0</v>
      </c>
      <c r="AC445">
        <v>0</v>
      </c>
      <c r="AD445">
        <v>1</v>
      </c>
      <c r="AE445">
        <v>0</v>
      </c>
      <c r="AF445" t="s">
        <v>6</v>
      </c>
      <c r="AG445">
        <v>3.0100000000000001E-3</v>
      </c>
      <c r="AH445">
        <v>2</v>
      </c>
      <c r="AI445">
        <v>31029624</v>
      </c>
      <c r="AJ445">
        <v>420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</row>
    <row r="446" spans="1:44">
      <c r="A446">
        <f>ROW(Source!A227)</f>
        <v>227</v>
      </c>
      <c r="B446">
        <v>31029648</v>
      </c>
      <c r="C446">
        <v>31029638</v>
      </c>
      <c r="D446">
        <v>29084584</v>
      </c>
      <c r="E446">
        <v>1</v>
      </c>
      <c r="F446">
        <v>1</v>
      </c>
      <c r="G446">
        <v>1</v>
      </c>
      <c r="H446">
        <v>1</v>
      </c>
      <c r="I446" t="s">
        <v>898</v>
      </c>
      <c r="J446" t="s">
        <v>6</v>
      </c>
      <c r="K446" t="s">
        <v>899</v>
      </c>
      <c r="L446">
        <v>1369</v>
      </c>
      <c r="N446">
        <v>1013</v>
      </c>
      <c r="O446" t="s">
        <v>773</v>
      </c>
      <c r="P446" t="s">
        <v>773</v>
      </c>
      <c r="Q446">
        <v>1</v>
      </c>
      <c r="X446">
        <v>31.98</v>
      </c>
      <c r="Y446">
        <v>0</v>
      </c>
      <c r="Z446">
        <v>0</v>
      </c>
      <c r="AA446">
        <v>0</v>
      </c>
      <c r="AB446">
        <v>8.33</v>
      </c>
      <c r="AC446">
        <v>0</v>
      </c>
      <c r="AD446">
        <v>1</v>
      </c>
      <c r="AE446">
        <v>1</v>
      </c>
      <c r="AF446" t="s">
        <v>127</v>
      </c>
      <c r="AG446">
        <v>42.293549999999996</v>
      </c>
      <c r="AH446">
        <v>2</v>
      </c>
      <c r="AI446">
        <v>31029639</v>
      </c>
      <c r="AJ446">
        <v>421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</row>
    <row r="447" spans="1:44">
      <c r="A447">
        <f>ROW(Source!A227)</f>
        <v>227</v>
      </c>
      <c r="B447">
        <v>31029649</v>
      </c>
      <c r="C447">
        <v>31029638</v>
      </c>
      <c r="D447">
        <v>29148219</v>
      </c>
      <c r="E447">
        <v>1</v>
      </c>
      <c r="F447">
        <v>1</v>
      </c>
      <c r="G447">
        <v>1</v>
      </c>
      <c r="H447">
        <v>2</v>
      </c>
      <c r="I447" t="s">
        <v>784</v>
      </c>
      <c r="J447" t="s">
        <v>785</v>
      </c>
      <c r="K447" t="s">
        <v>786</v>
      </c>
      <c r="L447">
        <v>1368</v>
      </c>
      <c r="N447">
        <v>1011</v>
      </c>
      <c r="O447" t="s">
        <v>780</v>
      </c>
      <c r="P447" t="s">
        <v>780</v>
      </c>
      <c r="Q447">
        <v>1</v>
      </c>
      <c r="X447">
        <v>0.23</v>
      </c>
      <c r="Y447">
        <v>0</v>
      </c>
      <c r="Z447">
        <v>30</v>
      </c>
      <c r="AA447">
        <v>0</v>
      </c>
      <c r="AB447">
        <v>0</v>
      </c>
      <c r="AC447">
        <v>0</v>
      </c>
      <c r="AD447">
        <v>1</v>
      </c>
      <c r="AE447">
        <v>0</v>
      </c>
      <c r="AF447" t="s">
        <v>126</v>
      </c>
      <c r="AG447">
        <v>0.330625</v>
      </c>
      <c r="AH447">
        <v>2</v>
      </c>
      <c r="AI447">
        <v>31029640</v>
      </c>
      <c r="AJ447">
        <v>422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</row>
    <row r="448" spans="1:44">
      <c r="A448">
        <f>ROW(Source!A227)</f>
        <v>227</v>
      </c>
      <c r="B448">
        <v>31029650</v>
      </c>
      <c r="C448">
        <v>31029638</v>
      </c>
      <c r="D448">
        <v>29149269</v>
      </c>
      <c r="E448">
        <v>1</v>
      </c>
      <c r="F448">
        <v>1</v>
      </c>
      <c r="G448">
        <v>1</v>
      </c>
      <c r="H448">
        <v>2</v>
      </c>
      <c r="I448" t="s">
        <v>1007</v>
      </c>
      <c r="J448" t="s">
        <v>1008</v>
      </c>
      <c r="K448" t="s">
        <v>1009</v>
      </c>
      <c r="L448">
        <v>1368</v>
      </c>
      <c r="N448">
        <v>1011</v>
      </c>
      <c r="O448" t="s">
        <v>780</v>
      </c>
      <c r="P448" t="s">
        <v>780</v>
      </c>
      <c r="Q448">
        <v>1</v>
      </c>
      <c r="X448">
        <v>1.26</v>
      </c>
      <c r="Y448">
        <v>0</v>
      </c>
      <c r="Z448">
        <v>2.16</v>
      </c>
      <c r="AA448">
        <v>0</v>
      </c>
      <c r="AB448">
        <v>0</v>
      </c>
      <c r="AC448">
        <v>0</v>
      </c>
      <c r="AD448">
        <v>1</v>
      </c>
      <c r="AE448">
        <v>0</v>
      </c>
      <c r="AF448" t="s">
        <v>126</v>
      </c>
      <c r="AG448">
        <v>1.8112499999999998</v>
      </c>
      <c r="AH448">
        <v>2</v>
      </c>
      <c r="AI448">
        <v>31029641</v>
      </c>
      <c r="AJ448">
        <v>423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</row>
    <row r="449" spans="1:44">
      <c r="A449">
        <f>ROW(Source!A227)</f>
        <v>227</v>
      </c>
      <c r="B449">
        <v>31029651</v>
      </c>
      <c r="C449">
        <v>31029638</v>
      </c>
      <c r="D449">
        <v>29149520</v>
      </c>
      <c r="E449">
        <v>1</v>
      </c>
      <c r="F449">
        <v>1</v>
      </c>
      <c r="G449">
        <v>1</v>
      </c>
      <c r="H449">
        <v>2</v>
      </c>
      <c r="I449" t="s">
        <v>790</v>
      </c>
      <c r="J449" t="s">
        <v>791</v>
      </c>
      <c r="K449" t="s">
        <v>792</v>
      </c>
      <c r="L449">
        <v>1368</v>
      </c>
      <c r="N449">
        <v>1011</v>
      </c>
      <c r="O449" t="s">
        <v>780</v>
      </c>
      <c r="P449" t="s">
        <v>780</v>
      </c>
      <c r="Q449">
        <v>1</v>
      </c>
      <c r="X449">
        <v>0.47</v>
      </c>
      <c r="Y449">
        <v>0</v>
      </c>
      <c r="Z449">
        <v>91.62</v>
      </c>
      <c r="AA449">
        <v>0</v>
      </c>
      <c r="AB449">
        <v>0</v>
      </c>
      <c r="AC449">
        <v>0</v>
      </c>
      <c r="AD449">
        <v>1</v>
      </c>
      <c r="AE449">
        <v>0</v>
      </c>
      <c r="AF449" t="s">
        <v>126</v>
      </c>
      <c r="AG449">
        <v>0.67562499999999981</v>
      </c>
      <c r="AH449">
        <v>2</v>
      </c>
      <c r="AI449">
        <v>31029642</v>
      </c>
      <c r="AJ449">
        <v>424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</row>
    <row r="450" spans="1:44">
      <c r="A450">
        <f>ROW(Source!A227)</f>
        <v>227</v>
      </c>
      <c r="B450">
        <v>31029652</v>
      </c>
      <c r="C450">
        <v>31029638</v>
      </c>
      <c r="D450">
        <v>29150440</v>
      </c>
      <c r="E450">
        <v>1</v>
      </c>
      <c r="F450">
        <v>1</v>
      </c>
      <c r="G450">
        <v>1</v>
      </c>
      <c r="H450">
        <v>3</v>
      </c>
      <c r="I450" t="s">
        <v>1010</v>
      </c>
      <c r="J450" t="s">
        <v>1011</v>
      </c>
      <c r="K450" t="s">
        <v>1012</v>
      </c>
      <c r="L450">
        <v>1348</v>
      </c>
      <c r="N450">
        <v>1009</v>
      </c>
      <c r="O450" t="s">
        <v>137</v>
      </c>
      <c r="P450" t="s">
        <v>137</v>
      </c>
      <c r="Q450">
        <v>1000</v>
      </c>
      <c r="X450">
        <v>1.26E-2</v>
      </c>
      <c r="Y450">
        <v>1511.91</v>
      </c>
      <c r="Z450">
        <v>0</v>
      </c>
      <c r="AA450">
        <v>0</v>
      </c>
      <c r="AB450">
        <v>0</v>
      </c>
      <c r="AC450">
        <v>0</v>
      </c>
      <c r="AD450">
        <v>1</v>
      </c>
      <c r="AE450">
        <v>0</v>
      </c>
      <c r="AF450" t="s">
        <v>6</v>
      </c>
      <c r="AG450">
        <v>1.26E-2</v>
      </c>
      <c r="AH450">
        <v>2</v>
      </c>
      <c r="AI450">
        <v>31029643</v>
      </c>
      <c r="AJ450">
        <v>425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</row>
    <row r="451" spans="1:44">
      <c r="A451">
        <f>ROW(Source!A227)</f>
        <v>227</v>
      </c>
      <c r="B451">
        <v>31029653</v>
      </c>
      <c r="C451">
        <v>31029638</v>
      </c>
      <c r="D451">
        <v>29150897</v>
      </c>
      <c r="E451">
        <v>1</v>
      </c>
      <c r="F451">
        <v>1</v>
      </c>
      <c r="G451">
        <v>1</v>
      </c>
      <c r="H451">
        <v>3</v>
      </c>
      <c r="I451" t="s">
        <v>1013</v>
      </c>
      <c r="J451" t="s">
        <v>1014</v>
      </c>
      <c r="K451" t="s">
        <v>1015</v>
      </c>
      <c r="L451">
        <v>1348</v>
      </c>
      <c r="N451">
        <v>1009</v>
      </c>
      <c r="O451" t="s">
        <v>137</v>
      </c>
      <c r="P451" t="s">
        <v>137</v>
      </c>
      <c r="Q451">
        <v>1000</v>
      </c>
      <c r="X451">
        <v>4.7300000000000002E-2</v>
      </c>
      <c r="Y451">
        <v>6361</v>
      </c>
      <c r="Z451">
        <v>0</v>
      </c>
      <c r="AA451">
        <v>0</v>
      </c>
      <c r="AB451">
        <v>0</v>
      </c>
      <c r="AC451">
        <v>0</v>
      </c>
      <c r="AD451">
        <v>1</v>
      </c>
      <c r="AE451">
        <v>0</v>
      </c>
      <c r="AF451" t="s">
        <v>6</v>
      </c>
      <c r="AG451">
        <v>4.7300000000000002E-2</v>
      </c>
      <c r="AH451">
        <v>2</v>
      </c>
      <c r="AI451">
        <v>31029644</v>
      </c>
      <c r="AJ451">
        <v>426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</row>
    <row r="452" spans="1:44">
      <c r="A452">
        <f>ROW(Source!A227)</f>
        <v>227</v>
      </c>
      <c r="B452">
        <v>31029654</v>
      </c>
      <c r="C452">
        <v>31029638</v>
      </c>
      <c r="D452">
        <v>29150970</v>
      </c>
      <c r="E452">
        <v>1</v>
      </c>
      <c r="F452">
        <v>1</v>
      </c>
      <c r="G452">
        <v>1</v>
      </c>
      <c r="H452">
        <v>3</v>
      </c>
      <c r="I452" t="s">
        <v>1016</v>
      </c>
      <c r="J452" t="s">
        <v>1017</v>
      </c>
      <c r="K452" t="s">
        <v>1018</v>
      </c>
      <c r="L452">
        <v>1348</v>
      </c>
      <c r="N452">
        <v>1009</v>
      </c>
      <c r="O452" t="s">
        <v>137</v>
      </c>
      <c r="P452" t="s">
        <v>137</v>
      </c>
      <c r="Q452">
        <v>1000</v>
      </c>
      <c r="X452">
        <v>0.03</v>
      </c>
      <c r="Y452">
        <v>4301.22</v>
      </c>
      <c r="Z452">
        <v>0</v>
      </c>
      <c r="AA452">
        <v>0</v>
      </c>
      <c r="AB452">
        <v>0</v>
      </c>
      <c r="AC452">
        <v>0</v>
      </c>
      <c r="AD452">
        <v>1</v>
      </c>
      <c r="AE452">
        <v>0</v>
      </c>
      <c r="AF452" t="s">
        <v>6</v>
      </c>
      <c r="AG452">
        <v>0.03</v>
      </c>
      <c r="AH452">
        <v>2</v>
      </c>
      <c r="AI452">
        <v>31029645</v>
      </c>
      <c r="AJ452">
        <v>427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</row>
    <row r="453" spans="1:44">
      <c r="A453">
        <f>ROW(Source!A227)</f>
        <v>227</v>
      </c>
      <c r="B453">
        <v>31029655</v>
      </c>
      <c r="C453">
        <v>31029638</v>
      </c>
      <c r="D453">
        <v>29152043</v>
      </c>
      <c r="E453">
        <v>1</v>
      </c>
      <c r="F453">
        <v>1</v>
      </c>
      <c r="G453">
        <v>1</v>
      </c>
      <c r="H453">
        <v>3</v>
      </c>
      <c r="I453" t="s">
        <v>1019</v>
      </c>
      <c r="J453" t="s">
        <v>1020</v>
      </c>
      <c r="K453" t="s">
        <v>1021</v>
      </c>
      <c r="L453">
        <v>1329</v>
      </c>
      <c r="N453">
        <v>1005</v>
      </c>
      <c r="O453" t="s">
        <v>1022</v>
      </c>
      <c r="P453" t="s">
        <v>1022</v>
      </c>
      <c r="Q453">
        <v>1000</v>
      </c>
      <c r="X453">
        <v>0.115</v>
      </c>
      <c r="Y453">
        <v>8430.3799999999992</v>
      </c>
      <c r="Z453">
        <v>0</v>
      </c>
      <c r="AA453">
        <v>0</v>
      </c>
      <c r="AB453">
        <v>0</v>
      </c>
      <c r="AC453">
        <v>0</v>
      </c>
      <c r="AD453">
        <v>1</v>
      </c>
      <c r="AE453">
        <v>0</v>
      </c>
      <c r="AF453" t="s">
        <v>6</v>
      </c>
      <c r="AG453">
        <v>0.115</v>
      </c>
      <c r="AH453">
        <v>2</v>
      </c>
      <c r="AI453">
        <v>31029646</v>
      </c>
      <c r="AJ453">
        <v>428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</row>
    <row r="454" spans="1:44">
      <c r="A454">
        <f>ROW(Source!A227)</f>
        <v>227</v>
      </c>
      <c r="B454">
        <v>31029656</v>
      </c>
      <c r="C454">
        <v>31029638</v>
      </c>
      <c r="D454">
        <v>29164668</v>
      </c>
      <c r="E454">
        <v>1</v>
      </c>
      <c r="F454">
        <v>1</v>
      </c>
      <c r="G454">
        <v>1</v>
      </c>
      <c r="H454">
        <v>3</v>
      </c>
      <c r="I454" t="s">
        <v>1023</v>
      </c>
      <c r="J454" t="s">
        <v>1024</v>
      </c>
      <c r="K454" t="s">
        <v>1025</v>
      </c>
      <c r="L454">
        <v>1348</v>
      </c>
      <c r="N454">
        <v>1009</v>
      </c>
      <c r="O454" t="s">
        <v>137</v>
      </c>
      <c r="P454" t="s">
        <v>137</v>
      </c>
      <c r="Q454">
        <v>1000</v>
      </c>
      <c r="X454">
        <v>1.2600000000000001E-3</v>
      </c>
      <c r="Y454">
        <v>10324.469999999999</v>
      </c>
      <c r="Z454">
        <v>0</v>
      </c>
      <c r="AA454">
        <v>0</v>
      </c>
      <c r="AB454">
        <v>0</v>
      </c>
      <c r="AC454">
        <v>0</v>
      </c>
      <c r="AD454">
        <v>1</v>
      </c>
      <c r="AE454">
        <v>0</v>
      </c>
      <c r="AF454" t="s">
        <v>6</v>
      </c>
      <c r="AG454">
        <v>1.2600000000000001E-3</v>
      </c>
      <c r="AH454">
        <v>2</v>
      </c>
      <c r="AI454">
        <v>31029647</v>
      </c>
      <c r="AJ454">
        <v>429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</row>
    <row r="455" spans="1:44">
      <c r="A455">
        <f>ROW(Source!A228)</f>
        <v>228</v>
      </c>
      <c r="B455">
        <v>31029666</v>
      </c>
      <c r="C455">
        <v>31029657</v>
      </c>
      <c r="D455">
        <v>29084596</v>
      </c>
      <c r="E455">
        <v>1</v>
      </c>
      <c r="F455">
        <v>1</v>
      </c>
      <c r="G455">
        <v>1</v>
      </c>
      <c r="H455">
        <v>1</v>
      </c>
      <c r="I455" t="s">
        <v>893</v>
      </c>
      <c r="J455" t="s">
        <v>6</v>
      </c>
      <c r="K455" t="s">
        <v>894</v>
      </c>
      <c r="L455">
        <v>1369</v>
      </c>
      <c r="N455">
        <v>1013</v>
      </c>
      <c r="O455" t="s">
        <v>773</v>
      </c>
      <c r="P455" t="s">
        <v>773</v>
      </c>
      <c r="Q455">
        <v>1</v>
      </c>
      <c r="X455">
        <v>8.8699999999999992</v>
      </c>
      <c r="Y455">
        <v>0</v>
      </c>
      <c r="Z455">
        <v>0</v>
      </c>
      <c r="AA455">
        <v>0</v>
      </c>
      <c r="AB455">
        <v>9.18</v>
      </c>
      <c r="AC455">
        <v>0</v>
      </c>
      <c r="AD455">
        <v>1</v>
      </c>
      <c r="AE455">
        <v>1</v>
      </c>
      <c r="AF455" t="s">
        <v>127</v>
      </c>
      <c r="AG455">
        <v>11.730574999999996</v>
      </c>
      <c r="AH455">
        <v>2</v>
      </c>
      <c r="AI455">
        <v>31029658</v>
      </c>
      <c r="AJ455">
        <v>430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</row>
    <row r="456" spans="1:44">
      <c r="A456">
        <f>ROW(Source!A228)</f>
        <v>228</v>
      </c>
      <c r="B456">
        <v>31029667</v>
      </c>
      <c r="C456">
        <v>31029657</v>
      </c>
      <c r="D456">
        <v>29084573</v>
      </c>
      <c r="E456">
        <v>1</v>
      </c>
      <c r="F456">
        <v>1</v>
      </c>
      <c r="G456">
        <v>1</v>
      </c>
      <c r="H456">
        <v>1</v>
      </c>
      <c r="I456" t="s">
        <v>774</v>
      </c>
      <c r="J456" t="s">
        <v>6</v>
      </c>
      <c r="K456" t="s">
        <v>775</v>
      </c>
      <c r="L456">
        <v>608254</v>
      </c>
      <c r="N456">
        <v>1013</v>
      </c>
      <c r="O456" t="s">
        <v>776</v>
      </c>
      <c r="P456" t="s">
        <v>776</v>
      </c>
      <c r="Q456">
        <v>1</v>
      </c>
      <c r="X456">
        <v>0.17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1</v>
      </c>
      <c r="AE456">
        <v>2</v>
      </c>
      <c r="AF456" t="s">
        <v>126</v>
      </c>
      <c r="AG456">
        <v>0.24437500000000001</v>
      </c>
      <c r="AH456">
        <v>2</v>
      </c>
      <c r="AI456">
        <v>31029659</v>
      </c>
      <c r="AJ456">
        <v>431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</row>
    <row r="457" spans="1:44">
      <c r="A457">
        <f>ROW(Source!A228)</f>
        <v>228</v>
      </c>
      <c r="B457">
        <v>31029668</v>
      </c>
      <c r="C457">
        <v>31029657</v>
      </c>
      <c r="D457">
        <v>29147730</v>
      </c>
      <c r="E457">
        <v>1</v>
      </c>
      <c r="F457">
        <v>1</v>
      </c>
      <c r="G457">
        <v>1</v>
      </c>
      <c r="H457">
        <v>2</v>
      </c>
      <c r="I457" t="s">
        <v>1026</v>
      </c>
      <c r="J457" t="s">
        <v>1027</v>
      </c>
      <c r="K457" t="s">
        <v>1028</v>
      </c>
      <c r="L457">
        <v>1368</v>
      </c>
      <c r="N457">
        <v>1011</v>
      </c>
      <c r="O457" t="s">
        <v>780</v>
      </c>
      <c r="P457" t="s">
        <v>780</v>
      </c>
      <c r="Q457">
        <v>1</v>
      </c>
      <c r="X457">
        <v>0.17</v>
      </c>
      <c r="Y457">
        <v>0</v>
      </c>
      <c r="Z457">
        <v>27.25</v>
      </c>
      <c r="AA457">
        <v>11.2</v>
      </c>
      <c r="AB457">
        <v>0</v>
      </c>
      <c r="AC457">
        <v>0</v>
      </c>
      <c r="AD457">
        <v>1</v>
      </c>
      <c r="AE457">
        <v>0</v>
      </c>
      <c r="AF457" t="s">
        <v>126</v>
      </c>
      <c r="AG457">
        <v>0.24437500000000001</v>
      </c>
      <c r="AH457">
        <v>2</v>
      </c>
      <c r="AI457">
        <v>31029660</v>
      </c>
      <c r="AJ457">
        <v>432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</row>
    <row r="458" spans="1:44">
      <c r="A458">
        <f>ROW(Source!A228)</f>
        <v>228</v>
      </c>
      <c r="B458">
        <v>31029669</v>
      </c>
      <c r="C458">
        <v>31029657</v>
      </c>
      <c r="D458">
        <v>29149310</v>
      </c>
      <c r="E458">
        <v>1</v>
      </c>
      <c r="F458">
        <v>1</v>
      </c>
      <c r="G458">
        <v>1</v>
      </c>
      <c r="H458">
        <v>2</v>
      </c>
      <c r="I458" t="s">
        <v>1029</v>
      </c>
      <c r="J458" t="s">
        <v>1030</v>
      </c>
      <c r="K458" t="s">
        <v>1031</v>
      </c>
      <c r="L458">
        <v>1368</v>
      </c>
      <c r="N458">
        <v>1011</v>
      </c>
      <c r="O458" t="s">
        <v>780</v>
      </c>
      <c r="P458" t="s">
        <v>780</v>
      </c>
      <c r="Q458">
        <v>1</v>
      </c>
      <c r="X458">
        <v>17.45</v>
      </c>
      <c r="Y458">
        <v>0</v>
      </c>
      <c r="Z458">
        <v>6.82</v>
      </c>
      <c r="AA458">
        <v>0</v>
      </c>
      <c r="AB458">
        <v>0</v>
      </c>
      <c r="AC458">
        <v>0</v>
      </c>
      <c r="AD458">
        <v>1</v>
      </c>
      <c r="AE458">
        <v>0</v>
      </c>
      <c r="AF458" t="s">
        <v>126</v>
      </c>
      <c r="AG458">
        <v>25.084374999999998</v>
      </c>
      <c r="AH458">
        <v>2</v>
      </c>
      <c r="AI458">
        <v>31029661</v>
      </c>
      <c r="AJ458">
        <v>433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</row>
    <row r="459" spans="1:44">
      <c r="A459">
        <f>ROW(Source!A228)</f>
        <v>228</v>
      </c>
      <c r="B459">
        <v>31029670</v>
      </c>
      <c r="C459">
        <v>31029657</v>
      </c>
      <c r="D459">
        <v>29149520</v>
      </c>
      <c r="E459">
        <v>1</v>
      </c>
      <c r="F459">
        <v>1</v>
      </c>
      <c r="G459">
        <v>1</v>
      </c>
      <c r="H459">
        <v>2</v>
      </c>
      <c r="I459" t="s">
        <v>790</v>
      </c>
      <c r="J459" t="s">
        <v>791</v>
      </c>
      <c r="K459" t="s">
        <v>792</v>
      </c>
      <c r="L459">
        <v>1368</v>
      </c>
      <c r="N459">
        <v>1011</v>
      </c>
      <c r="O459" t="s">
        <v>780</v>
      </c>
      <c r="P459" t="s">
        <v>780</v>
      </c>
      <c r="Q459">
        <v>1</v>
      </c>
      <c r="X459">
        <v>0.43</v>
      </c>
      <c r="Y459">
        <v>0</v>
      </c>
      <c r="Z459">
        <v>91.62</v>
      </c>
      <c r="AA459">
        <v>0</v>
      </c>
      <c r="AB459">
        <v>0</v>
      </c>
      <c r="AC459">
        <v>0</v>
      </c>
      <c r="AD459">
        <v>1</v>
      </c>
      <c r="AE459">
        <v>0</v>
      </c>
      <c r="AF459" t="s">
        <v>126</v>
      </c>
      <c r="AG459">
        <v>0.61812499999999992</v>
      </c>
      <c r="AH459">
        <v>2</v>
      </c>
      <c r="AI459">
        <v>31029662</v>
      </c>
      <c r="AJ459">
        <v>434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</row>
    <row r="460" spans="1:44">
      <c r="A460">
        <f>ROW(Source!A228)</f>
        <v>228</v>
      </c>
      <c r="B460">
        <v>31029671</v>
      </c>
      <c r="C460">
        <v>31029657</v>
      </c>
      <c r="D460">
        <v>29152014</v>
      </c>
      <c r="E460">
        <v>1</v>
      </c>
      <c r="F460">
        <v>1</v>
      </c>
      <c r="G460">
        <v>1</v>
      </c>
      <c r="H460">
        <v>3</v>
      </c>
      <c r="I460" t="s">
        <v>838</v>
      </c>
      <c r="J460" t="s">
        <v>839</v>
      </c>
      <c r="K460" t="s">
        <v>840</v>
      </c>
      <c r="L460">
        <v>1346</v>
      </c>
      <c r="N460">
        <v>1009</v>
      </c>
      <c r="O460" t="s">
        <v>118</v>
      </c>
      <c r="P460" t="s">
        <v>118</v>
      </c>
      <c r="Q460">
        <v>1</v>
      </c>
      <c r="X460">
        <v>1</v>
      </c>
      <c r="Y460">
        <v>1.94</v>
      </c>
      <c r="Z460">
        <v>0</v>
      </c>
      <c r="AA460">
        <v>0</v>
      </c>
      <c r="AB460">
        <v>0</v>
      </c>
      <c r="AC460">
        <v>0</v>
      </c>
      <c r="AD460">
        <v>1</v>
      </c>
      <c r="AE460">
        <v>0</v>
      </c>
      <c r="AF460" t="s">
        <v>6</v>
      </c>
      <c r="AG460">
        <v>1</v>
      </c>
      <c r="AH460">
        <v>2</v>
      </c>
      <c r="AI460">
        <v>31029663</v>
      </c>
      <c r="AJ460">
        <v>435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</row>
    <row r="461" spans="1:44">
      <c r="A461">
        <f>ROW(Source!A228)</f>
        <v>228</v>
      </c>
      <c r="B461">
        <v>31029672</v>
      </c>
      <c r="C461">
        <v>31029657</v>
      </c>
      <c r="D461">
        <v>29165522</v>
      </c>
      <c r="E461">
        <v>1</v>
      </c>
      <c r="F461">
        <v>1</v>
      </c>
      <c r="G461">
        <v>1</v>
      </c>
      <c r="H461">
        <v>3</v>
      </c>
      <c r="I461" t="s">
        <v>1032</v>
      </c>
      <c r="J461" t="s">
        <v>1033</v>
      </c>
      <c r="K461" t="s">
        <v>1034</v>
      </c>
      <c r="L461">
        <v>1346</v>
      </c>
      <c r="N461">
        <v>1009</v>
      </c>
      <c r="O461" t="s">
        <v>118</v>
      </c>
      <c r="P461" t="s">
        <v>118</v>
      </c>
      <c r="Q461">
        <v>1</v>
      </c>
      <c r="X461">
        <v>46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 t="s">
        <v>6</v>
      </c>
      <c r="AG461">
        <v>46</v>
      </c>
      <c r="AH461">
        <v>2</v>
      </c>
      <c r="AI461">
        <v>31029664</v>
      </c>
      <c r="AJ461">
        <v>436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</row>
    <row r="462" spans="1:44">
      <c r="A462">
        <f>ROW(Source!A228)</f>
        <v>228</v>
      </c>
      <c r="B462">
        <v>31029673</v>
      </c>
      <c r="C462">
        <v>31029657</v>
      </c>
      <c r="D462">
        <v>29195171</v>
      </c>
      <c r="E462">
        <v>1</v>
      </c>
      <c r="F462">
        <v>1</v>
      </c>
      <c r="G462">
        <v>1</v>
      </c>
      <c r="H462">
        <v>3</v>
      </c>
      <c r="I462" t="s">
        <v>830</v>
      </c>
      <c r="J462" t="s">
        <v>831</v>
      </c>
      <c r="K462" t="s">
        <v>832</v>
      </c>
      <c r="L462">
        <v>1339</v>
      </c>
      <c r="N462">
        <v>1007</v>
      </c>
      <c r="O462" t="s">
        <v>109</v>
      </c>
      <c r="P462" t="s">
        <v>109</v>
      </c>
      <c r="Q462">
        <v>1</v>
      </c>
      <c r="X462">
        <v>1.4E-2</v>
      </c>
      <c r="Y462">
        <v>2.4500000000000002</v>
      </c>
      <c r="Z462">
        <v>0</v>
      </c>
      <c r="AA462">
        <v>0</v>
      </c>
      <c r="AB462">
        <v>0</v>
      </c>
      <c r="AC462">
        <v>0</v>
      </c>
      <c r="AD462">
        <v>1</v>
      </c>
      <c r="AE462">
        <v>0</v>
      </c>
      <c r="AF462" t="s">
        <v>6</v>
      </c>
      <c r="AG462">
        <v>1.4E-2</v>
      </c>
      <c r="AH462">
        <v>2</v>
      </c>
      <c r="AI462">
        <v>31029665</v>
      </c>
      <c r="AJ462">
        <v>437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</row>
    <row r="463" spans="1:44">
      <c r="A463">
        <f>ROW(Source!A230)</f>
        <v>230</v>
      </c>
      <c r="B463">
        <v>31029681</v>
      </c>
      <c r="C463">
        <v>31029675</v>
      </c>
      <c r="D463">
        <v>29084584</v>
      </c>
      <c r="E463">
        <v>1</v>
      </c>
      <c r="F463">
        <v>1</v>
      </c>
      <c r="G463">
        <v>1</v>
      </c>
      <c r="H463">
        <v>1</v>
      </c>
      <c r="I463" t="s">
        <v>898</v>
      </c>
      <c r="J463" t="s">
        <v>6</v>
      </c>
      <c r="K463" t="s">
        <v>899</v>
      </c>
      <c r="L463">
        <v>1369</v>
      </c>
      <c r="N463">
        <v>1013</v>
      </c>
      <c r="O463" t="s">
        <v>773</v>
      </c>
      <c r="P463" t="s">
        <v>773</v>
      </c>
      <c r="Q463">
        <v>1</v>
      </c>
      <c r="X463">
        <v>43.5</v>
      </c>
      <c r="Y463">
        <v>0</v>
      </c>
      <c r="Z463">
        <v>0</v>
      </c>
      <c r="AA463">
        <v>0</v>
      </c>
      <c r="AB463">
        <v>8.33</v>
      </c>
      <c r="AC463">
        <v>0</v>
      </c>
      <c r="AD463">
        <v>1</v>
      </c>
      <c r="AE463">
        <v>1</v>
      </c>
      <c r="AF463" t="s">
        <v>127</v>
      </c>
      <c r="AG463">
        <v>57.528749999999995</v>
      </c>
      <c r="AH463">
        <v>2</v>
      </c>
      <c r="AI463">
        <v>31029676</v>
      </c>
      <c r="AJ463">
        <v>438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</row>
    <row r="464" spans="1:44">
      <c r="A464">
        <f>ROW(Source!A230)</f>
        <v>230</v>
      </c>
      <c r="B464">
        <v>31029682</v>
      </c>
      <c r="C464">
        <v>31029675</v>
      </c>
      <c r="D464">
        <v>29149520</v>
      </c>
      <c r="E464">
        <v>1</v>
      </c>
      <c r="F464">
        <v>1</v>
      </c>
      <c r="G464">
        <v>1</v>
      </c>
      <c r="H464">
        <v>2</v>
      </c>
      <c r="I464" t="s">
        <v>790</v>
      </c>
      <c r="J464" t="s">
        <v>791</v>
      </c>
      <c r="K464" t="s">
        <v>792</v>
      </c>
      <c r="L464">
        <v>1368</v>
      </c>
      <c r="N464">
        <v>1011</v>
      </c>
      <c r="O464" t="s">
        <v>780</v>
      </c>
      <c r="P464" t="s">
        <v>780</v>
      </c>
      <c r="Q464">
        <v>1</v>
      </c>
      <c r="X464">
        <v>7.0000000000000007E-2</v>
      </c>
      <c r="Y464">
        <v>0</v>
      </c>
      <c r="Z464">
        <v>91.62</v>
      </c>
      <c r="AA464">
        <v>0</v>
      </c>
      <c r="AB464">
        <v>0</v>
      </c>
      <c r="AC464">
        <v>0</v>
      </c>
      <c r="AD464">
        <v>1</v>
      </c>
      <c r="AE464">
        <v>0</v>
      </c>
      <c r="AF464" t="s">
        <v>126</v>
      </c>
      <c r="AG464">
        <v>0.10062500000000001</v>
      </c>
      <c r="AH464">
        <v>2</v>
      </c>
      <c r="AI464">
        <v>31029677</v>
      </c>
      <c r="AJ464">
        <v>439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</row>
    <row r="465" spans="1:44">
      <c r="A465">
        <f>ROW(Source!A230)</f>
        <v>230</v>
      </c>
      <c r="B465">
        <v>31029683</v>
      </c>
      <c r="C465">
        <v>31029675</v>
      </c>
      <c r="D465">
        <v>29152821</v>
      </c>
      <c r="E465">
        <v>1</v>
      </c>
      <c r="F465">
        <v>1</v>
      </c>
      <c r="G465">
        <v>1</v>
      </c>
      <c r="H465">
        <v>3</v>
      </c>
      <c r="I465" t="s">
        <v>1035</v>
      </c>
      <c r="J465" t="s">
        <v>1036</v>
      </c>
      <c r="K465" t="s">
        <v>1037</v>
      </c>
      <c r="L465">
        <v>1339</v>
      </c>
      <c r="N465">
        <v>1007</v>
      </c>
      <c r="O465" t="s">
        <v>109</v>
      </c>
      <c r="P465" t="s">
        <v>109</v>
      </c>
      <c r="Q465">
        <v>1</v>
      </c>
      <c r="X465">
        <v>8.9999999999999993E-3</v>
      </c>
      <c r="Y465">
        <v>1100</v>
      </c>
      <c r="Z465">
        <v>0</v>
      </c>
      <c r="AA465">
        <v>0</v>
      </c>
      <c r="AB465">
        <v>0</v>
      </c>
      <c r="AC465">
        <v>0</v>
      </c>
      <c r="AD465">
        <v>1</v>
      </c>
      <c r="AE465">
        <v>0</v>
      </c>
      <c r="AF465" t="s">
        <v>6</v>
      </c>
      <c r="AG465">
        <v>8.9999999999999993E-3</v>
      </c>
      <c r="AH465">
        <v>2</v>
      </c>
      <c r="AI465">
        <v>31029678</v>
      </c>
      <c r="AJ465">
        <v>440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</row>
    <row r="466" spans="1:44">
      <c r="A466">
        <f>ROW(Source!A230)</f>
        <v>230</v>
      </c>
      <c r="B466">
        <v>31029684</v>
      </c>
      <c r="C466">
        <v>31029675</v>
      </c>
      <c r="D466">
        <v>29152822</v>
      </c>
      <c r="E466">
        <v>1</v>
      </c>
      <c r="F466">
        <v>1</v>
      </c>
      <c r="G466">
        <v>1</v>
      </c>
      <c r="H466">
        <v>3</v>
      </c>
      <c r="I466" t="s">
        <v>1038</v>
      </c>
      <c r="J466" t="s">
        <v>1039</v>
      </c>
      <c r="K466" t="s">
        <v>1040</v>
      </c>
      <c r="L466">
        <v>1348</v>
      </c>
      <c r="N466">
        <v>1009</v>
      </c>
      <c r="O466" t="s">
        <v>137</v>
      </c>
      <c r="P466" t="s">
        <v>137</v>
      </c>
      <c r="Q466">
        <v>1000</v>
      </c>
      <c r="X466">
        <v>3.5000000000000003E-2</v>
      </c>
      <c r="Y466">
        <v>6683</v>
      </c>
      <c r="Z466">
        <v>0</v>
      </c>
      <c r="AA466">
        <v>0</v>
      </c>
      <c r="AB466">
        <v>0</v>
      </c>
      <c r="AC466">
        <v>0</v>
      </c>
      <c r="AD466">
        <v>1</v>
      </c>
      <c r="AE466">
        <v>0</v>
      </c>
      <c r="AF466" t="s">
        <v>6</v>
      </c>
      <c r="AG466">
        <v>3.5000000000000003E-2</v>
      </c>
      <c r="AH466">
        <v>2</v>
      </c>
      <c r="AI466">
        <v>31029679</v>
      </c>
      <c r="AJ466">
        <v>441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</row>
    <row r="467" spans="1:44">
      <c r="A467">
        <f>ROW(Source!A230)</f>
        <v>230</v>
      </c>
      <c r="B467">
        <v>31029685</v>
      </c>
      <c r="C467">
        <v>31029675</v>
      </c>
      <c r="D467">
        <v>29172320</v>
      </c>
      <c r="E467">
        <v>1</v>
      </c>
      <c r="F467">
        <v>1</v>
      </c>
      <c r="G467">
        <v>1</v>
      </c>
      <c r="H467">
        <v>3</v>
      </c>
      <c r="I467" t="s">
        <v>1041</v>
      </c>
      <c r="J467" t="s">
        <v>1042</v>
      </c>
      <c r="K467" t="s">
        <v>1043</v>
      </c>
      <c r="L467">
        <v>1327</v>
      </c>
      <c r="N467">
        <v>1005</v>
      </c>
      <c r="O467" t="s">
        <v>284</v>
      </c>
      <c r="P467" t="s">
        <v>284</v>
      </c>
      <c r="Q467">
        <v>1</v>
      </c>
      <c r="X467">
        <v>3.4</v>
      </c>
      <c r="Y467">
        <v>19.57</v>
      </c>
      <c r="Z467">
        <v>0</v>
      </c>
      <c r="AA467">
        <v>0</v>
      </c>
      <c r="AB467">
        <v>0</v>
      </c>
      <c r="AC467">
        <v>0</v>
      </c>
      <c r="AD467">
        <v>1</v>
      </c>
      <c r="AE467">
        <v>0</v>
      </c>
      <c r="AF467" t="s">
        <v>6</v>
      </c>
      <c r="AG467">
        <v>3.4</v>
      </c>
      <c r="AH467">
        <v>2</v>
      </c>
      <c r="AI467">
        <v>31029680</v>
      </c>
      <c r="AJ467">
        <v>442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</row>
    <row r="468" spans="1:44">
      <c r="A468">
        <f>ROW(Source!A231)</f>
        <v>231</v>
      </c>
      <c r="B468">
        <v>31029691</v>
      </c>
      <c r="C468">
        <v>31029686</v>
      </c>
      <c r="D468">
        <v>29084589</v>
      </c>
      <c r="E468">
        <v>1</v>
      </c>
      <c r="F468">
        <v>1</v>
      </c>
      <c r="G468">
        <v>1</v>
      </c>
      <c r="H468">
        <v>1</v>
      </c>
      <c r="I468" t="s">
        <v>771</v>
      </c>
      <c r="J468" t="s">
        <v>6</v>
      </c>
      <c r="K468" t="s">
        <v>772</v>
      </c>
      <c r="L468">
        <v>1369</v>
      </c>
      <c r="N468">
        <v>1013</v>
      </c>
      <c r="O468" t="s">
        <v>773</v>
      </c>
      <c r="P468" t="s">
        <v>773</v>
      </c>
      <c r="Q468">
        <v>1</v>
      </c>
      <c r="X468">
        <v>8.24</v>
      </c>
      <c r="Y468">
        <v>0</v>
      </c>
      <c r="Z468">
        <v>0</v>
      </c>
      <c r="AA468">
        <v>0</v>
      </c>
      <c r="AB468">
        <v>8.5500000000000007</v>
      </c>
      <c r="AC468">
        <v>0</v>
      </c>
      <c r="AD468">
        <v>1</v>
      </c>
      <c r="AE468">
        <v>1</v>
      </c>
      <c r="AF468" t="s">
        <v>36</v>
      </c>
      <c r="AG468">
        <v>9.4759999999999991</v>
      </c>
      <c r="AH468">
        <v>2</v>
      </c>
      <c r="AI468">
        <v>31029687</v>
      </c>
      <c r="AJ468">
        <v>443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</row>
    <row r="469" spans="1:44">
      <c r="A469">
        <f>ROW(Source!A231)</f>
        <v>231</v>
      </c>
      <c r="B469">
        <v>31029692</v>
      </c>
      <c r="C469">
        <v>31029686</v>
      </c>
      <c r="D469">
        <v>29084573</v>
      </c>
      <c r="E469">
        <v>1</v>
      </c>
      <c r="F469">
        <v>1</v>
      </c>
      <c r="G469">
        <v>1</v>
      </c>
      <c r="H469">
        <v>1</v>
      </c>
      <c r="I469" t="s">
        <v>774</v>
      </c>
      <c r="J469" t="s">
        <v>6</v>
      </c>
      <c r="K469" t="s">
        <v>775</v>
      </c>
      <c r="L469">
        <v>608254</v>
      </c>
      <c r="N469">
        <v>1013</v>
      </c>
      <c r="O469" t="s">
        <v>776</v>
      </c>
      <c r="P469" t="s">
        <v>776</v>
      </c>
      <c r="Q469">
        <v>1</v>
      </c>
      <c r="X469">
        <v>1.1499999999999999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1</v>
      </c>
      <c r="AE469">
        <v>2</v>
      </c>
      <c r="AF469" t="s">
        <v>36</v>
      </c>
      <c r="AG469">
        <v>1.3224999999999998</v>
      </c>
      <c r="AH469">
        <v>2</v>
      </c>
      <c r="AI469">
        <v>31029688</v>
      </c>
      <c r="AJ469">
        <v>444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</row>
    <row r="470" spans="1:44">
      <c r="A470">
        <f>ROW(Source!A231)</f>
        <v>231</v>
      </c>
      <c r="B470">
        <v>31029693</v>
      </c>
      <c r="C470">
        <v>31029686</v>
      </c>
      <c r="D470">
        <v>29147843</v>
      </c>
      <c r="E470">
        <v>1</v>
      </c>
      <c r="F470">
        <v>1</v>
      </c>
      <c r="G470">
        <v>1</v>
      </c>
      <c r="H470">
        <v>2</v>
      </c>
      <c r="I470" t="s">
        <v>874</v>
      </c>
      <c r="J470" t="s">
        <v>875</v>
      </c>
      <c r="K470" t="s">
        <v>876</v>
      </c>
      <c r="L470">
        <v>1368</v>
      </c>
      <c r="N470">
        <v>1011</v>
      </c>
      <c r="O470" t="s">
        <v>780</v>
      </c>
      <c r="P470" t="s">
        <v>780</v>
      </c>
      <c r="Q470">
        <v>1</v>
      </c>
      <c r="X470">
        <v>1.1499999999999999</v>
      </c>
      <c r="Y470">
        <v>0</v>
      </c>
      <c r="Z470">
        <v>87.11</v>
      </c>
      <c r="AA470">
        <v>9.7100000000000009</v>
      </c>
      <c r="AB470">
        <v>0</v>
      </c>
      <c r="AC470">
        <v>0</v>
      </c>
      <c r="AD470">
        <v>1</v>
      </c>
      <c r="AE470">
        <v>0</v>
      </c>
      <c r="AF470" t="s">
        <v>36</v>
      </c>
      <c r="AG470">
        <v>1.3224999999999998</v>
      </c>
      <c r="AH470">
        <v>2</v>
      </c>
      <c r="AI470">
        <v>31029689</v>
      </c>
      <c r="AJ470">
        <v>445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</row>
    <row r="471" spans="1:44">
      <c r="A471">
        <f>ROW(Source!A231)</f>
        <v>231</v>
      </c>
      <c r="B471">
        <v>31029694</v>
      </c>
      <c r="C471">
        <v>31029686</v>
      </c>
      <c r="D471">
        <v>29149208</v>
      </c>
      <c r="E471">
        <v>1</v>
      </c>
      <c r="F471">
        <v>1</v>
      </c>
      <c r="G471">
        <v>1</v>
      </c>
      <c r="H471">
        <v>2</v>
      </c>
      <c r="I471" t="s">
        <v>877</v>
      </c>
      <c r="J471" t="s">
        <v>878</v>
      </c>
      <c r="K471" t="s">
        <v>879</v>
      </c>
      <c r="L471">
        <v>1368</v>
      </c>
      <c r="N471">
        <v>1011</v>
      </c>
      <c r="O471" t="s">
        <v>780</v>
      </c>
      <c r="P471" t="s">
        <v>780</v>
      </c>
      <c r="Q471">
        <v>1</v>
      </c>
      <c r="X471">
        <v>2.2999999999999998</v>
      </c>
      <c r="Y471">
        <v>0</v>
      </c>
      <c r="Z471">
        <v>1.53</v>
      </c>
      <c r="AA471">
        <v>0</v>
      </c>
      <c r="AB471">
        <v>0</v>
      </c>
      <c r="AC471">
        <v>0</v>
      </c>
      <c r="AD471">
        <v>1</v>
      </c>
      <c r="AE471">
        <v>0</v>
      </c>
      <c r="AF471" t="s">
        <v>36</v>
      </c>
      <c r="AG471">
        <v>2.6449999999999996</v>
      </c>
      <c r="AH471">
        <v>2</v>
      </c>
      <c r="AI471">
        <v>31029690</v>
      </c>
      <c r="AJ471">
        <v>446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</row>
    <row r="472" spans="1:44">
      <c r="A472">
        <f>ROW(Source!A232)</f>
        <v>232</v>
      </c>
      <c r="B472">
        <v>31029718</v>
      </c>
      <c r="C472">
        <v>31029695</v>
      </c>
      <c r="D472">
        <v>29084586</v>
      </c>
      <c r="E472">
        <v>1</v>
      </c>
      <c r="F472">
        <v>1</v>
      </c>
      <c r="G472">
        <v>1</v>
      </c>
      <c r="H472">
        <v>1</v>
      </c>
      <c r="I472" t="s">
        <v>828</v>
      </c>
      <c r="J472" t="s">
        <v>6</v>
      </c>
      <c r="K472" t="s">
        <v>829</v>
      </c>
      <c r="L472">
        <v>1369</v>
      </c>
      <c r="N472">
        <v>1013</v>
      </c>
      <c r="O472" t="s">
        <v>773</v>
      </c>
      <c r="P472" t="s">
        <v>773</v>
      </c>
      <c r="Q472">
        <v>1</v>
      </c>
      <c r="X472">
        <v>69.22</v>
      </c>
      <c r="Y472">
        <v>0</v>
      </c>
      <c r="Z472">
        <v>0</v>
      </c>
      <c r="AA472">
        <v>0</v>
      </c>
      <c r="AB472">
        <v>8.44</v>
      </c>
      <c r="AC472">
        <v>0</v>
      </c>
      <c r="AD472">
        <v>1</v>
      </c>
      <c r="AE472">
        <v>1</v>
      </c>
      <c r="AF472" t="s">
        <v>477</v>
      </c>
      <c r="AG472">
        <v>55.72209999999999</v>
      </c>
      <c r="AH472">
        <v>2</v>
      </c>
      <c r="AI472">
        <v>31029696</v>
      </c>
      <c r="AJ472">
        <v>447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</row>
    <row r="473" spans="1:44">
      <c r="A473">
        <f>ROW(Source!A232)</f>
        <v>232</v>
      </c>
      <c r="B473">
        <v>31029719</v>
      </c>
      <c r="C473">
        <v>31029695</v>
      </c>
      <c r="D473">
        <v>29084573</v>
      </c>
      <c r="E473">
        <v>1</v>
      </c>
      <c r="F473">
        <v>1</v>
      </c>
      <c r="G473">
        <v>1</v>
      </c>
      <c r="H473">
        <v>1</v>
      </c>
      <c r="I473" t="s">
        <v>774</v>
      </c>
      <c r="J473" t="s">
        <v>6</v>
      </c>
      <c r="K473" t="s">
        <v>775</v>
      </c>
      <c r="L473">
        <v>608254</v>
      </c>
      <c r="N473">
        <v>1013</v>
      </c>
      <c r="O473" t="s">
        <v>776</v>
      </c>
      <c r="P473" t="s">
        <v>776</v>
      </c>
      <c r="Q473">
        <v>1</v>
      </c>
      <c r="X473">
        <v>4.13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1</v>
      </c>
      <c r="AE473">
        <v>2</v>
      </c>
      <c r="AF473" t="s">
        <v>477</v>
      </c>
      <c r="AG473">
        <v>3.3246499999999992</v>
      </c>
      <c r="AH473">
        <v>2</v>
      </c>
      <c r="AI473">
        <v>31029697</v>
      </c>
      <c r="AJ473">
        <v>448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</row>
    <row r="474" spans="1:44">
      <c r="A474">
        <f>ROW(Source!A232)</f>
        <v>232</v>
      </c>
      <c r="B474">
        <v>31029720</v>
      </c>
      <c r="C474">
        <v>31029695</v>
      </c>
      <c r="D474">
        <v>29147533</v>
      </c>
      <c r="E474">
        <v>1</v>
      </c>
      <c r="F474">
        <v>1</v>
      </c>
      <c r="G474">
        <v>1</v>
      </c>
      <c r="H474">
        <v>2</v>
      </c>
      <c r="I474" t="s">
        <v>1044</v>
      </c>
      <c r="J474" t="s">
        <v>1045</v>
      </c>
      <c r="K474" t="s">
        <v>1046</v>
      </c>
      <c r="L474">
        <v>1368</v>
      </c>
      <c r="N474">
        <v>1011</v>
      </c>
      <c r="O474" t="s">
        <v>780</v>
      </c>
      <c r="P474" t="s">
        <v>780</v>
      </c>
      <c r="Q474">
        <v>1</v>
      </c>
      <c r="X474">
        <v>0.1</v>
      </c>
      <c r="Y474">
        <v>0</v>
      </c>
      <c r="Z474">
        <v>119.98</v>
      </c>
      <c r="AA474">
        <v>14.89</v>
      </c>
      <c r="AB474">
        <v>0</v>
      </c>
      <c r="AC474">
        <v>0</v>
      </c>
      <c r="AD474">
        <v>1</v>
      </c>
      <c r="AE474">
        <v>0</v>
      </c>
      <c r="AF474" t="s">
        <v>477</v>
      </c>
      <c r="AG474">
        <v>8.0499999999999988E-2</v>
      </c>
      <c r="AH474">
        <v>2</v>
      </c>
      <c r="AI474">
        <v>31029698</v>
      </c>
      <c r="AJ474">
        <v>449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</row>
    <row r="475" spans="1:44">
      <c r="A475">
        <f>ROW(Source!A232)</f>
        <v>232</v>
      </c>
      <c r="B475">
        <v>31029721</v>
      </c>
      <c r="C475">
        <v>31029695</v>
      </c>
      <c r="D475">
        <v>29147601</v>
      </c>
      <c r="E475">
        <v>1</v>
      </c>
      <c r="F475">
        <v>1</v>
      </c>
      <c r="G475">
        <v>1</v>
      </c>
      <c r="H475">
        <v>2</v>
      </c>
      <c r="I475" t="s">
        <v>781</v>
      </c>
      <c r="J475" t="s">
        <v>782</v>
      </c>
      <c r="K475" t="s">
        <v>783</v>
      </c>
      <c r="L475">
        <v>1368</v>
      </c>
      <c r="N475">
        <v>1011</v>
      </c>
      <c r="O475" t="s">
        <v>780</v>
      </c>
      <c r="P475" t="s">
        <v>780</v>
      </c>
      <c r="Q475">
        <v>1</v>
      </c>
      <c r="X475">
        <v>0.12</v>
      </c>
      <c r="Y475">
        <v>0</v>
      </c>
      <c r="Z475">
        <v>108.45</v>
      </c>
      <c r="AA475">
        <v>13.03</v>
      </c>
      <c r="AB475">
        <v>0</v>
      </c>
      <c r="AC475">
        <v>0</v>
      </c>
      <c r="AD475">
        <v>1</v>
      </c>
      <c r="AE475">
        <v>0</v>
      </c>
      <c r="AF475" t="s">
        <v>477</v>
      </c>
      <c r="AG475">
        <v>9.6599999999999978E-2</v>
      </c>
      <c r="AH475">
        <v>2</v>
      </c>
      <c r="AI475">
        <v>31029699</v>
      </c>
      <c r="AJ475">
        <v>450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</row>
    <row r="476" spans="1:44">
      <c r="A476">
        <f>ROW(Source!A232)</f>
        <v>232</v>
      </c>
      <c r="B476">
        <v>31029722</v>
      </c>
      <c r="C476">
        <v>31029695</v>
      </c>
      <c r="D476">
        <v>29147623</v>
      </c>
      <c r="E476">
        <v>1</v>
      </c>
      <c r="F476">
        <v>1</v>
      </c>
      <c r="G476">
        <v>1</v>
      </c>
      <c r="H476">
        <v>2</v>
      </c>
      <c r="I476" t="s">
        <v>1047</v>
      </c>
      <c r="J476" t="s">
        <v>1048</v>
      </c>
      <c r="K476" t="s">
        <v>1049</v>
      </c>
      <c r="L476">
        <v>1368</v>
      </c>
      <c r="N476">
        <v>1011</v>
      </c>
      <c r="O476" t="s">
        <v>780</v>
      </c>
      <c r="P476" t="s">
        <v>780</v>
      </c>
      <c r="Q476">
        <v>1</v>
      </c>
      <c r="X476">
        <v>3.91</v>
      </c>
      <c r="Y476">
        <v>0</v>
      </c>
      <c r="Z476">
        <v>171.91</v>
      </c>
      <c r="AA476">
        <v>13.9</v>
      </c>
      <c r="AB476">
        <v>0</v>
      </c>
      <c r="AC476">
        <v>0</v>
      </c>
      <c r="AD476">
        <v>1</v>
      </c>
      <c r="AE476">
        <v>0</v>
      </c>
      <c r="AF476" t="s">
        <v>477</v>
      </c>
      <c r="AG476">
        <v>3.1475499999999998</v>
      </c>
      <c r="AH476">
        <v>2</v>
      </c>
      <c r="AI476">
        <v>31029700</v>
      </c>
      <c r="AJ476">
        <v>451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</row>
    <row r="477" spans="1:44">
      <c r="A477">
        <f>ROW(Source!A232)</f>
        <v>232</v>
      </c>
      <c r="B477">
        <v>31029723</v>
      </c>
      <c r="C477">
        <v>31029695</v>
      </c>
      <c r="D477">
        <v>29147807</v>
      </c>
      <c r="E477">
        <v>1</v>
      </c>
      <c r="F477">
        <v>1</v>
      </c>
      <c r="G477">
        <v>1</v>
      </c>
      <c r="H477">
        <v>2</v>
      </c>
      <c r="I477" t="s">
        <v>1050</v>
      </c>
      <c r="J477" t="s">
        <v>1051</v>
      </c>
      <c r="K477" t="s">
        <v>1052</v>
      </c>
      <c r="L477">
        <v>1368</v>
      </c>
      <c r="N477">
        <v>1011</v>
      </c>
      <c r="O477" t="s">
        <v>780</v>
      </c>
      <c r="P477" t="s">
        <v>780</v>
      </c>
      <c r="Q477">
        <v>1</v>
      </c>
      <c r="X477">
        <v>1.34</v>
      </c>
      <c r="Y477">
        <v>0</v>
      </c>
      <c r="Z477">
        <v>1.2</v>
      </c>
      <c r="AA477">
        <v>0</v>
      </c>
      <c r="AB477">
        <v>0</v>
      </c>
      <c r="AC477">
        <v>0</v>
      </c>
      <c r="AD477">
        <v>1</v>
      </c>
      <c r="AE477">
        <v>0</v>
      </c>
      <c r="AF477" t="s">
        <v>477</v>
      </c>
      <c r="AG477">
        <v>1.0786999999999998</v>
      </c>
      <c r="AH477">
        <v>2</v>
      </c>
      <c r="AI477">
        <v>31029701</v>
      </c>
      <c r="AJ477">
        <v>452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</row>
    <row r="478" spans="1:44">
      <c r="A478">
        <f>ROW(Source!A232)</f>
        <v>232</v>
      </c>
      <c r="B478">
        <v>31029724</v>
      </c>
      <c r="C478">
        <v>31029695</v>
      </c>
      <c r="D478">
        <v>29147815</v>
      </c>
      <c r="E478">
        <v>1</v>
      </c>
      <c r="F478">
        <v>1</v>
      </c>
      <c r="G478">
        <v>1</v>
      </c>
      <c r="H478">
        <v>2</v>
      </c>
      <c r="I478" t="s">
        <v>1053</v>
      </c>
      <c r="J478" t="s">
        <v>1054</v>
      </c>
      <c r="K478" t="s">
        <v>1055</v>
      </c>
      <c r="L478">
        <v>1368</v>
      </c>
      <c r="N478">
        <v>1011</v>
      </c>
      <c r="O478" t="s">
        <v>780</v>
      </c>
      <c r="P478" t="s">
        <v>780</v>
      </c>
      <c r="Q478">
        <v>1</v>
      </c>
      <c r="X478">
        <v>0.09</v>
      </c>
      <c r="Y478">
        <v>0</v>
      </c>
      <c r="Z478">
        <v>12.31</v>
      </c>
      <c r="AA478">
        <v>0</v>
      </c>
      <c r="AB478">
        <v>0</v>
      </c>
      <c r="AC478">
        <v>0</v>
      </c>
      <c r="AD478">
        <v>1</v>
      </c>
      <c r="AE478">
        <v>0</v>
      </c>
      <c r="AF478" t="s">
        <v>477</v>
      </c>
      <c r="AG478">
        <v>7.2450000000000001E-2</v>
      </c>
      <c r="AH478">
        <v>2</v>
      </c>
      <c r="AI478">
        <v>31029702</v>
      </c>
      <c r="AJ478">
        <v>453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</row>
    <row r="479" spans="1:44">
      <c r="A479">
        <f>ROW(Source!A232)</f>
        <v>232</v>
      </c>
      <c r="B479">
        <v>31029725</v>
      </c>
      <c r="C479">
        <v>31029695</v>
      </c>
      <c r="D479">
        <v>29149520</v>
      </c>
      <c r="E479">
        <v>1</v>
      </c>
      <c r="F479">
        <v>1</v>
      </c>
      <c r="G479">
        <v>1</v>
      </c>
      <c r="H479">
        <v>2</v>
      </c>
      <c r="I479" t="s">
        <v>790</v>
      </c>
      <c r="J479" t="s">
        <v>791</v>
      </c>
      <c r="K479" t="s">
        <v>792</v>
      </c>
      <c r="L479">
        <v>1368</v>
      </c>
      <c r="N479">
        <v>1011</v>
      </c>
      <c r="O479" t="s">
        <v>780</v>
      </c>
      <c r="P479" t="s">
        <v>780</v>
      </c>
      <c r="Q479">
        <v>1</v>
      </c>
      <c r="X479">
        <v>0.19</v>
      </c>
      <c r="Y479">
        <v>0</v>
      </c>
      <c r="Z479">
        <v>91.62</v>
      </c>
      <c r="AA479">
        <v>0</v>
      </c>
      <c r="AB479">
        <v>0</v>
      </c>
      <c r="AC479">
        <v>0</v>
      </c>
      <c r="AD479">
        <v>1</v>
      </c>
      <c r="AE479">
        <v>0</v>
      </c>
      <c r="AF479" t="s">
        <v>477</v>
      </c>
      <c r="AG479">
        <v>0.15294999999999997</v>
      </c>
      <c r="AH479">
        <v>2</v>
      </c>
      <c r="AI479">
        <v>31029703</v>
      </c>
      <c r="AJ479">
        <v>454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</row>
    <row r="480" spans="1:44">
      <c r="A480">
        <f>ROW(Source!A232)</f>
        <v>232</v>
      </c>
      <c r="B480">
        <v>31029726</v>
      </c>
      <c r="C480">
        <v>31029695</v>
      </c>
      <c r="D480">
        <v>29150667</v>
      </c>
      <c r="E480">
        <v>1</v>
      </c>
      <c r="F480">
        <v>1</v>
      </c>
      <c r="G480">
        <v>1</v>
      </c>
      <c r="H480">
        <v>3</v>
      </c>
      <c r="I480" t="s">
        <v>1056</v>
      </c>
      <c r="J480" t="s">
        <v>1057</v>
      </c>
      <c r="K480" t="s">
        <v>1058</v>
      </c>
      <c r="L480">
        <v>1348</v>
      </c>
      <c r="N480">
        <v>1009</v>
      </c>
      <c r="O480" t="s">
        <v>137</v>
      </c>
      <c r="P480" t="s">
        <v>137</v>
      </c>
      <c r="Q480">
        <v>1000</v>
      </c>
      <c r="X480">
        <v>1E-4</v>
      </c>
      <c r="Y480">
        <v>17772</v>
      </c>
      <c r="Z480">
        <v>0</v>
      </c>
      <c r="AA480">
        <v>0</v>
      </c>
      <c r="AB480">
        <v>0</v>
      </c>
      <c r="AC480">
        <v>0</v>
      </c>
      <c r="AD480">
        <v>1</v>
      </c>
      <c r="AE480">
        <v>0</v>
      </c>
      <c r="AF480" t="s">
        <v>24</v>
      </c>
      <c r="AG480">
        <v>0</v>
      </c>
      <c r="AH480">
        <v>2</v>
      </c>
      <c r="AI480">
        <v>31029704</v>
      </c>
      <c r="AJ480">
        <v>455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</row>
    <row r="481" spans="1:44">
      <c r="A481">
        <f>ROW(Source!A232)</f>
        <v>232</v>
      </c>
      <c r="B481">
        <v>31029727</v>
      </c>
      <c r="C481">
        <v>31029695</v>
      </c>
      <c r="D481">
        <v>29150682</v>
      </c>
      <c r="E481">
        <v>1</v>
      </c>
      <c r="F481">
        <v>1</v>
      </c>
      <c r="G481">
        <v>1</v>
      </c>
      <c r="H481">
        <v>3</v>
      </c>
      <c r="I481" t="s">
        <v>1059</v>
      </c>
      <c r="J481" t="s">
        <v>1060</v>
      </c>
      <c r="K481" t="s">
        <v>1061</v>
      </c>
      <c r="L481">
        <v>1339</v>
      </c>
      <c r="N481">
        <v>1007</v>
      </c>
      <c r="O481" t="s">
        <v>109</v>
      </c>
      <c r="P481" t="s">
        <v>109</v>
      </c>
      <c r="Q481">
        <v>1</v>
      </c>
      <c r="X481">
        <v>1.1000000000000001</v>
      </c>
      <c r="Y481">
        <v>6.22</v>
      </c>
      <c r="Z481">
        <v>0</v>
      </c>
      <c r="AA481">
        <v>0</v>
      </c>
      <c r="AB481">
        <v>0</v>
      </c>
      <c r="AC481">
        <v>0</v>
      </c>
      <c r="AD481">
        <v>1</v>
      </c>
      <c r="AE481">
        <v>0</v>
      </c>
      <c r="AF481" t="s">
        <v>24</v>
      </c>
      <c r="AG481">
        <v>0</v>
      </c>
      <c r="AH481">
        <v>2</v>
      </c>
      <c r="AI481">
        <v>31029705</v>
      </c>
      <c r="AJ481">
        <v>456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</row>
    <row r="482" spans="1:44">
      <c r="A482">
        <f>ROW(Source!A232)</f>
        <v>232</v>
      </c>
      <c r="B482">
        <v>31029728</v>
      </c>
      <c r="C482">
        <v>31029695</v>
      </c>
      <c r="D482">
        <v>29151143</v>
      </c>
      <c r="E482">
        <v>1</v>
      </c>
      <c r="F482">
        <v>1</v>
      </c>
      <c r="G482">
        <v>1</v>
      </c>
      <c r="H482">
        <v>3</v>
      </c>
      <c r="I482" t="s">
        <v>1062</v>
      </c>
      <c r="J482" t="s">
        <v>1063</v>
      </c>
      <c r="K482" t="s">
        <v>1064</v>
      </c>
      <c r="L482">
        <v>1348</v>
      </c>
      <c r="N482">
        <v>1009</v>
      </c>
      <c r="O482" t="s">
        <v>137</v>
      </c>
      <c r="P482" t="s">
        <v>137</v>
      </c>
      <c r="Q482">
        <v>1000</v>
      </c>
      <c r="X482">
        <v>3.0000000000000001E-5</v>
      </c>
      <c r="Y482">
        <v>4845.71</v>
      </c>
      <c r="Z482">
        <v>0</v>
      </c>
      <c r="AA482">
        <v>0</v>
      </c>
      <c r="AB482">
        <v>0</v>
      </c>
      <c r="AC482">
        <v>0</v>
      </c>
      <c r="AD482">
        <v>1</v>
      </c>
      <c r="AE482">
        <v>0</v>
      </c>
      <c r="AF482" t="s">
        <v>24</v>
      </c>
      <c r="AG482">
        <v>0</v>
      </c>
      <c r="AH482">
        <v>2</v>
      </c>
      <c r="AI482">
        <v>31029706</v>
      </c>
      <c r="AJ482">
        <v>457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</row>
    <row r="483" spans="1:44">
      <c r="A483">
        <f>ROW(Source!A232)</f>
        <v>232</v>
      </c>
      <c r="B483">
        <v>31029729</v>
      </c>
      <c r="C483">
        <v>31029695</v>
      </c>
      <c r="D483">
        <v>29151356</v>
      </c>
      <c r="E483">
        <v>1</v>
      </c>
      <c r="F483">
        <v>1</v>
      </c>
      <c r="G483">
        <v>1</v>
      </c>
      <c r="H483">
        <v>3</v>
      </c>
      <c r="I483" t="s">
        <v>1065</v>
      </c>
      <c r="J483" t="s">
        <v>1066</v>
      </c>
      <c r="K483" t="s">
        <v>1067</v>
      </c>
      <c r="L483">
        <v>1348</v>
      </c>
      <c r="N483">
        <v>1009</v>
      </c>
      <c r="O483" t="s">
        <v>137</v>
      </c>
      <c r="P483" t="s">
        <v>137</v>
      </c>
      <c r="Q483">
        <v>1000</v>
      </c>
      <c r="X483">
        <v>1.9400000000000001E-3</v>
      </c>
      <c r="Y483">
        <v>4395.8</v>
      </c>
      <c r="Z483">
        <v>0</v>
      </c>
      <c r="AA483">
        <v>0</v>
      </c>
      <c r="AB483">
        <v>0</v>
      </c>
      <c r="AC483">
        <v>0</v>
      </c>
      <c r="AD483">
        <v>1</v>
      </c>
      <c r="AE483">
        <v>0</v>
      </c>
      <c r="AF483" t="s">
        <v>24</v>
      </c>
      <c r="AG483">
        <v>0</v>
      </c>
      <c r="AH483">
        <v>2</v>
      </c>
      <c r="AI483">
        <v>31029707</v>
      </c>
      <c r="AJ483">
        <v>458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</row>
    <row r="484" spans="1:44">
      <c r="A484">
        <f>ROW(Source!A232)</f>
        <v>232</v>
      </c>
      <c r="B484">
        <v>31029730</v>
      </c>
      <c r="C484">
        <v>31029695</v>
      </c>
      <c r="D484">
        <v>29151790</v>
      </c>
      <c r="E484">
        <v>1</v>
      </c>
      <c r="F484">
        <v>1</v>
      </c>
      <c r="G484">
        <v>1</v>
      </c>
      <c r="H484">
        <v>3</v>
      </c>
      <c r="I484" t="s">
        <v>1068</v>
      </c>
      <c r="J484" t="s">
        <v>1069</v>
      </c>
      <c r="K484" t="s">
        <v>1070</v>
      </c>
      <c r="L484">
        <v>1348</v>
      </c>
      <c r="N484">
        <v>1009</v>
      </c>
      <c r="O484" t="s">
        <v>137</v>
      </c>
      <c r="P484" t="s">
        <v>137</v>
      </c>
      <c r="Q484">
        <v>1000</v>
      </c>
      <c r="X484">
        <v>4.0999999999999999E-4</v>
      </c>
      <c r="Y484">
        <v>11191.78</v>
      </c>
      <c r="Z484">
        <v>0</v>
      </c>
      <c r="AA484">
        <v>0</v>
      </c>
      <c r="AB484">
        <v>0</v>
      </c>
      <c r="AC484">
        <v>0</v>
      </c>
      <c r="AD484">
        <v>1</v>
      </c>
      <c r="AE484">
        <v>0</v>
      </c>
      <c r="AF484" t="s">
        <v>24</v>
      </c>
      <c r="AG484">
        <v>0</v>
      </c>
      <c r="AH484">
        <v>2</v>
      </c>
      <c r="AI484">
        <v>31029708</v>
      </c>
      <c r="AJ484">
        <v>459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</row>
    <row r="485" spans="1:44">
      <c r="A485">
        <f>ROW(Source!A232)</f>
        <v>232</v>
      </c>
      <c r="B485">
        <v>31029731</v>
      </c>
      <c r="C485">
        <v>31029695</v>
      </c>
      <c r="D485">
        <v>29151973</v>
      </c>
      <c r="E485">
        <v>1</v>
      </c>
      <c r="F485">
        <v>1</v>
      </c>
      <c r="G485">
        <v>1</v>
      </c>
      <c r="H485">
        <v>3</v>
      </c>
      <c r="I485" t="s">
        <v>992</v>
      </c>
      <c r="J485" t="s">
        <v>993</v>
      </c>
      <c r="K485" t="s">
        <v>994</v>
      </c>
      <c r="L485">
        <v>1348</v>
      </c>
      <c r="N485">
        <v>1009</v>
      </c>
      <c r="O485" t="s">
        <v>137</v>
      </c>
      <c r="P485" t="s">
        <v>137</v>
      </c>
      <c r="Q485">
        <v>1000</v>
      </c>
      <c r="X485">
        <v>0.02</v>
      </c>
      <c r="Y485">
        <v>9824.7000000000007</v>
      </c>
      <c r="Z485">
        <v>0</v>
      </c>
      <c r="AA485">
        <v>0</v>
      </c>
      <c r="AB485">
        <v>0</v>
      </c>
      <c r="AC485">
        <v>0</v>
      </c>
      <c r="AD485">
        <v>1</v>
      </c>
      <c r="AE485">
        <v>0</v>
      </c>
      <c r="AF485" t="s">
        <v>24</v>
      </c>
      <c r="AG485">
        <v>0</v>
      </c>
      <c r="AH485">
        <v>2</v>
      </c>
      <c r="AI485">
        <v>31029709</v>
      </c>
      <c r="AJ485">
        <v>460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</row>
    <row r="486" spans="1:44">
      <c r="A486">
        <f>ROW(Source!A232)</f>
        <v>232</v>
      </c>
      <c r="B486">
        <v>31029732</v>
      </c>
      <c r="C486">
        <v>31029695</v>
      </c>
      <c r="D486">
        <v>29152054</v>
      </c>
      <c r="E486">
        <v>1</v>
      </c>
      <c r="F486">
        <v>1</v>
      </c>
      <c r="G486">
        <v>1</v>
      </c>
      <c r="H486">
        <v>3</v>
      </c>
      <c r="I486" t="s">
        <v>805</v>
      </c>
      <c r="J486" t="s">
        <v>806</v>
      </c>
      <c r="K486" t="s">
        <v>807</v>
      </c>
      <c r="L486">
        <v>1348</v>
      </c>
      <c r="N486">
        <v>1009</v>
      </c>
      <c r="O486" t="s">
        <v>137</v>
      </c>
      <c r="P486" t="s">
        <v>137</v>
      </c>
      <c r="Q486">
        <v>1000</v>
      </c>
      <c r="X486">
        <v>1.0000000000000001E-5</v>
      </c>
      <c r="Y486">
        <v>10183</v>
      </c>
      <c r="Z486">
        <v>0</v>
      </c>
      <c r="AA486">
        <v>0</v>
      </c>
      <c r="AB486">
        <v>0</v>
      </c>
      <c r="AC486">
        <v>0</v>
      </c>
      <c r="AD486">
        <v>1</v>
      </c>
      <c r="AE486">
        <v>0</v>
      </c>
      <c r="AF486" t="s">
        <v>24</v>
      </c>
      <c r="AG486">
        <v>0</v>
      </c>
      <c r="AH486">
        <v>2</v>
      </c>
      <c r="AI486">
        <v>31029710</v>
      </c>
      <c r="AJ486">
        <v>461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</row>
    <row r="487" spans="1:44">
      <c r="A487">
        <f>ROW(Source!A232)</f>
        <v>232</v>
      </c>
      <c r="B487">
        <v>31029733</v>
      </c>
      <c r="C487">
        <v>31029695</v>
      </c>
      <c r="D487">
        <v>29152475</v>
      </c>
      <c r="E487">
        <v>1</v>
      </c>
      <c r="F487">
        <v>1</v>
      </c>
      <c r="G487">
        <v>1</v>
      </c>
      <c r="H487">
        <v>3</v>
      </c>
      <c r="I487" t="s">
        <v>1071</v>
      </c>
      <c r="J487" t="s">
        <v>1072</v>
      </c>
      <c r="K487" t="s">
        <v>1073</v>
      </c>
      <c r="L487">
        <v>1346</v>
      </c>
      <c r="N487">
        <v>1009</v>
      </c>
      <c r="O487" t="s">
        <v>118</v>
      </c>
      <c r="P487" t="s">
        <v>118</v>
      </c>
      <c r="Q487">
        <v>1</v>
      </c>
      <c r="X487">
        <v>0.33</v>
      </c>
      <c r="Y487">
        <v>6.09</v>
      </c>
      <c r="Z487">
        <v>0</v>
      </c>
      <c r="AA487">
        <v>0</v>
      </c>
      <c r="AB487">
        <v>0</v>
      </c>
      <c r="AC487">
        <v>0</v>
      </c>
      <c r="AD487">
        <v>1</v>
      </c>
      <c r="AE487">
        <v>0</v>
      </c>
      <c r="AF487" t="s">
        <v>24</v>
      </c>
      <c r="AG487">
        <v>0</v>
      </c>
      <c r="AH487">
        <v>2</v>
      </c>
      <c r="AI487">
        <v>31029711</v>
      </c>
      <c r="AJ487">
        <v>462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</row>
    <row r="488" spans="1:44">
      <c r="A488">
        <f>ROW(Source!A232)</f>
        <v>232</v>
      </c>
      <c r="B488">
        <v>31029734</v>
      </c>
      <c r="C488">
        <v>31029695</v>
      </c>
      <c r="D488">
        <v>29152686</v>
      </c>
      <c r="E488">
        <v>1</v>
      </c>
      <c r="F488">
        <v>1</v>
      </c>
      <c r="G488">
        <v>1</v>
      </c>
      <c r="H488">
        <v>3</v>
      </c>
      <c r="I488" t="s">
        <v>1074</v>
      </c>
      <c r="J488" t="s">
        <v>1075</v>
      </c>
      <c r="K488" t="s">
        <v>1076</v>
      </c>
      <c r="L488">
        <v>1348</v>
      </c>
      <c r="N488">
        <v>1009</v>
      </c>
      <c r="O488" t="s">
        <v>137</v>
      </c>
      <c r="P488" t="s">
        <v>137</v>
      </c>
      <c r="Q488">
        <v>1000</v>
      </c>
      <c r="X488">
        <v>5.9999999999999995E-4</v>
      </c>
      <c r="Y488">
        <v>5216.7</v>
      </c>
      <c r="Z488">
        <v>0</v>
      </c>
      <c r="AA488">
        <v>0</v>
      </c>
      <c r="AB488">
        <v>0</v>
      </c>
      <c r="AC488">
        <v>0</v>
      </c>
      <c r="AD488">
        <v>1</v>
      </c>
      <c r="AE488">
        <v>0</v>
      </c>
      <c r="AF488" t="s">
        <v>24</v>
      </c>
      <c r="AG488">
        <v>0</v>
      </c>
      <c r="AH488">
        <v>2</v>
      </c>
      <c r="AI488">
        <v>31029712</v>
      </c>
      <c r="AJ488">
        <v>463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</row>
    <row r="489" spans="1:44">
      <c r="A489">
        <f>ROW(Source!A232)</f>
        <v>232</v>
      </c>
      <c r="B489">
        <v>31029735</v>
      </c>
      <c r="C489">
        <v>31029695</v>
      </c>
      <c r="D489">
        <v>29158135</v>
      </c>
      <c r="E489">
        <v>1</v>
      </c>
      <c r="F489">
        <v>1</v>
      </c>
      <c r="G489">
        <v>1</v>
      </c>
      <c r="H489">
        <v>3</v>
      </c>
      <c r="I489" t="s">
        <v>1077</v>
      </c>
      <c r="J489" t="s">
        <v>1078</v>
      </c>
      <c r="K489" t="s">
        <v>1079</v>
      </c>
      <c r="L489">
        <v>1339</v>
      </c>
      <c r="N489">
        <v>1007</v>
      </c>
      <c r="O489" t="s">
        <v>109</v>
      </c>
      <c r="P489" t="s">
        <v>109</v>
      </c>
      <c r="Q489">
        <v>1</v>
      </c>
      <c r="X489">
        <v>1.0300000000000001E-3</v>
      </c>
      <c r="Y489">
        <v>1698.5</v>
      </c>
      <c r="Z489">
        <v>0</v>
      </c>
      <c r="AA489">
        <v>0</v>
      </c>
      <c r="AB489">
        <v>0</v>
      </c>
      <c r="AC489">
        <v>0</v>
      </c>
      <c r="AD489">
        <v>1</v>
      </c>
      <c r="AE489">
        <v>0</v>
      </c>
      <c r="AF489" t="s">
        <v>24</v>
      </c>
      <c r="AG489">
        <v>0</v>
      </c>
      <c r="AH489">
        <v>2</v>
      </c>
      <c r="AI489">
        <v>31029713</v>
      </c>
      <c r="AJ489">
        <v>464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</row>
    <row r="490" spans="1:44">
      <c r="A490">
        <f>ROW(Source!A232)</f>
        <v>232</v>
      </c>
      <c r="B490">
        <v>31029736</v>
      </c>
      <c r="C490">
        <v>31029695</v>
      </c>
      <c r="D490">
        <v>29164616</v>
      </c>
      <c r="E490">
        <v>1</v>
      </c>
      <c r="F490">
        <v>1</v>
      </c>
      <c r="G490">
        <v>1</v>
      </c>
      <c r="H490">
        <v>3</v>
      </c>
      <c r="I490" t="s">
        <v>1080</v>
      </c>
      <c r="J490" t="s">
        <v>1081</v>
      </c>
      <c r="K490" t="s">
        <v>1082</v>
      </c>
      <c r="L490">
        <v>1348</v>
      </c>
      <c r="N490">
        <v>1009</v>
      </c>
      <c r="O490" t="s">
        <v>137</v>
      </c>
      <c r="P490" t="s">
        <v>137</v>
      </c>
      <c r="Q490">
        <v>1000</v>
      </c>
      <c r="X490">
        <v>3.1E-4</v>
      </c>
      <c r="Y490">
        <v>12074</v>
      </c>
      <c r="Z490">
        <v>0</v>
      </c>
      <c r="AA490">
        <v>0</v>
      </c>
      <c r="AB490">
        <v>0</v>
      </c>
      <c r="AC490">
        <v>0</v>
      </c>
      <c r="AD490">
        <v>1</v>
      </c>
      <c r="AE490">
        <v>0</v>
      </c>
      <c r="AF490" t="s">
        <v>24</v>
      </c>
      <c r="AG490">
        <v>0</v>
      </c>
      <c r="AH490">
        <v>2</v>
      </c>
      <c r="AI490">
        <v>31029714</v>
      </c>
      <c r="AJ490">
        <v>465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</row>
    <row r="491" spans="1:44">
      <c r="A491">
        <f>ROW(Source!A232)</f>
        <v>232</v>
      </c>
      <c r="B491">
        <v>31029737</v>
      </c>
      <c r="C491">
        <v>31029695</v>
      </c>
      <c r="D491">
        <v>29170363</v>
      </c>
      <c r="E491">
        <v>1</v>
      </c>
      <c r="F491">
        <v>1</v>
      </c>
      <c r="G491">
        <v>1</v>
      </c>
      <c r="H491">
        <v>3</v>
      </c>
      <c r="I491" t="s">
        <v>1083</v>
      </c>
      <c r="J491" t="s">
        <v>1084</v>
      </c>
      <c r="K491" t="s">
        <v>1085</v>
      </c>
      <c r="L491">
        <v>1348</v>
      </c>
      <c r="N491">
        <v>1009</v>
      </c>
      <c r="O491" t="s">
        <v>137</v>
      </c>
      <c r="P491" t="s">
        <v>137</v>
      </c>
      <c r="Q491">
        <v>1000</v>
      </c>
      <c r="X491">
        <v>2.0000000000000001E-4</v>
      </c>
      <c r="Y491">
        <v>8472.5400000000009</v>
      </c>
      <c r="Z491">
        <v>0</v>
      </c>
      <c r="AA491">
        <v>0</v>
      </c>
      <c r="AB491">
        <v>0</v>
      </c>
      <c r="AC491">
        <v>0</v>
      </c>
      <c r="AD491">
        <v>1</v>
      </c>
      <c r="AE491">
        <v>0</v>
      </c>
      <c r="AF491" t="s">
        <v>24</v>
      </c>
      <c r="AG491">
        <v>0</v>
      </c>
      <c r="AH491">
        <v>2</v>
      </c>
      <c r="AI491">
        <v>31029715</v>
      </c>
      <c r="AJ491">
        <v>466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</row>
    <row r="492" spans="1:44">
      <c r="A492">
        <f>ROW(Source!A232)</f>
        <v>232</v>
      </c>
      <c r="B492">
        <v>31029738</v>
      </c>
      <c r="C492">
        <v>31029695</v>
      </c>
      <c r="D492">
        <v>29171678</v>
      </c>
      <c r="E492">
        <v>1</v>
      </c>
      <c r="F492">
        <v>1</v>
      </c>
      <c r="G492">
        <v>1</v>
      </c>
      <c r="H492">
        <v>3</v>
      </c>
      <c r="I492" t="s">
        <v>1086</v>
      </c>
      <c r="J492" t="s">
        <v>1087</v>
      </c>
      <c r="K492" t="s">
        <v>1088</v>
      </c>
      <c r="L492">
        <v>1348</v>
      </c>
      <c r="N492">
        <v>1009</v>
      </c>
      <c r="O492" t="s">
        <v>137</v>
      </c>
      <c r="P492" t="s">
        <v>137</v>
      </c>
      <c r="Q492">
        <v>1000</v>
      </c>
      <c r="X492">
        <v>1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 t="s">
        <v>24</v>
      </c>
      <c r="AG492">
        <v>0</v>
      </c>
      <c r="AH492">
        <v>2</v>
      </c>
      <c r="AI492">
        <v>31029716</v>
      </c>
      <c r="AJ492">
        <v>467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</row>
    <row r="493" spans="1:44">
      <c r="A493">
        <f>ROW(Source!A232)</f>
        <v>232</v>
      </c>
      <c r="B493">
        <v>31029739</v>
      </c>
      <c r="C493">
        <v>31029695</v>
      </c>
      <c r="D493">
        <v>29207512</v>
      </c>
      <c r="E493">
        <v>1</v>
      </c>
      <c r="F493">
        <v>1</v>
      </c>
      <c r="G493">
        <v>1</v>
      </c>
      <c r="H493">
        <v>3</v>
      </c>
      <c r="I493" t="s">
        <v>1089</v>
      </c>
      <c r="J493" t="s">
        <v>1090</v>
      </c>
      <c r="K493" t="s">
        <v>1091</v>
      </c>
      <c r="L493">
        <v>1302</v>
      </c>
      <c r="N493">
        <v>1003</v>
      </c>
      <c r="O493" t="s">
        <v>629</v>
      </c>
      <c r="P493" t="s">
        <v>629</v>
      </c>
      <c r="Q493">
        <v>10</v>
      </c>
      <c r="X493">
        <v>1.8700000000000001E-2</v>
      </c>
      <c r="Y493">
        <v>50.24</v>
      </c>
      <c r="Z493">
        <v>0</v>
      </c>
      <c r="AA493">
        <v>0</v>
      </c>
      <c r="AB493">
        <v>0</v>
      </c>
      <c r="AC493">
        <v>0</v>
      </c>
      <c r="AD493">
        <v>1</v>
      </c>
      <c r="AE493">
        <v>0</v>
      </c>
      <c r="AF493" t="s">
        <v>24</v>
      </c>
      <c r="AG493">
        <v>0</v>
      </c>
      <c r="AH493">
        <v>2</v>
      </c>
      <c r="AI493">
        <v>31029717</v>
      </c>
      <c r="AJ493">
        <v>468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</row>
    <row r="494" spans="1:44">
      <c r="A494">
        <f>ROW(Source!A233)</f>
        <v>233</v>
      </c>
      <c r="B494">
        <v>31029744</v>
      </c>
      <c r="C494">
        <v>31029740</v>
      </c>
      <c r="D494">
        <v>29084574</v>
      </c>
      <c r="E494">
        <v>1</v>
      </c>
      <c r="F494">
        <v>1</v>
      </c>
      <c r="G494">
        <v>1</v>
      </c>
      <c r="H494">
        <v>1</v>
      </c>
      <c r="I494" t="s">
        <v>820</v>
      </c>
      <c r="J494" t="s">
        <v>6</v>
      </c>
      <c r="K494" t="s">
        <v>821</v>
      </c>
      <c r="L494">
        <v>1369</v>
      </c>
      <c r="N494">
        <v>1013</v>
      </c>
      <c r="O494" t="s">
        <v>773</v>
      </c>
      <c r="P494" t="s">
        <v>773</v>
      </c>
      <c r="Q494">
        <v>1</v>
      </c>
      <c r="X494">
        <v>9.64</v>
      </c>
      <c r="Y494">
        <v>0</v>
      </c>
      <c r="Z494">
        <v>0</v>
      </c>
      <c r="AA494">
        <v>0</v>
      </c>
      <c r="AB494">
        <v>7.53</v>
      </c>
      <c r="AC494">
        <v>0</v>
      </c>
      <c r="AD494">
        <v>1</v>
      </c>
      <c r="AE494">
        <v>1</v>
      </c>
      <c r="AF494" t="s">
        <v>36</v>
      </c>
      <c r="AG494">
        <v>11.086</v>
      </c>
      <c r="AH494">
        <v>2</v>
      </c>
      <c r="AI494">
        <v>31029741</v>
      </c>
      <c r="AJ494">
        <v>469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</row>
    <row r="495" spans="1:44">
      <c r="A495">
        <f>ROW(Source!A233)</f>
        <v>233</v>
      </c>
      <c r="B495">
        <v>31029745</v>
      </c>
      <c r="C495">
        <v>31029740</v>
      </c>
      <c r="D495">
        <v>29084573</v>
      </c>
      <c r="E495">
        <v>1</v>
      </c>
      <c r="F495">
        <v>1</v>
      </c>
      <c r="G495">
        <v>1</v>
      </c>
      <c r="H495">
        <v>1</v>
      </c>
      <c r="I495" t="s">
        <v>774</v>
      </c>
      <c r="J495" t="s">
        <v>6</v>
      </c>
      <c r="K495" t="s">
        <v>775</v>
      </c>
      <c r="L495">
        <v>608254</v>
      </c>
      <c r="N495">
        <v>1013</v>
      </c>
      <c r="O495" t="s">
        <v>776</v>
      </c>
      <c r="P495" t="s">
        <v>776</v>
      </c>
      <c r="Q495">
        <v>1</v>
      </c>
      <c r="X495">
        <v>0.01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1</v>
      </c>
      <c r="AE495">
        <v>2</v>
      </c>
      <c r="AF495" t="s">
        <v>36</v>
      </c>
      <c r="AG495">
        <v>1.15E-2</v>
      </c>
      <c r="AH495">
        <v>2</v>
      </c>
      <c r="AI495">
        <v>31029742</v>
      </c>
      <c r="AJ495">
        <v>470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</row>
    <row r="496" spans="1:44">
      <c r="A496">
        <f>ROW(Source!A233)</f>
        <v>233</v>
      </c>
      <c r="B496">
        <v>31029746</v>
      </c>
      <c r="C496">
        <v>31029740</v>
      </c>
      <c r="D496">
        <v>29147732</v>
      </c>
      <c r="E496">
        <v>1</v>
      </c>
      <c r="F496">
        <v>1</v>
      </c>
      <c r="G496">
        <v>1</v>
      </c>
      <c r="H496">
        <v>2</v>
      </c>
      <c r="I496" t="s">
        <v>846</v>
      </c>
      <c r="J496" t="s">
        <v>847</v>
      </c>
      <c r="K496" t="s">
        <v>848</v>
      </c>
      <c r="L496">
        <v>1368</v>
      </c>
      <c r="N496">
        <v>1011</v>
      </c>
      <c r="O496" t="s">
        <v>780</v>
      </c>
      <c r="P496" t="s">
        <v>780</v>
      </c>
      <c r="Q496">
        <v>1</v>
      </c>
      <c r="X496">
        <v>0.01</v>
      </c>
      <c r="Y496">
        <v>0</v>
      </c>
      <c r="Z496">
        <v>30.85</v>
      </c>
      <c r="AA496">
        <v>13.03</v>
      </c>
      <c r="AB496">
        <v>0</v>
      </c>
      <c r="AC496">
        <v>0</v>
      </c>
      <c r="AD496">
        <v>1</v>
      </c>
      <c r="AE496">
        <v>0</v>
      </c>
      <c r="AF496" t="s">
        <v>36</v>
      </c>
      <c r="AG496">
        <v>1.15E-2</v>
      </c>
      <c r="AH496">
        <v>2</v>
      </c>
      <c r="AI496">
        <v>31029743</v>
      </c>
      <c r="AJ496">
        <v>471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</row>
    <row r="497" spans="1:44">
      <c r="A497">
        <f>ROW(Source!A234)</f>
        <v>234</v>
      </c>
      <c r="B497">
        <v>31029765</v>
      </c>
      <c r="C497">
        <v>31029747</v>
      </c>
      <c r="D497">
        <v>29084597</v>
      </c>
      <c r="E497">
        <v>1</v>
      </c>
      <c r="F497">
        <v>1</v>
      </c>
      <c r="G497">
        <v>1</v>
      </c>
      <c r="H497">
        <v>1</v>
      </c>
      <c r="I497" t="s">
        <v>1092</v>
      </c>
      <c r="J497" t="s">
        <v>6</v>
      </c>
      <c r="K497" t="s">
        <v>1093</v>
      </c>
      <c r="L497">
        <v>1369</v>
      </c>
      <c r="N497">
        <v>1013</v>
      </c>
      <c r="O497" t="s">
        <v>773</v>
      </c>
      <c r="P497" t="s">
        <v>773</v>
      </c>
      <c r="Q497">
        <v>1</v>
      </c>
      <c r="X497">
        <v>149.63999999999999</v>
      </c>
      <c r="Y497">
        <v>0</v>
      </c>
      <c r="Z497">
        <v>0</v>
      </c>
      <c r="AA497">
        <v>0</v>
      </c>
      <c r="AB497">
        <v>9.57</v>
      </c>
      <c r="AC497">
        <v>0</v>
      </c>
      <c r="AD497">
        <v>1</v>
      </c>
      <c r="AE497">
        <v>1</v>
      </c>
      <c r="AF497" t="s">
        <v>492</v>
      </c>
      <c r="AG497">
        <v>68.834399999999988</v>
      </c>
      <c r="AH497">
        <v>2</v>
      </c>
      <c r="AI497">
        <v>31029748</v>
      </c>
      <c r="AJ497">
        <v>472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</row>
    <row r="498" spans="1:44">
      <c r="A498">
        <f>ROW(Source!A234)</f>
        <v>234</v>
      </c>
      <c r="B498">
        <v>31029766</v>
      </c>
      <c r="C498">
        <v>31029747</v>
      </c>
      <c r="D498">
        <v>29084573</v>
      </c>
      <c r="E498">
        <v>1</v>
      </c>
      <c r="F498">
        <v>1</v>
      </c>
      <c r="G498">
        <v>1</v>
      </c>
      <c r="H498">
        <v>1</v>
      </c>
      <c r="I498" t="s">
        <v>774</v>
      </c>
      <c r="J498" t="s">
        <v>6</v>
      </c>
      <c r="K498" t="s">
        <v>775</v>
      </c>
      <c r="L498">
        <v>608254</v>
      </c>
      <c r="N498">
        <v>1013</v>
      </c>
      <c r="O498" t="s">
        <v>776</v>
      </c>
      <c r="P498" t="s">
        <v>776</v>
      </c>
      <c r="Q498">
        <v>1</v>
      </c>
      <c r="X498">
        <v>8.1999999999999993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1</v>
      </c>
      <c r="AE498">
        <v>2</v>
      </c>
      <c r="AF498" t="s">
        <v>492</v>
      </c>
      <c r="AG498">
        <v>3.7719999999999994</v>
      </c>
      <c r="AH498">
        <v>2</v>
      </c>
      <c r="AI498">
        <v>31029749</v>
      </c>
      <c r="AJ498">
        <v>473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</row>
    <row r="499" spans="1:44">
      <c r="A499">
        <f>ROW(Source!A234)</f>
        <v>234</v>
      </c>
      <c r="B499">
        <v>31029767</v>
      </c>
      <c r="C499">
        <v>31029747</v>
      </c>
      <c r="D499">
        <v>29147520</v>
      </c>
      <c r="E499">
        <v>1</v>
      </c>
      <c r="F499">
        <v>1</v>
      </c>
      <c r="G499">
        <v>1</v>
      </c>
      <c r="H499">
        <v>2</v>
      </c>
      <c r="I499" t="s">
        <v>777</v>
      </c>
      <c r="J499" t="s">
        <v>778</v>
      </c>
      <c r="K499" t="s">
        <v>779</v>
      </c>
      <c r="L499">
        <v>1368</v>
      </c>
      <c r="N499">
        <v>1011</v>
      </c>
      <c r="O499" t="s">
        <v>780</v>
      </c>
      <c r="P499" t="s">
        <v>780</v>
      </c>
      <c r="Q499">
        <v>1</v>
      </c>
      <c r="X499">
        <v>0.05</v>
      </c>
      <c r="Y499">
        <v>0</v>
      </c>
      <c r="Z499">
        <v>85.93</v>
      </c>
      <c r="AA499">
        <v>13.03</v>
      </c>
      <c r="AB499">
        <v>0</v>
      </c>
      <c r="AC499">
        <v>0</v>
      </c>
      <c r="AD499">
        <v>1</v>
      </c>
      <c r="AE499">
        <v>0</v>
      </c>
      <c r="AF499" t="s">
        <v>492</v>
      </c>
      <c r="AG499">
        <v>2.3000000000000003E-2</v>
      </c>
      <c r="AH499">
        <v>2</v>
      </c>
      <c r="AI499">
        <v>31029750</v>
      </c>
      <c r="AJ499">
        <v>474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</row>
    <row r="500" spans="1:44">
      <c r="A500">
        <f>ROW(Source!A234)</f>
        <v>234</v>
      </c>
      <c r="B500">
        <v>31029768</v>
      </c>
      <c r="C500">
        <v>31029747</v>
      </c>
      <c r="D500">
        <v>29147601</v>
      </c>
      <c r="E500">
        <v>1</v>
      </c>
      <c r="F500">
        <v>1</v>
      </c>
      <c r="G500">
        <v>1</v>
      </c>
      <c r="H500">
        <v>2</v>
      </c>
      <c r="I500" t="s">
        <v>781</v>
      </c>
      <c r="J500" t="s">
        <v>782</v>
      </c>
      <c r="K500" t="s">
        <v>783</v>
      </c>
      <c r="L500">
        <v>1368</v>
      </c>
      <c r="N500">
        <v>1011</v>
      </c>
      <c r="O500" t="s">
        <v>780</v>
      </c>
      <c r="P500" t="s">
        <v>780</v>
      </c>
      <c r="Q500">
        <v>1</v>
      </c>
      <c r="X500">
        <v>0.03</v>
      </c>
      <c r="Y500">
        <v>0</v>
      </c>
      <c r="Z500">
        <v>108.45</v>
      </c>
      <c r="AA500">
        <v>13.03</v>
      </c>
      <c r="AB500">
        <v>0</v>
      </c>
      <c r="AC500">
        <v>0</v>
      </c>
      <c r="AD500">
        <v>1</v>
      </c>
      <c r="AE500">
        <v>0</v>
      </c>
      <c r="AF500" t="s">
        <v>492</v>
      </c>
      <c r="AG500">
        <v>1.38E-2</v>
      </c>
      <c r="AH500">
        <v>2</v>
      </c>
      <c r="AI500">
        <v>31029751</v>
      </c>
      <c r="AJ500">
        <v>475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</row>
    <row r="501" spans="1:44">
      <c r="A501">
        <f>ROW(Source!A234)</f>
        <v>234</v>
      </c>
      <c r="B501">
        <v>31029769</v>
      </c>
      <c r="C501">
        <v>31029747</v>
      </c>
      <c r="D501">
        <v>29148008</v>
      </c>
      <c r="E501">
        <v>1</v>
      </c>
      <c r="F501">
        <v>1</v>
      </c>
      <c r="G501">
        <v>1</v>
      </c>
      <c r="H501">
        <v>2</v>
      </c>
      <c r="I501" t="s">
        <v>1094</v>
      </c>
      <c r="J501" t="s">
        <v>1095</v>
      </c>
      <c r="K501" t="s">
        <v>1096</v>
      </c>
      <c r="L501">
        <v>1368</v>
      </c>
      <c r="N501">
        <v>1011</v>
      </c>
      <c r="O501" t="s">
        <v>780</v>
      </c>
      <c r="P501" t="s">
        <v>780</v>
      </c>
      <c r="Q501">
        <v>1</v>
      </c>
      <c r="X501">
        <v>8.1199999999999992</v>
      </c>
      <c r="Y501">
        <v>0</v>
      </c>
      <c r="Z501">
        <v>96.1</v>
      </c>
      <c r="AA501">
        <v>13.03</v>
      </c>
      <c r="AB501">
        <v>0</v>
      </c>
      <c r="AC501">
        <v>0</v>
      </c>
      <c r="AD501">
        <v>1</v>
      </c>
      <c r="AE501">
        <v>0</v>
      </c>
      <c r="AF501" t="s">
        <v>492</v>
      </c>
      <c r="AG501">
        <v>3.7351999999999994</v>
      </c>
      <c r="AH501">
        <v>2</v>
      </c>
      <c r="AI501">
        <v>31029752</v>
      </c>
      <c r="AJ501">
        <v>476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</row>
    <row r="502" spans="1:44">
      <c r="A502">
        <f>ROW(Source!A234)</f>
        <v>234</v>
      </c>
      <c r="B502">
        <v>31029770</v>
      </c>
      <c r="C502">
        <v>31029747</v>
      </c>
      <c r="D502">
        <v>29149520</v>
      </c>
      <c r="E502">
        <v>1</v>
      </c>
      <c r="F502">
        <v>1</v>
      </c>
      <c r="G502">
        <v>1</v>
      </c>
      <c r="H502">
        <v>2</v>
      </c>
      <c r="I502" t="s">
        <v>790</v>
      </c>
      <c r="J502" t="s">
        <v>791</v>
      </c>
      <c r="K502" t="s">
        <v>792</v>
      </c>
      <c r="L502">
        <v>1368</v>
      </c>
      <c r="N502">
        <v>1011</v>
      </c>
      <c r="O502" t="s">
        <v>780</v>
      </c>
      <c r="P502" t="s">
        <v>780</v>
      </c>
      <c r="Q502">
        <v>1</v>
      </c>
      <c r="X502">
        <v>0.22</v>
      </c>
      <c r="Y502">
        <v>0</v>
      </c>
      <c r="Z502">
        <v>91.62</v>
      </c>
      <c r="AA502">
        <v>0</v>
      </c>
      <c r="AB502">
        <v>0</v>
      </c>
      <c r="AC502">
        <v>0</v>
      </c>
      <c r="AD502">
        <v>1</v>
      </c>
      <c r="AE502">
        <v>0</v>
      </c>
      <c r="AF502" t="s">
        <v>492</v>
      </c>
      <c r="AG502">
        <v>0.1012</v>
      </c>
      <c r="AH502">
        <v>2</v>
      </c>
      <c r="AI502">
        <v>31029753</v>
      </c>
      <c r="AJ502">
        <v>477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</row>
    <row r="503" spans="1:44">
      <c r="A503">
        <f>ROW(Source!A234)</f>
        <v>234</v>
      </c>
      <c r="B503">
        <v>31029771</v>
      </c>
      <c r="C503">
        <v>31029747</v>
      </c>
      <c r="D503">
        <v>29150503</v>
      </c>
      <c r="E503">
        <v>1</v>
      </c>
      <c r="F503">
        <v>1</v>
      </c>
      <c r="G503">
        <v>1</v>
      </c>
      <c r="H503">
        <v>3</v>
      </c>
      <c r="I503" t="s">
        <v>1097</v>
      </c>
      <c r="J503" t="s">
        <v>1098</v>
      </c>
      <c r="K503" t="s">
        <v>1099</v>
      </c>
      <c r="L503">
        <v>1348</v>
      </c>
      <c r="N503">
        <v>1009</v>
      </c>
      <c r="O503" t="s">
        <v>137</v>
      </c>
      <c r="P503" t="s">
        <v>137</v>
      </c>
      <c r="Q503">
        <v>1000</v>
      </c>
      <c r="X503">
        <v>5.9000000000000003E-4</v>
      </c>
      <c r="Y503">
        <v>13053</v>
      </c>
      <c r="Z503">
        <v>0</v>
      </c>
      <c r="AA503">
        <v>0</v>
      </c>
      <c r="AB503">
        <v>0</v>
      </c>
      <c r="AC503">
        <v>0</v>
      </c>
      <c r="AD503">
        <v>1</v>
      </c>
      <c r="AE503">
        <v>0</v>
      </c>
      <c r="AF503" t="s">
        <v>24</v>
      </c>
      <c r="AG503">
        <v>0</v>
      </c>
      <c r="AH503">
        <v>2</v>
      </c>
      <c r="AI503">
        <v>31029754</v>
      </c>
      <c r="AJ503">
        <v>478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</row>
    <row r="504" spans="1:44">
      <c r="A504">
        <f>ROW(Source!A234)</f>
        <v>234</v>
      </c>
      <c r="B504">
        <v>31029772</v>
      </c>
      <c r="C504">
        <v>31029747</v>
      </c>
      <c r="D504">
        <v>29150687</v>
      </c>
      <c r="E504">
        <v>1</v>
      </c>
      <c r="F504">
        <v>1</v>
      </c>
      <c r="G504">
        <v>1</v>
      </c>
      <c r="H504">
        <v>3</v>
      </c>
      <c r="I504" t="s">
        <v>1100</v>
      </c>
      <c r="J504" t="s">
        <v>1101</v>
      </c>
      <c r="K504" t="s">
        <v>1102</v>
      </c>
      <c r="L504">
        <v>1346</v>
      </c>
      <c r="N504">
        <v>1009</v>
      </c>
      <c r="O504" t="s">
        <v>118</v>
      </c>
      <c r="P504" t="s">
        <v>118</v>
      </c>
      <c r="Q504">
        <v>1</v>
      </c>
      <c r="X504">
        <v>0.2</v>
      </c>
      <c r="Y504">
        <v>28.93</v>
      </c>
      <c r="Z504">
        <v>0</v>
      </c>
      <c r="AA504">
        <v>0</v>
      </c>
      <c r="AB504">
        <v>0</v>
      </c>
      <c r="AC504">
        <v>0</v>
      </c>
      <c r="AD504">
        <v>1</v>
      </c>
      <c r="AE504">
        <v>0</v>
      </c>
      <c r="AF504" t="s">
        <v>24</v>
      </c>
      <c r="AG504">
        <v>0</v>
      </c>
      <c r="AH504">
        <v>2</v>
      </c>
      <c r="AI504">
        <v>31029755</v>
      </c>
      <c r="AJ504">
        <v>479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</row>
    <row r="505" spans="1:44">
      <c r="A505">
        <f>ROW(Source!A234)</f>
        <v>234</v>
      </c>
      <c r="B505">
        <v>31029773</v>
      </c>
      <c r="C505">
        <v>31029747</v>
      </c>
      <c r="D505">
        <v>29151941</v>
      </c>
      <c r="E505">
        <v>1</v>
      </c>
      <c r="F505">
        <v>1</v>
      </c>
      <c r="G505">
        <v>1</v>
      </c>
      <c r="H505">
        <v>3</v>
      </c>
      <c r="I505" t="s">
        <v>1103</v>
      </c>
      <c r="J505" t="s">
        <v>1104</v>
      </c>
      <c r="K505" t="s">
        <v>1105</v>
      </c>
      <c r="L505">
        <v>1356</v>
      </c>
      <c r="N505">
        <v>1010</v>
      </c>
      <c r="O505" t="s">
        <v>155</v>
      </c>
      <c r="P505" t="s">
        <v>155</v>
      </c>
      <c r="Q505">
        <v>1000</v>
      </c>
      <c r="X505">
        <v>6.9000000000000006E-2</v>
      </c>
      <c r="Y505">
        <v>273.2</v>
      </c>
      <c r="Z505">
        <v>0</v>
      </c>
      <c r="AA505">
        <v>0</v>
      </c>
      <c r="AB505">
        <v>0</v>
      </c>
      <c r="AC505">
        <v>0</v>
      </c>
      <c r="AD505">
        <v>1</v>
      </c>
      <c r="AE505">
        <v>0</v>
      </c>
      <c r="AF505" t="s">
        <v>24</v>
      </c>
      <c r="AG505">
        <v>0</v>
      </c>
      <c r="AH505">
        <v>2</v>
      </c>
      <c r="AI505">
        <v>31029756</v>
      </c>
      <c r="AJ505">
        <v>480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</row>
    <row r="506" spans="1:44">
      <c r="A506">
        <f>ROW(Source!A234)</f>
        <v>234</v>
      </c>
      <c r="B506">
        <v>31029774</v>
      </c>
      <c r="C506">
        <v>31029747</v>
      </c>
      <c r="D506">
        <v>29151960</v>
      </c>
      <c r="E506">
        <v>1</v>
      </c>
      <c r="F506">
        <v>1</v>
      </c>
      <c r="G506">
        <v>1</v>
      </c>
      <c r="H506">
        <v>3</v>
      </c>
      <c r="I506" t="s">
        <v>1106</v>
      </c>
      <c r="J506" t="s">
        <v>1107</v>
      </c>
      <c r="K506" t="s">
        <v>1108</v>
      </c>
      <c r="L506">
        <v>1346</v>
      </c>
      <c r="N506">
        <v>1009</v>
      </c>
      <c r="O506" t="s">
        <v>118</v>
      </c>
      <c r="P506" t="s">
        <v>118</v>
      </c>
      <c r="Q506">
        <v>1</v>
      </c>
      <c r="X506">
        <v>0.38</v>
      </c>
      <c r="Y506">
        <v>27.11</v>
      </c>
      <c r="Z506">
        <v>0</v>
      </c>
      <c r="AA506">
        <v>0</v>
      </c>
      <c r="AB506">
        <v>0</v>
      </c>
      <c r="AC506">
        <v>0</v>
      </c>
      <c r="AD506">
        <v>1</v>
      </c>
      <c r="AE506">
        <v>0</v>
      </c>
      <c r="AF506" t="s">
        <v>24</v>
      </c>
      <c r="AG506">
        <v>0</v>
      </c>
      <c r="AH506">
        <v>2</v>
      </c>
      <c r="AI506">
        <v>31029757</v>
      </c>
      <c r="AJ506">
        <v>481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</row>
    <row r="507" spans="1:44">
      <c r="A507">
        <f>ROW(Source!A234)</f>
        <v>234</v>
      </c>
      <c r="B507">
        <v>31029775</v>
      </c>
      <c r="C507">
        <v>31029747</v>
      </c>
      <c r="D507">
        <v>29161321</v>
      </c>
      <c r="E507">
        <v>1</v>
      </c>
      <c r="F507">
        <v>1</v>
      </c>
      <c r="G507">
        <v>1</v>
      </c>
      <c r="H507">
        <v>3</v>
      </c>
      <c r="I507" t="s">
        <v>1109</v>
      </c>
      <c r="J507" t="s">
        <v>1110</v>
      </c>
      <c r="K507" t="s">
        <v>1111</v>
      </c>
      <c r="L507">
        <v>1354</v>
      </c>
      <c r="N507">
        <v>1010</v>
      </c>
      <c r="O507" t="s">
        <v>704</v>
      </c>
      <c r="P507" t="s">
        <v>704</v>
      </c>
      <c r="Q507">
        <v>1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1</v>
      </c>
      <c r="AD507">
        <v>0</v>
      </c>
      <c r="AE507">
        <v>0</v>
      </c>
      <c r="AF507" t="s">
        <v>24</v>
      </c>
      <c r="AG507">
        <v>0</v>
      </c>
      <c r="AH507">
        <v>2</v>
      </c>
      <c r="AI507">
        <v>31029758</v>
      </c>
      <c r="AJ507">
        <v>482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</row>
    <row r="508" spans="1:44">
      <c r="A508">
        <f>ROW(Source!A234)</f>
        <v>234</v>
      </c>
      <c r="B508">
        <v>31029776</v>
      </c>
      <c r="C508">
        <v>31029747</v>
      </c>
      <c r="D508">
        <v>29165029</v>
      </c>
      <c r="E508">
        <v>1</v>
      </c>
      <c r="F508">
        <v>1</v>
      </c>
      <c r="G508">
        <v>1</v>
      </c>
      <c r="H508">
        <v>3</v>
      </c>
      <c r="I508" t="s">
        <v>1112</v>
      </c>
      <c r="J508" t="s">
        <v>1113</v>
      </c>
      <c r="K508" t="s">
        <v>1114</v>
      </c>
      <c r="L508">
        <v>1346</v>
      </c>
      <c r="N508">
        <v>1009</v>
      </c>
      <c r="O508" t="s">
        <v>118</v>
      </c>
      <c r="P508" t="s">
        <v>118</v>
      </c>
      <c r="Q508">
        <v>1</v>
      </c>
      <c r="X508">
        <v>0.25</v>
      </c>
      <c r="Y508">
        <v>11.8</v>
      </c>
      <c r="Z508">
        <v>0</v>
      </c>
      <c r="AA508">
        <v>0</v>
      </c>
      <c r="AB508">
        <v>0</v>
      </c>
      <c r="AC508">
        <v>0</v>
      </c>
      <c r="AD508">
        <v>1</v>
      </c>
      <c r="AE508">
        <v>0</v>
      </c>
      <c r="AF508" t="s">
        <v>24</v>
      </c>
      <c r="AG508">
        <v>0</v>
      </c>
      <c r="AH508">
        <v>2</v>
      </c>
      <c r="AI508">
        <v>31029759</v>
      </c>
      <c r="AJ508">
        <v>483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</row>
    <row r="509" spans="1:44">
      <c r="A509">
        <f>ROW(Source!A234)</f>
        <v>234</v>
      </c>
      <c r="B509">
        <v>31029777</v>
      </c>
      <c r="C509">
        <v>31029747</v>
      </c>
      <c r="D509">
        <v>29183872</v>
      </c>
      <c r="E509">
        <v>1</v>
      </c>
      <c r="F509">
        <v>1</v>
      </c>
      <c r="G509">
        <v>1</v>
      </c>
      <c r="H509">
        <v>3</v>
      </c>
      <c r="I509" t="s">
        <v>1115</v>
      </c>
      <c r="J509" t="s">
        <v>1116</v>
      </c>
      <c r="K509" t="s">
        <v>1117</v>
      </c>
      <c r="L509">
        <v>1346</v>
      </c>
      <c r="N509">
        <v>1009</v>
      </c>
      <c r="O509" t="s">
        <v>118</v>
      </c>
      <c r="P509" t="s">
        <v>118</v>
      </c>
      <c r="Q509">
        <v>1</v>
      </c>
      <c r="X509">
        <v>0</v>
      </c>
      <c r="Y509">
        <v>0</v>
      </c>
      <c r="Z509">
        <v>0</v>
      </c>
      <c r="AA509">
        <v>0</v>
      </c>
      <c r="AB509">
        <v>0</v>
      </c>
      <c r="AC509">
        <v>1</v>
      </c>
      <c r="AD509">
        <v>0</v>
      </c>
      <c r="AE509">
        <v>0</v>
      </c>
      <c r="AF509" t="s">
        <v>24</v>
      </c>
      <c r="AG509">
        <v>0</v>
      </c>
      <c r="AH509">
        <v>2</v>
      </c>
      <c r="AI509">
        <v>31029760</v>
      </c>
      <c r="AJ509">
        <v>484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</row>
    <row r="510" spans="1:44">
      <c r="A510">
        <f>ROW(Source!A234)</f>
        <v>234</v>
      </c>
      <c r="B510">
        <v>31029778</v>
      </c>
      <c r="C510">
        <v>31029747</v>
      </c>
      <c r="D510">
        <v>29185738</v>
      </c>
      <c r="E510">
        <v>1</v>
      </c>
      <c r="F510">
        <v>1</v>
      </c>
      <c r="G510">
        <v>1</v>
      </c>
      <c r="H510">
        <v>3</v>
      </c>
      <c r="I510" t="s">
        <v>1118</v>
      </c>
      <c r="J510" t="s">
        <v>1119</v>
      </c>
      <c r="K510" t="s">
        <v>1120</v>
      </c>
      <c r="L510">
        <v>1354</v>
      </c>
      <c r="N510">
        <v>1010</v>
      </c>
      <c r="O510" t="s">
        <v>704</v>
      </c>
      <c r="P510" t="s">
        <v>704</v>
      </c>
      <c r="Q510">
        <v>1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1</v>
      </c>
      <c r="AD510">
        <v>0</v>
      </c>
      <c r="AE510">
        <v>0</v>
      </c>
      <c r="AF510" t="s">
        <v>24</v>
      </c>
      <c r="AG510">
        <v>0</v>
      </c>
      <c r="AH510">
        <v>2</v>
      </c>
      <c r="AI510">
        <v>31029761</v>
      </c>
      <c r="AJ510">
        <v>485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</row>
    <row r="511" spans="1:44">
      <c r="A511">
        <f>ROW(Source!A234)</f>
        <v>234</v>
      </c>
      <c r="B511">
        <v>31029779</v>
      </c>
      <c r="C511">
        <v>31029747</v>
      </c>
      <c r="D511">
        <v>29194456</v>
      </c>
      <c r="E511">
        <v>1</v>
      </c>
      <c r="F511">
        <v>1</v>
      </c>
      <c r="G511">
        <v>1</v>
      </c>
      <c r="H511">
        <v>3</v>
      </c>
      <c r="I511" t="s">
        <v>1121</v>
      </c>
      <c r="J511" t="s">
        <v>1122</v>
      </c>
      <c r="K511" t="s">
        <v>1123</v>
      </c>
      <c r="L511">
        <v>1346</v>
      </c>
      <c r="N511">
        <v>1009</v>
      </c>
      <c r="O511" t="s">
        <v>118</v>
      </c>
      <c r="P511" t="s">
        <v>118</v>
      </c>
      <c r="Q511">
        <v>1</v>
      </c>
      <c r="X511">
        <v>2.5000000000000001E-3</v>
      </c>
      <c r="Y511">
        <v>2.33</v>
      </c>
      <c r="Z511">
        <v>0</v>
      </c>
      <c r="AA511">
        <v>0</v>
      </c>
      <c r="AB511">
        <v>0</v>
      </c>
      <c r="AC511">
        <v>0</v>
      </c>
      <c r="AD511">
        <v>1</v>
      </c>
      <c r="AE511">
        <v>0</v>
      </c>
      <c r="AF511" t="s">
        <v>24</v>
      </c>
      <c r="AG511">
        <v>0</v>
      </c>
      <c r="AH511">
        <v>2</v>
      </c>
      <c r="AI511">
        <v>31029762</v>
      </c>
      <c r="AJ511">
        <v>486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</row>
    <row r="512" spans="1:44">
      <c r="A512">
        <f>ROW(Source!A234)</f>
        <v>234</v>
      </c>
      <c r="B512">
        <v>31029780</v>
      </c>
      <c r="C512">
        <v>31029747</v>
      </c>
      <c r="D512">
        <v>29195171</v>
      </c>
      <c r="E512">
        <v>1</v>
      </c>
      <c r="F512">
        <v>1</v>
      </c>
      <c r="G512">
        <v>1</v>
      </c>
      <c r="H512">
        <v>3</v>
      </c>
      <c r="I512" t="s">
        <v>830</v>
      </c>
      <c r="J512" t="s">
        <v>831</v>
      </c>
      <c r="K512" t="s">
        <v>832</v>
      </c>
      <c r="L512">
        <v>1339</v>
      </c>
      <c r="N512">
        <v>1007</v>
      </c>
      <c r="O512" t="s">
        <v>109</v>
      </c>
      <c r="P512" t="s">
        <v>109</v>
      </c>
      <c r="Q512">
        <v>1</v>
      </c>
      <c r="X512">
        <v>0.74</v>
      </c>
      <c r="Y512">
        <v>2.4500000000000002</v>
      </c>
      <c r="Z512">
        <v>0</v>
      </c>
      <c r="AA512">
        <v>0</v>
      </c>
      <c r="AB512">
        <v>0</v>
      </c>
      <c r="AC512">
        <v>0</v>
      </c>
      <c r="AD512">
        <v>1</v>
      </c>
      <c r="AE512">
        <v>0</v>
      </c>
      <c r="AF512" t="s">
        <v>24</v>
      </c>
      <c r="AG512">
        <v>0</v>
      </c>
      <c r="AH512">
        <v>2</v>
      </c>
      <c r="AI512">
        <v>31029763</v>
      </c>
      <c r="AJ512">
        <v>487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</row>
    <row r="513" spans="1:44">
      <c r="A513">
        <f>ROW(Source!A234)</f>
        <v>234</v>
      </c>
      <c r="B513">
        <v>31029781</v>
      </c>
      <c r="C513">
        <v>31029747</v>
      </c>
      <c r="D513">
        <v>29203016</v>
      </c>
      <c r="E513">
        <v>1</v>
      </c>
      <c r="F513">
        <v>1</v>
      </c>
      <c r="G513">
        <v>1</v>
      </c>
      <c r="H513">
        <v>3</v>
      </c>
      <c r="I513" t="s">
        <v>627</v>
      </c>
      <c r="J513" t="s">
        <v>630</v>
      </c>
      <c r="K513" t="s">
        <v>628</v>
      </c>
      <c r="L513">
        <v>1302</v>
      </c>
      <c r="N513">
        <v>1003</v>
      </c>
      <c r="O513" t="s">
        <v>629</v>
      </c>
      <c r="P513" t="s">
        <v>629</v>
      </c>
      <c r="Q513">
        <v>10</v>
      </c>
      <c r="X513">
        <v>9.2899999999999991</v>
      </c>
      <c r="Y513">
        <v>47.95</v>
      </c>
      <c r="Z513">
        <v>0</v>
      </c>
      <c r="AA513">
        <v>0</v>
      </c>
      <c r="AB513">
        <v>0</v>
      </c>
      <c r="AC513">
        <v>0</v>
      </c>
      <c r="AD513">
        <v>1</v>
      </c>
      <c r="AE513">
        <v>0</v>
      </c>
      <c r="AF513" t="s">
        <v>24</v>
      </c>
      <c r="AG513">
        <v>0</v>
      </c>
      <c r="AH513">
        <v>2</v>
      </c>
      <c r="AI513">
        <v>31029764</v>
      </c>
      <c r="AJ513">
        <v>488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</row>
    <row r="514" spans="1:44">
      <c r="A514">
        <f>ROW(Source!A235)</f>
        <v>235</v>
      </c>
      <c r="B514">
        <v>31029794</v>
      </c>
      <c r="C514">
        <v>31029782</v>
      </c>
      <c r="D514">
        <v>29084597</v>
      </c>
      <c r="E514">
        <v>1</v>
      </c>
      <c r="F514">
        <v>1</v>
      </c>
      <c r="G514">
        <v>1</v>
      </c>
      <c r="H514">
        <v>1</v>
      </c>
      <c r="I514" t="s">
        <v>1092</v>
      </c>
      <c r="J514" t="s">
        <v>6</v>
      </c>
      <c r="K514" t="s">
        <v>1093</v>
      </c>
      <c r="L514">
        <v>1369</v>
      </c>
      <c r="N514">
        <v>1013</v>
      </c>
      <c r="O514" t="s">
        <v>773</v>
      </c>
      <c r="P514" t="s">
        <v>773</v>
      </c>
      <c r="Q514">
        <v>1</v>
      </c>
      <c r="X514">
        <v>64.239999999999995</v>
      </c>
      <c r="Y514">
        <v>0</v>
      </c>
      <c r="Z514">
        <v>0</v>
      </c>
      <c r="AA514">
        <v>0</v>
      </c>
      <c r="AB514">
        <v>9.57</v>
      </c>
      <c r="AC514">
        <v>0</v>
      </c>
      <c r="AD514">
        <v>1</v>
      </c>
      <c r="AE514">
        <v>1</v>
      </c>
      <c r="AF514" t="s">
        <v>492</v>
      </c>
      <c r="AG514">
        <v>29.550399999999996</v>
      </c>
      <c r="AH514">
        <v>2</v>
      </c>
      <c r="AI514">
        <v>31029783</v>
      </c>
      <c r="AJ514">
        <v>489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</row>
    <row r="515" spans="1:44">
      <c r="A515">
        <f>ROW(Source!A235)</f>
        <v>235</v>
      </c>
      <c r="B515">
        <v>31029795</v>
      </c>
      <c r="C515">
        <v>31029782</v>
      </c>
      <c r="D515">
        <v>29084573</v>
      </c>
      <c r="E515">
        <v>1</v>
      </c>
      <c r="F515">
        <v>1</v>
      </c>
      <c r="G515">
        <v>1</v>
      </c>
      <c r="H515">
        <v>1</v>
      </c>
      <c r="I515" t="s">
        <v>774</v>
      </c>
      <c r="J515" t="s">
        <v>6</v>
      </c>
      <c r="K515" t="s">
        <v>775</v>
      </c>
      <c r="L515">
        <v>608254</v>
      </c>
      <c r="N515">
        <v>1013</v>
      </c>
      <c r="O515" t="s">
        <v>776</v>
      </c>
      <c r="P515" t="s">
        <v>776</v>
      </c>
      <c r="Q515">
        <v>1</v>
      </c>
      <c r="X515">
        <v>0.02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1</v>
      </c>
      <c r="AE515">
        <v>2</v>
      </c>
      <c r="AF515" t="s">
        <v>492</v>
      </c>
      <c r="AG515">
        <v>9.1999999999999998E-3</v>
      </c>
      <c r="AH515">
        <v>2</v>
      </c>
      <c r="AI515">
        <v>31029784</v>
      </c>
      <c r="AJ515">
        <v>490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</row>
    <row r="516" spans="1:44">
      <c r="A516">
        <f>ROW(Source!A235)</f>
        <v>235</v>
      </c>
      <c r="B516">
        <v>31029796</v>
      </c>
      <c r="C516">
        <v>31029782</v>
      </c>
      <c r="D516">
        <v>29147520</v>
      </c>
      <c r="E516">
        <v>1</v>
      </c>
      <c r="F516">
        <v>1</v>
      </c>
      <c r="G516">
        <v>1</v>
      </c>
      <c r="H516">
        <v>2</v>
      </c>
      <c r="I516" t="s">
        <v>777</v>
      </c>
      <c r="J516" t="s">
        <v>778</v>
      </c>
      <c r="K516" t="s">
        <v>779</v>
      </c>
      <c r="L516">
        <v>1368</v>
      </c>
      <c r="N516">
        <v>1011</v>
      </c>
      <c r="O516" t="s">
        <v>780</v>
      </c>
      <c r="P516" t="s">
        <v>780</v>
      </c>
      <c r="Q516">
        <v>1</v>
      </c>
      <c r="X516">
        <v>0.01</v>
      </c>
      <c r="Y516">
        <v>0</v>
      </c>
      <c r="Z516">
        <v>85.93</v>
      </c>
      <c r="AA516">
        <v>13.03</v>
      </c>
      <c r="AB516">
        <v>0</v>
      </c>
      <c r="AC516">
        <v>0</v>
      </c>
      <c r="AD516">
        <v>1</v>
      </c>
      <c r="AE516">
        <v>0</v>
      </c>
      <c r="AF516" t="s">
        <v>492</v>
      </c>
      <c r="AG516">
        <v>4.5999999999999999E-3</v>
      </c>
      <c r="AH516">
        <v>2</v>
      </c>
      <c r="AI516">
        <v>31029785</v>
      </c>
      <c r="AJ516">
        <v>491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</row>
    <row r="517" spans="1:44">
      <c r="A517">
        <f>ROW(Source!A235)</f>
        <v>235</v>
      </c>
      <c r="B517">
        <v>31029797</v>
      </c>
      <c r="C517">
        <v>31029782</v>
      </c>
      <c r="D517">
        <v>29147601</v>
      </c>
      <c r="E517">
        <v>1</v>
      </c>
      <c r="F517">
        <v>1</v>
      </c>
      <c r="G517">
        <v>1</v>
      </c>
      <c r="H517">
        <v>2</v>
      </c>
      <c r="I517" t="s">
        <v>781</v>
      </c>
      <c r="J517" t="s">
        <v>782</v>
      </c>
      <c r="K517" t="s">
        <v>783</v>
      </c>
      <c r="L517">
        <v>1368</v>
      </c>
      <c r="N517">
        <v>1011</v>
      </c>
      <c r="O517" t="s">
        <v>780</v>
      </c>
      <c r="P517" t="s">
        <v>780</v>
      </c>
      <c r="Q517">
        <v>1</v>
      </c>
      <c r="X517">
        <v>0.01</v>
      </c>
      <c r="Y517">
        <v>0</v>
      </c>
      <c r="Z517">
        <v>108.45</v>
      </c>
      <c r="AA517">
        <v>13.03</v>
      </c>
      <c r="AB517">
        <v>0</v>
      </c>
      <c r="AC517">
        <v>0</v>
      </c>
      <c r="AD517">
        <v>1</v>
      </c>
      <c r="AE517">
        <v>0</v>
      </c>
      <c r="AF517" t="s">
        <v>492</v>
      </c>
      <c r="AG517">
        <v>4.5999999999999999E-3</v>
      </c>
      <c r="AH517">
        <v>2</v>
      </c>
      <c r="AI517">
        <v>31029786</v>
      </c>
      <c r="AJ517">
        <v>492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</row>
    <row r="518" spans="1:44">
      <c r="A518">
        <f>ROW(Source!A235)</f>
        <v>235</v>
      </c>
      <c r="B518">
        <v>31029798</v>
      </c>
      <c r="C518">
        <v>31029782</v>
      </c>
      <c r="D518">
        <v>29149520</v>
      </c>
      <c r="E518">
        <v>1</v>
      </c>
      <c r="F518">
        <v>1</v>
      </c>
      <c r="G518">
        <v>1</v>
      </c>
      <c r="H518">
        <v>2</v>
      </c>
      <c r="I518" t="s">
        <v>790</v>
      </c>
      <c r="J518" t="s">
        <v>791</v>
      </c>
      <c r="K518" t="s">
        <v>792</v>
      </c>
      <c r="L518">
        <v>1368</v>
      </c>
      <c r="N518">
        <v>1011</v>
      </c>
      <c r="O518" t="s">
        <v>780</v>
      </c>
      <c r="P518" t="s">
        <v>780</v>
      </c>
      <c r="Q518">
        <v>1</v>
      </c>
      <c r="X518">
        <v>0.01</v>
      </c>
      <c r="Y518">
        <v>0</v>
      </c>
      <c r="Z518">
        <v>91.62</v>
      </c>
      <c r="AA518">
        <v>0</v>
      </c>
      <c r="AB518">
        <v>0</v>
      </c>
      <c r="AC518">
        <v>0</v>
      </c>
      <c r="AD518">
        <v>1</v>
      </c>
      <c r="AE518">
        <v>0</v>
      </c>
      <c r="AF518" t="s">
        <v>492</v>
      </c>
      <c r="AG518">
        <v>4.5999999999999999E-3</v>
      </c>
      <c r="AH518">
        <v>2</v>
      </c>
      <c r="AI518">
        <v>31029787</v>
      </c>
      <c r="AJ518">
        <v>493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</row>
    <row r="519" spans="1:44">
      <c r="A519">
        <f>ROW(Source!A235)</f>
        <v>235</v>
      </c>
      <c r="B519">
        <v>31029799</v>
      </c>
      <c r="C519">
        <v>31029782</v>
      </c>
      <c r="D519">
        <v>29152667</v>
      </c>
      <c r="E519">
        <v>1</v>
      </c>
      <c r="F519">
        <v>1</v>
      </c>
      <c r="G519">
        <v>1</v>
      </c>
      <c r="H519">
        <v>3</v>
      </c>
      <c r="I519" t="s">
        <v>1124</v>
      </c>
      <c r="J519" t="s">
        <v>1125</v>
      </c>
      <c r="K519" t="s">
        <v>1126</v>
      </c>
      <c r="L519">
        <v>1346</v>
      </c>
      <c r="N519">
        <v>1009</v>
      </c>
      <c r="O519" t="s">
        <v>118</v>
      </c>
      <c r="P519" t="s">
        <v>118</v>
      </c>
      <c r="Q519">
        <v>1</v>
      </c>
      <c r="X519">
        <v>1.5</v>
      </c>
      <c r="Y519">
        <v>18.39</v>
      </c>
      <c r="Z519">
        <v>0</v>
      </c>
      <c r="AA519">
        <v>0</v>
      </c>
      <c r="AB519">
        <v>0</v>
      </c>
      <c r="AC519">
        <v>0</v>
      </c>
      <c r="AD519">
        <v>1</v>
      </c>
      <c r="AE519">
        <v>0</v>
      </c>
      <c r="AF519" t="s">
        <v>24</v>
      </c>
      <c r="AG519">
        <v>0</v>
      </c>
      <c r="AH519">
        <v>2</v>
      </c>
      <c r="AI519">
        <v>31029788</v>
      </c>
      <c r="AJ519">
        <v>494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</row>
    <row r="520" spans="1:44">
      <c r="A520">
        <f>ROW(Source!A235)</f>
        <v>235</v>
      </c>
      <c r="B520">
        <v>31029800</v>
      </c>
      <c r="C520">
        <v>31029782</v>
      </c>
      <c r="D520">
        <v>29152803</v>
      </c>
      <c r="E520">
        <v>1</v>
      </c>
      <c r="F520">
        <v>1</v>
      </c>
      <c r="G520">
        <v>1</v>
      </c>
      <c r="H520">
        <v>3</v>
      </c>
      <c r="I520" t="s">
        <v>1127</v>
      </c>
      <c r="J520" t="s">
        <v>1128</v>
      </c>
      <c r="K520" t="s">
        <v>1129</v>
      </c>
      <c r="L520">
        <v>1348</v>
      </c>
      <c r="N520">
        <v>1009</v>
      </c>
      <c r="O520" t="s">
        <v>137</v>
      </c>
      <c r="P520" t="s">
        <v>137</v>
      </c>
      <c r="Q520">
        <v>1000</v>
      </c>
      <c r="X520">
        <v>1.1999999999999999E-3</v>
      </c>
      <c r="Y520">
        <v>16117.3</v>
      </c>
      <c r="Z520">
        <v>0</v>
      </c>
      <c r="AA520">
        <v>0</v>
      </c>
      <c r="AB520">
        <v>0</v>
      </c>
      <c r="AC520">
        <v>0</v>
      </c>
      <c r="AD520">
        <v>1</v>
      </c>
      <c r="AE520">
        <v>0</v>
      </c>
      <c r="AF520" t="s">
        <v>24</v>
      </c>
      <c r="AG520">
        <v>0</v>
      </c>
      <c r="AH520">
        <v>2</v>
      </c>
      <c r="AI520">
        <v>31029789</v>
      </c>
      <c r="AJ520">
        <v>495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</row>
    <row r="521" spans="1:44">
      <c r="A521">
        <f>ROW(Source!A235)</f>
        <v>235</v>
      </c>
      <c r="B521">
        <v>31029801</v>
      </c>
      <c r="C521">
        <v>31029782</v>
      </c>
      <c r="D521">
        <v>29183872</v>
      </c>
      <c r="E521">
        <v>1</v>
      </c>
      <c r="F521">
        <v>1</v>
      </c>
      <c r="G521">
        <v>1</v>
      </c>
      <c r="H521">
        <v>3</v>
      </c>
      <c r="I521" t="s">
        <v>1115</v>
      </c>
      <c r="J521" t="s">
        <v>1116</v>
      </c>
      <c r="K521" t="s">
        <v>1117</v>
      </c>
      <c r="L521">
        <v>1346</v>
      </c>
      <c r="N521">
        <v>1009</v>
      </c>
      <c r="O521" t="s">
        <v>118</v>
      </c>
      <c r="P521" t="s">
        <v>118</v>
      </c>
      <c r="Q521">
        <v>1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1</v>
      </c>
      <c r="AD521">
        <v>0</v>
      </c>
      <c r="AE521">
        <v>0</v>
      </c>
      <c r="AF521" t="s">
        <v>24</v>
      </c>
      <c r="AG521">
        <v>0</v>
      </c>
      <c r="AH521">
        <v>2</v>
      </c>
      <c r="AI521">
        <v>31029790</v>
      </c>
      <c r="AJ521">
        <v>496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</row>
    <row r="522" spans="1:44">
      <c r="A522">
        <f>ROW(Source!A235)</f>
        <v>235</v>
      </c>
      <c r="B522">
        <v>31029802</v>
      </c>
      <c r="C522">
        <v>31029782</v>
      </c>
      <c r="D522">
        <v>29185676</v>
      </c>
      <c r="E522">
        <v>1</v>
      </c>
      <c r="F522">
        <v>1</v>
      </c>
      <c r="G522">
        <v>1</v>
      </c>
      <c r="H522">
        <v>3</v>
      </c>
      <c r="I522" t="s">
        <v>1130</v>
      </c>
      <c r="J522" t="s">
        <v>1131</v>
      </c>
      <c r="K522" t="s">
        <v>1132</v>
      </c>
      <c r="L522">
        <v>1301</v>
      </c>
      <c r="N522">
        <v>1003</v>
      </c>
      <c r="O522" t="s">
        <v>315</v>
      </c>
      <c r="P522" t="s">
        <v>315</v>
      </c>
      <c r="Q522">
        <v>1</v>
      </c>
      <c r="X522">
        <v>99.8</v>
      </c>
      <c r="Y522">
        <v>39.340000000000003</v>
      </c>
      <c r="Z522">
        <v>0</v>
      </c>
      <c r="AA522">
        <v>0</v>
      </c>
      <c r="AB522">
        <v>0</v>
      </c>
      <c r="AC522">
        <v>0</v>
      </c>
      <c r="AD522">
        <v>1</v>
      </c>
      <c r="AE522">
        <v>0</v>
      </c>
      <c r="AF522" t="s">
        <v>24</v>
      </c>
      <c r="AG522">
        <v>0</v>
      </c>
      <c r="AH522">
        <v>2</v>
      </c>
      <c r="AI522">
        <v>31029791</v>
      </c>
      <c r="AJ522">
        <v>497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</row>
    <row r="523" spans="1:44">
      <c r="A523">
        <f>ROW(Source!A235)</f>
        <v>235</v>
      </c>
      <c r="B523">
        <v>31029803</v>
      </c>
      <c r="C523">
        <v>31029782</v>
      </c>
      <c r="D523">
        <v>29185708</v>
      </c>
      <c r="E523">
        <v>1</v>
      </c>
      <c r="F523">
        <v>1</v>
      </c>
      <c r="G523">
        <v>1</v>
      </c>
      <c r="H523">
        <v>3</v>
      </c>
      <c r="I523" t="s">
        <v>1133</v>
      </c>
      <c r="J523" t="s">
        <v>1134</v>
      </c>
      <c r="K523" t="s">
        <v>1135</v>
      </c>
      <c r="L523">
        <v>1354</v>
      </c>
      <c r="N523">
        <v>1010</v>
      </c>
      <c r="O523" t="s">
        <v>704</v>
      </c>
      <c r="P523" t="s">
        <v>704</v>
      </c>
      <c r="Q523">
        <v>1</v>
      </c>
      <c r="X523">
        <v>0</v>
      </c>
      <c r="Y523">
        <v>0</v>
      </c>
      <c r="Z523">
        <v>0</v>
      </c>
      <c r="AA523">
        <v>0</v>
      </c>
      <c r="AB523">
        <v>0</v>
      </c>
      <c r="AC523">
        <v>1</v>
      </c>
      <c r="AD523">
        <v>0</v>
      </c>
      <c r="AE523">
        <v>0</v>
      </c>
      <c r="AF523" t="s">
        <v>24</v>
      </c>
      <c r="AG523">
        <v>0</v>
      </c>
      <c r="AH523">
        <v>2</v>
      </c>
      <c r="AI523">
        <v>31029792</v>
      </c>
      <c r="AJ523">
        <v>498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</row>
    <row r="524" spans="1:44">
      <c r="A524">
        <f>ROW(Source!A235)</f>
        <v>235</v>
      </c>
      <c r="B524">
        <v>31029804</v>
      </c>
      <c r="C524">
        <v>31029782</v>
      </c>
      <c r="D524">
        <v>29195171</v>
      </c>
      <c r="E524">
        <v>1</v>
      </c>
      <c r="F524">
        <v>1</v>
      </c>
      <c r="G524">
        <v>1</v>
      </c>
      <c r="H524">
        <v>3</v>
      </c>
      <c r="I524" t="s">
        <v>830</v>
      </c>
      <c r="J524" t="s">
        <v>831</v>
      </c>
      <c r="K524" t="s">
        <v>832</v>
      </c>
      <c r="L524">
        <v>1339</v>
      </c>
      <c r="N524">
        <v>1007</v>
      </c>
      <c r="O524" t="s">
        <v>109</v>
      </c>
      <c r="P524" t="s">
        <v>109</v>
      </c>
      <c r="Q524">
        <v>1</v>
      </c>
      <c r="X524">
        <v>0.39</v>
      </c>
      <c r="Y524">
        <v>2.4500000000000002</v>
      </c>
      <c r="Z524">
        <v>0</v>
      </c>
      <c r="AA524">
        <v>0</v>
      </c>
      <c r="AB524">
        <v>0</v>
      </c>
      <c r="AC524">
        <v>0</v>
      </c>
      <c r="AD524">
        <v>1</v>
      </c>
      <c r="AE524">
        <v>0</v>
      </c>
      <c r="AF524" t="s">
        <v>24</v>
      </c>
      <c r="AG524">
        <v>0</v>
      </c>
      <c r="AH524">
        <v>2</v>
      </c>
      <c r="AI524">
        <v>31029793</v>
      </c>
      <c r="AJ524">
        <v>499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</row>
    <row r="525" spans="1:44">
      <c r="A525">
        <f>ROW(Source!A236)</f>
        <v>236</v>
      </c>
      <c r="B525">
        <v>31029817</v>
      </c>
      <c r="C525">
        <v>31029805</v>
      </c>
      <c r="D525">
        <v>29084597</v>
      </c>
      <c r="E525">
        <v>1</v>
      </c>
      <c r="F525">
        <v>1</v>
      </c>
      <c r="G525">
        <v>1</v>
      </c>
      <c r="H525">
        <v>1</v>
      </c>
      <c r="I525" t="s">
        <v>1092</v>
      </c>
      <c r="J525" t="s">
        <v>6</v>
      </c>
      <c r="K525" t="s">
        <v>1093</v>
      </c>
      <c r="L525">
        <v>1369</v>
      </c>
      <c r="N525">
        <v>1013</v>
      </c>
      <c r="O525" t="s">
        <v>773</v>
      </c>
      <c r="P525" t="s">
        <v>773</v>
      </c>
      <c r="Q525">
        <v>1</v>
      </c>
      <c r="X525">
        <v>61.6</v>
      </c>
      <c r="Y525">
        <v>0</v>
      </c>
      <c r="Z525">
        <v>0</v>
      </c>
      <c r="AA525">
        <v>0</v>
      </c>
      <c r="AB525">
        <v>9.57</v>
      </c>
      <c r="AC525">
        <v>0</v>
      </c>
      <c r="AD525">
        <v>1</v>
      </c>
      <c r="AE525">
        <v>1</v>
      </c>
      <c r="AF525" t="s">
        <v>492</v>
      </c>
      <c r="AG525">
        <v>28.335999999999999</v>
      </c>
      <c r="AH525">
        <v>2</v>
      </c>
      <c r="AI525">
        <v>31029806</v>
      </c>
      <c r="AJ525">
        <v>500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</row>
    <row r="526" spans="1:44">
      <c r="A526">
        <f>ROW(Source!A236)</f>
        <v>236</v>
      </c>
      <c r="B526">
        <v>31029818</v>
      </c>
      <c r="C526">
        <v>31029805</v>
      </c>
      <c r="D526">
        <v>29084573</v>
      </c>
      <c r="E526">
        <v>1</v>
      </c>
      <c r="F526">
        <v>1</v>
      </c>
      <c r="G526">
        <v>1</v>
      </c>
      <c r="H526">
        <v>1</v>
      </c>
      <c r="I526" t="s">
        <v>774</v>
      </c>
      <c r="J526" t="s">
        <v>6</v>
      </c>
      <c r="K526" t="s">
        <v>775</v>
      </c>
      <c r="L526">
        <v>608254</v>
      </c>
      <c r="N526">
        <v>1013</v>
      </c>
      <c r="O526" t="s">
        <v>776</v>
      </c>
      <c r="P526" t="s">
        <v>776</v>
      </c>
      <c r="Q526">
        <v>1</v>
      </c>
      <c r="X526">
        <v>0.05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1</v>
      </c>
      <c r="AE526">
        <v>2</v>
      </c>
      <c r="AF526" t="s">
        <v>492</v>
      </c>
      <c r="AG526">
        <v>2.3000000000000003E-2</v>
      </c>
      <c r="AH526">
        <v>2</v>
      </c>
      <c r="AI526">
        <v>31029807</v>
      </c>
      <c r="AJ526">
        <v>501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</row>
    <row r="527" spans="1:44">
      <c r="A527">
        <f>ROW(Source!A236)</f>
        <v>236</v>
      </c>
      <c r="B527">
        <v>31029819</v>
      </c>
      <c r="C527">
        <v>31029805</v>
      </c>
      <c r="D527">
        <v>29147520</v>
      </c>
      <c r="E527">
        <v>1</v>
      </c>
      <c r="F527">
        <v>1</v>
      </c>
      <c r="G527">
        <v>1</v>
      </c>
      <c r="H527">
        <v>2</v>
      </c>
      <c r="I527" t="s">
        <v>777</v>
      </c>
      <c r="J527" t="s">
        <v>778</v>
      </c>
      <c r="K527" t="s">
        <v>779</v>
      </c>
      <c r="L527">
        <v>1368</v>
      </c>
      <c r="N527">
        <v>1011</v>
      </c>
      <c r="O527" t="s">
        <v>780</v>
      </c>
      <c r="P527" t="s">
        <v>780</v>
      </c>
      <c r="Q527">
        <v>1</v>
      </c>
      <c r="X527">
        <v>0.03</v>
      </c>
      <c r="Y527">
        <v>0</v>
      </c>
      <c r="Z527">
        <v>85.93</v>
      </c>
      <c r="AA527">
        <v>13.03</v>
      </c>
      <c r="AB527">
        <v>0</v>
      </c>
      <c r="AC527">
        <v>0</v>
      </c>
      <c r="AD527">
        <v>1</v>
      </c>
      <c r="AE527">
        <v>0</v>
      </c>
      <c r="AF527" t="s">
        <v>492</v>
      </c>
      <c r="AG527">
        <v>1.38E-2</v>
      </c>
      <c r="AH527">
        <v>2</v>
      </c>
      <c r="AI527">
        <v>31029808</v>
      </c>
      <c r="AJ527">
        <v>502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</row>
    <row r="528" spans="1:44">
      <c r="A528">
        <f>ROW(Source!A236)</f>
        <v>236</v>
      </c>
      <c r="B528">
        <v>31029820</v>
      </c>
      <c r="C528">
        <v>31029805</v>
      </c>
      <c r="D528">
        <v>29147601</v>
      </c>
      <c r="E528">
        <v>1</v>
      </c>
      <c r="F528">
        <v>1</v>
      </c>
      <c r="G528">
        <v>1</v>
      </c>
      <c r="H528">
        <v>2</v>
      </c>
      <c r="I528" t="s">
        <v>781</v>
      </c>
      <c r="J528" t="s">
        <v>782</v>
      </c>
      <c r="K528" t="s">
        <v>783</v>
      </c>
      <c r="L528">
        <v>1368</v>
      </c>
      <c r="N528">
        <v>1011</v>
      </c>
      <c r="O528" t="s">
        <v>780</v>
      </c>
      <c r="P528" t="s">
        <v>780</v>
      </c>
      <c r="Q528">
        <v>1</v>
      </c>
      <c r="X528">
        <v>0.02</v>
      </c>
      <c r="Y528">
        <v>0</v>
      </c>
      <c r="Z528">
        <v>108.45</v>
      </c>
      <c r="AA528">
        <v>13.03</v>
      </c>
      <c r="AB528">
        <v>0</v>
      </c>
      <c r="AC528">
        <v>0</v>
      </c>
      <c r="AD528">
        <v>1</v>
      </c>
      <c r="AE528">
        <v>0</v>
      </c>
      <c r="AF528" t="s">
        <v>492</v>
      </c>
      <c r="AG528">
        <v>9.1999999999999998E-3</v>
      </c>
      <c r="AH528">
        <v>2</v>
      </c>
      <c r="AI528">
        <v>31029809</v>
      </c>
      <c r="AJ528">
        <v>503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</row>
    <row r="529" spans="1:44">
      <c r="A529">
        <f>ROW(Source!A236)</f>
        <v>236</v>
      </c>
      <c r="B529">
        <v>31029821</v>
      </c>
      <c r="C529">
        <v>31029805</v>
      </c>
      <c r="D529">
        <v>29149520</v>
      </c>
      <c r="E529">
        <v>1</v>
      </c>
      <c r="F529">
        <v>1</v>
      </c>
      <c r="G529">
        <v>1</v>
      </c>
      <c r="H529">
        <v>2</v>
      </c>
      <c r="I529" t="s">
        <v>790</v>
      </c>
      <c r="J529" t="s">
        <v>791</v>
      </c>
      <c r="K529" t="s">
        <v>792</v>
      </c>
      <c r="L529">
        <v>1368</v>
      </c>
      <c r="N529">
        <v>1011</v>
      </c>
      <c r="O529" t="s">
        <v>780</v>
      </c>
      <c r="P529" t="s">
        <v>780</v>
      </c>
      <c r="Q529">
        <v>1</v>
      </c>
      <c r="X529">
        <v>0.02</v>
      </c>
      <c r="Y529">
        <v>0</v>
      </c>
      <c r="Z529">
        <v>91.62</v>
      </c>
      <c r="AA529">
        <v>0</v>
      </c>
      <c r="AB529">
        <v>0</v>
      </c>
      <c r="AC529">
        <v>0</v>
      </c>
      <c r="AD529">
        <v>1</v>
      </c>
      <c r="AE529">
        <v>0</v>
      </c>
      <c r="AF529" t="s">
        <v>492</v>
      </c>
      <c r="AG529">
        <v>9.1999999999999998E-3</v>
      </c>
      <c r="AH529">
        <v>2</v>
      </c>
      <c r="AI529">
        <v>31029810</v>
      </c>
      <c r="AJ529">
        <v>504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</row>
    <row r="530" spans="1:44">
      <c r="A530">
        <f>ROW(Source!A236)</f>
        <v>236</v>
      </c>
      <c r="B530">
        <v>31029822</v>
      </c>
      <c r="C530">
        <v>31029805</v>
      </c>
      <c r="D530">
        <v>29152667</v>
      </c>
      <c r="E530">
        <v>1</v>
      </c>
      <c r="F530">
        <v>1</v>
      </c>
      <c r="G530">
        <v>1</v>
      </c>
      <c r="H530">
        <v>3</v>
      </c>
      <c r="I530" t="s">
        <v>1124</v>
      </c>
      <c r="J530" t="s">
        <v>1125</v>
      </c>
      <c r="K530" t="s">
        <v>1126</v>
      </c>
      <c r="L530">
        <v>1346</v>
      </c>
      <c r="N530">
        <v>1009</v>
      </c>
      <c r="O530" t="s">
        <v>118</v>
      </c>
      <c r="P530" t="s">
        <v>118</v>
      </c>
      <c r="Q530">
        <v>1</v>
      </c>
      <c r="X530">
        <v>4</v>
      </c>
      <c r="Y530">
        <v>18.39</v>
      </c>
      <c r="Z530">
        <v>0</v>
      </c>
      <c r="AA530">
        <v>0</v>
      </c>
      <c r="AB530">
        <v>0</v>
      </c>
      <c r="AC530">
        <v>0</v>
      </c>
      <c r="AD530">
        <v>1</v>
      </c>
      <c r="AE530">
        <v>0</v>
      </c>
      <c r="AF530" t="s">
        <v>24</v>
      </c>
      <c r="AG530">
        <v>0</v>
      </c>
      <c r="AH530">
        <v>2</v>
      </c>
      <c r="AI530">
        <v>31029811</v>
      </c>
      <c r="AJ530">
        <v>505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</row>
    <row r="531" spans="1:44">
      <c r="A531">
        <f>ROW(Source!A236)</f>
        <v>236</v>
      </c>
      <c r="B531">
        <v>31029823</v>
      </c>
      <c r="C531">
        <v>31029805</v>
      </c>
      <c r="D531">
        <v>29152803</v>
      </c>
      <c r="E531">
        <v>1</v>
      </c>
      <c r="F531">
        <v>1</v>
      </c>
      <c r="G531">
        <v>1</v>
      </c>
      <c r="H531">
        <v>3</v>
      </c>
      <c r="I531" t="s">
        <v>1127</v>
      </c>
      <c r="J531" t="s">
        <v>1128</v>
      </c>
      <c r="K531" t="s">
        <v>1129</v>
      </c>
      <c r="L531">
        <v>1348</v>
      </c>
      <c r="N531">
        <v>1009</v>
      </c>
      <c r="O531" t="s">
        <v>137</v>
      </c>
      <c r="P531" t="s">
        <v>137</v>
      </c>
      <c r="Q531">
        <v>1000</v>
      </c>
      <c r="X531">
        <v>2.66E-3</v>
      </c>
      <c r="Y531">
        <v>16117.3</v>
      </c>
      <c r="Z531">
        <v>0</v>
      </c>
      <c r="AA531">
        <v>0</v>
      </c>
      <c r="AB531">
        <v>0</v>
      </c>
      <c r="AC531">
        <v>0</v>
      </c>
      <c r="AD531">
        <v>1</v>
      </c>
      <c r="AE531">
        <v>0</v>
      </c>
      <c r="AF531" t="s">
        <v>24</v>
      </c>
      <c r="AG531">
        <v>0</v>
      </c>
      <c r="AH531">
        <v>2</v>
      </c>
      <c r="AI531">
        <v>31029812</v>
      </c>
      <c r="AJ531">
        <v>506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</row>
    <row r="532" spans="1:44">
      <c r="A532">
        <f>ROW(Source!A236)</f>
        <v>236</v>
      </c>
      <c r="B532">
        <v>31029824</v>
      </c>
      <c r="C532">
        <v>31029805</v>
      </c>
      <c r="D532">
        <v>29183872</v>
      </c>
      <c r="E532">
        <v>1</v>
      </c>
      <c r="F532">
        <v>1</v>
      </c>
      <c r="G532">
        <v>1</v>
      </c>
      <c r="H532">
        <v>3</v>
      </c>
      <c r="I532" t="s">
        <v>1115</v>
      </c>
      <c r="J532" t="s">
        <v>1116</v>
      </c>
      <c r="K532" t="s">
        <v>1117</v>
      </c>
      <c r="L532">
        <v>1346</v>
      </c>
      <c r="N532">
        <v>1009</v>
      </c>
      <c r="O532" t="s">
        <v>118</v>
      </c>
      <c r="P532" t="s">
        <v>118</v>
      </c>
      <c r="Q532">
        <v>1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1</v>
      </c>
      <c r="AD532">
        <v>0</v>
      </c>
      <c r="AE532">
        <v>0</v>
      </c>
      <c r="AF532" t="s">
        <v>24</v>
      </c>
      <c r="AG532">
        <v>0</v>
      </c>
      <c r="AH532">
        <v>2</v>
      </c>
      <c r="AI532">
        <v>31029813</v>
      </c>
      <c r="AJ532">
        <v>507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</row>
    <row r="533" spans="1:44">
      <c r="A533">
        <f>ROW(Source!A236)</f>
        <v>236</v>
      </c>
      <c r="B533">
        <v>31029825</v>
      </c>
      <c r="C533">
        <v>31029805</v>
      </c>
      <c r="D533">
        <v>29185677</v>
      </c>
      <c r="E533">
        <v>1</v>
      </c>
      <c r="F533">
        <v>1</v>
      </c>
      <c r="G533">
        <v>1</v>
      </c>
      <c r="H533">
        <v>3</v>
      </c>
      <c r="I533" t="s">
        <v>1136</v>
      </c>
      <c r="J533" t="s">
        <v>1137</v>
      </c>
      <c r="K533" t="s">
        <v>1138</v>
      </c>
      <c r="L533">
        <v>1301</v>
      </c>
      <c r="N533">
        <v>1003</v>
      </c>
      <c r="O533" t="s">
        <v>315</v>
      </c>
      <c r="P533" t="s">
        <v>315</v>
      </c>
      <c r="Q533">
        <v>1</v>
      </c>
      <c r="X533">
        <v>99.8</v>
      </c>
      <c r="Y533">
        <v>64.53</v>
      </c>
      <c r="Z533">
        <v>0</v>
      </c>
      <c r="AA533">
        <v>0</v>
      </c>
      <c r="AB533">
        <v>0</v>
      </c>
      <c r="AC533">
        <v>0</v>
      </c>
      <c r="AD533">
        <v>1</v>
      </c>
      <c r="AE533">
        <v>0</v>
      </c>
      <c r="AF533" t="s">
        <v>24</v>
      </c>
      <c r="AG533">
        <v>0</v>
      </c>
      <c r="AH533">
        <v>2</v>
      </c>
      <c r="AI533">
        <v>31029814</v>
      </c>
      <c r="AJ533">
        <v>508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</row>
    <row r="534" spans="1:44">
      <c r="A534">
        <f>ROW(Source!A236)</f>
        <v>236</v>
      </c>
      <c r="B534">
        <v>31029826</v>
      </c>
      <c r="C534">
        <v>31029805</v>
      </c>
      <c r="D534">
        <v>29185708</v>
      </c>
      <c r="E534">
        <v>1</v>
      </c>
      <c r="F534">
        <v>1</v>
      </c>
      <c r="G534">
        <v>1</v>
      </c>
      <c r="H534">
        <v>3</v>
      </c>
      <c r="I534" t="s">
        <v>1133</v>
      </c>
      <c r="J534" t="s">
        <v>1134</v>
      </c>
      <c r="K534" t="s">
        <v>1135</v>
      </c>
      <c r="L534">
        <v>1354</v>
      </c>
      <c r="N534">
        <v>1010</v>
      </c>
      <c r="O534" t="s">
        <v>704</v>
      </c>
      <c r="P534" t="s">
        <v>704</v>
      </c>
      <c r="Q534">
        <v>1</v>
      </c>
      <c r="X534">
        <v>0</v>
      </c>
      <c r="Y534">
        <v>0</v>
      </c>
      <c r="Z534">
        <v>0</v>
      </c>
      <c r="AA534">
        <v>0</v>
      </c>
      <c r="AB534">
        <v>0</v>
      </c>
      <c r="AC534">
        <v>1</v>
      </c>
      <c r="AD534">
        <v>0</v>
      </c>
      <c r="AE534">
        <v>0</v>
      </c>
      <c r="AF534" t="s">
        <v>24</v>
      </c>
      <c r="AG534">
        <v>0</v>
      </c>
      <c r="AH534">
        <v>2</v>
      </c>
      <c r="AI534">
        <v>31029815</v>
      </c>
      <c r="AJ534">
        <v>509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</row>
    <row r="535" spans="1:44">
      <c r="A535">
        <f>ROW(Source!A236)</f>
        <v>236</v>
      </c>
      <c r="B535">
        <v>31029827</v>
      </c>
      <c r="C535">
        <v>31029805</v>
      </c>
      <c r="D535">
        <v>29195171</v>
      </c>
      <c r="E535">
        <v>1</v>
      </c>
      <c r="F535">
        <v>1</v>
      </c>
      <c r="G535">
        <v>1</v>
      </c>
      <c r="H535">
        <v>3</v>
      </c>
      <c r="I535" t="s">
        <v>830</v>
      </c>
      <c r="J535" t="s">
        <v>831</v>
      </c>
      <c r="K535" t="s">
        <v>832</v>
      </c>
      <c r="L535">
        <v>1339</v>
      </c>
      <c r="N535">
        <v>1007</v>
      </c>
      <c r="O535" t="s">
        <v>109</v>
      </c>
      <c r="P535" t="s">
        <v>109</v>
      </c>
      <c r="Q535">
        <v>1</v>
      </c>
      <c r="X535">
        <v>1.57</v>
      </c>
      <c r="Y535">
        <v>2.4500000000000002</v>
      </c>
      <c r="Z535">
        <v>0</v>
      </c>
      <c r="AA535">
        <v>0</v>
      </c>
      <c r="AB535">
        <v>0</v>
      </c>
      <c r="AC535">
        <v>0</v>
      </c>
      <c r="AD535">
        <v>1</v>
      </c>
      <c r="AE535">
        <v>0</v>
      </c>
      <c r="AF535" t="s">
        <v>24</v>
      </c>
      <c r="AG535">
        <v>0</v>
      </c>
      <c r="AH535">
        <v>2</v>
      </c>
      <c r="AI535">
        <v>31029816</v>
      </c>
      <c r="AJ535">
        <v>510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</row>
    <row r="536" spans="1:44">
      <c r="A536">
        <f>ROW(Source!A237)</f>
        <v>237</v>
      </c>
      <c r="B536">
        <v>31029832</v>
      </c>
      <c r="C536">
        <v>31029828</v>
      </c>
      <c r="D536">
        <v>29084591</v>
      </c>
      <c r="E536">
        <v>1</v>
      </c>
      <c r="F536">
        <v>1</v>
      </c>
      <c r="G536">
        <v>1</v>
      </c>
      <c r="H536">
        <v>1</v>
      </c>
      <c r="I536" t="s">
        <v>1139</v>
      </c>
      <c r="J536" t="s">
        <v>6</v>
      </c>
      <c r="K536" t="s">
        <v>1140</v>
      </c>
      <c r="L536">
        <v>1369</v>
      </c>
      <c r="N536">
        <v>1013</v>
      </c>
      <c r="O536" t="s">
        <v>773</v>
      </c>
      <c r="P536" t="s">
        <v>773</v>
      </c>
      <c r="Q536">
        <v>1</v>
      </c>
      <c r="X536">
        <v>29.3</v>
      </c>
      <c r="Y536">
        <v>0</v>
      </c>
      <c r="Z536">
        <v>0</v>
      </c>
      <c r="AA536">
        <v>0</v>
      </c>
      <c r="AB536">
        <v>7.29</v>
      </c>
      <c r="AC536">
        <v>0</v>
      </c>
      <c r="AD536">
        <v>1</v>
      </c>
      <c r="AE536">
        <v>1</v>
      </c>
      <c r="AF536" t="s">
        <v>36</v>
      </c>
      <c r="AG536">
        <v>33.695</v>
      </c>
      <c r="AH536">
        <v>2</v>
      </c>
      <c r="AI536">
        <v>31029829</v>
      </c>
      <c r="AJ536">
        <v>511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</row>
    <row r="537" spans="1:44">
      <c r="A537">
        <f>ROW(Source!A237)</f>
        <v>237</v>
      </c>
      <c r="B537">
        <v>31029833</v>
      </c>
      <c r="C537">
        <v>31029828</v>
      </c>
      <c r="D537">
        <v>29084573</v>
      </c>
      <c r="E537">
        <v>1</v>
      </c>
      <c r="F537">
        <v>1</v>
      </c>
      <c r="G537">
        <v>1</v>
      </c>
      <c r="H537">
        <v>1</v>
      </c>
      <c r="I537" t="s">
        <v>774</v>
      </c>
      <c r="J537" t="s">
        <v>6</v>
      </c>
      <c r="K537" t="s">
        <v>775</v>
      </c>
      <c r="L537">
        <v>608254</v>
      </c>
      <c r="N537">
        <v>1013</v>
      </c>
      <c r="O537" t="s">
        <v>776</v>
      </c>
      <c r="P537" t="s">
        <v>776</v>
      </c>
      <c r="Q537">
        <v>1</v>
      </c>
      <c r="X537">
        <v>6.84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1</v>
      </c>
      <c r="AE537">
        <v>2</v>
      </c>
      <c r="AF537" t="s">
        <v>36</v>
      </c>
      <c r="AG537">
        <v>7.8659999999999997</v>
      </c>
      <c r="AH537">
        <v>2</v>
      </c>
      <c r="AI537">
        <v>31029830</v>
      </c>
      <c r="AJ537">
        <v>512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</row>
    <row r="538" spans="1:44">
      <c r="A538">
        <f>ROW(Source!A237)</f>
        <v>237</v>
      </c>
      <c r="B538">
        <v>31029834</v>
      </c>
      <c r="C538">
        <v>31029828</v>
      </c>
      <c r="D538">
        <v>29147732</v>
      </c>
      <c r="E538">
        <v>1</v>
      </c>
      <c r="F538">
        <v>1</v>
      </c>
      <c r="G538">
        <v>1</v>
      </c>
      <c r="H538">
        <v>2</v>
      </c>
      <c r="I538" t="s">
        <v>846</v>
      </c>
      <c r="J538" t="s">
        <v>847</v>
      </c>
      <c r="K538" t="s">
        <v>848</v>
      </c>
      <c r="L538">
        <v>1368</v>
      </c>
      <c r="N538">
        <v>1011</v>
      </c>
      <c r="O538" t="s">
        <v>780</v>
      </c>
      <c r="P538" t="s">
        <v>780</v>
      </c>
      <c r="Q538">
        <v>1</v>
      </c>
      <c r="X538">
        <v>6.84</v>
      </c>
      <c r="Y538">
        <v>0</v>
      </c>
      <c r="Z538">
        <v>30.85</v>
      </c>
      <c r="AA538">
        <v>13.03</v>
      </c>
      <c r="AB538">
        <v>0</v>
      </c>
      <c r="AC538">
        <v>0</v>
      </c>
      <c r="AD538">
        <v>1</v>
      </c>
      <c r="AE538">
        <v>0</v>
      </c>
      <c r="AF538" t="s">
        <v>36</v>
      </c>
      <c r="AG538">
        <v>7.8659999999999997</v>
      </c>
      <c r="AH538">
        <v>2</v>
      </c>
      <c r="AI538">
        <v>31029831</v>
      </c>
      <c r="AJ538">
        <v>513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</row>
    <row r="539" spans="1:44">
      <c r="A539">
        <f>ROW(Source!A238)</f>
        <v>238</v>
      </c>
      <c r="B539">
        <v>31029840</v>
      </c>
      <c r="C539">
        <v>31029835</v>
      </c>
      <c r="D539">
        <v>29084583</v>
      </c>
      <c r="E539">
        <v>1</v>
      </c>
      <c r="F539">
        <v>1</v>
      </c>
      <c r="G539">
        <v>1</v>
      </c>
      <c r="H539">
        <v>1</v>
      </c>
      <c r="I539" t="s">
        <v>857</v>
      </c>
      <c r="J539" t="s">
        <v>6</v>
      </c>
      <c r="K539" t="s">
        <v>858</v>
      </c>
      <c r="L539">
        <v>1369</v>
      </c>
      <c r="N539">
        <v>1013</v>
      </c>
      <c r="O539" t="s">
        <v>773</v>
      </c>
      <c r="P539" t="s">
        <v>773</v>
      </c>
      <c r="Q539">
        <v>1</v>
      </c>
      <c r="X539">
        <v>69.87</v>
      </c>
      <c r="Y539">
        <v>0</v>
      </c>
      <c r="Z539">
        <v>0</v>
      </c>
      <c r="AA539">
        <v>0</v>
      </c>
      <c r="AB539">
        <v>8.23</v>
      </c>
      <c r="AC539">
        <v>0</v>
      </c>
      <c r="AD539">
        <v>1</v>
      </c>
      <c r="AE539">
        <v>1</v>
      </c>
      <c r="AF539" t="s">
        <v>36</v>
      </c>
      <c r="AG539">
        <v>80.350499999999997</v>
      </c>
      <c r="AH539">
        <v>2</v>
      </c>
      <c r="AI539">
        <v>31029836</v>
      </c>
      <c r="AJ539">
        <v>514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</row>
    <row r="540" spans="1:44">
      <c r="A540">
        <f>ROW(Source!A238)</f>
        <v>238</v>
      </c>
      <c r="B540">
        <v>31029841</v>
      </c>
      <c r="C540">
        <v>31029835</v>
      </c>
      <c r="D540">
        <v>29084573</v>
      </c>
      <c r="E540">
        <v>1</v>
      </c>
      <c r="F540">
        <v>1</v>
      </c>
      <c r="G540">
        <v>1</v>
      </c>
      <c r="H540">
        <v>1</v>
      </c>
      <c r="I540" t="s">
        <v>774</v>
      </c>
      <c r="J540" t="s">
        <v>6</v>
      </c>
      <c r="K540" t="s">
        <v>775</v>
      </c>
      <c r="L540">
        <v>608254</v>
      </c>
      <c r="N540">
        <v>1013</v>
      </c>
      <c r="O540" t="s">
        <v>776</v>
      </c>
      <c r="P540" t="s">
        <v>776</v>
      </c>
      <c r="Q540">
        <v>1</v>
      </c>
      <c r="X540">
        <v>1.44</v>
      </c>
      <c r="Y540">
        <v>0</v>
      </c>
      <c r="Z540">
        <v>0</v>
      </c>
      <c r="AA540">
        <v>0</v>
      </c>
      <c r="AB540">
        <v>0</v>
      </c>
      <c r="AC540">
        <v>0</v>
      </c>
      <c r="AD540">
        <v>1</v>
      </c>
      <c r="AE540">
        <v>2</v>
      </c>
      <c r="AF540" t="s">
        <v>36</v>
      </c>
      <c r="AG540">
        <v>1.6559999999999999</v>
      </c>
      <c r="AH540">
        <v>2</v>
      </c>
      <c r="AI540">
        <v>31029837</v>
      </c>
      <c r="AJ540">
        <v>515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</row>
    <row r="541" spans="1:44">
      <c r="A541">
        <f>ROW(Source!A238)</f>
        <v>238</v>
      </c>
      <c r="B541">
        <v>31029842</v>
      </c>
      <c r="C541">
        <v>31029835</v>
      </c>
      <c r="D541">
        <v>29147732</v>
      </c>
      <c r="E541">
        <v>1</v>
      </c>
      <c r="F541">
        <v>1</v>
      </c>
      <c r="G541">
        <v>1</v>
      </c>
      <c r="H541">
        <v>2</v>
      </c>
      <c r="I541" t="s">
        <v>846</v>
      </c>
      <c r="J541" t="s">
        <v>847</v>
      </c>
      <c r="K541" t="s">
        <v>848</v>
      </c>
      <c r="L541">
        <v>1368</v>
      </c>
      <c r="N541">
        <v>1011</v>
      </c>
      <c r="O541" t="s">
        <v>780</v>
      </c>
      <c r="P541" t="s">
        <v>780</v>
      </c>
      <c r="Q541">
        <v>1</v>
      </c>
      <c r="X541">
        <v>1.44</v>
      </c>
      <c r="Y541">
        <v>0</v>
      </c>
      <c r="Z541">
        <v>30.85</v>
      </c>
      <c r="AA541">
        <v>13.03</v>
      </c>
      <c r="AB541">
        <v>0</v>
      </c>
      <c r="AC541">
        <v>0</v>
      </c>
      <c r="AD541">
        <v>1</v>
      </c>
      <c r="AE541">
        <v>0</v>
      </c>
      <c r="AF541" t="s">
        <v>36</v>
      </c>
      <c r="AG541">
        <v>1.6559999999999999</v>
      </c>
      <c r="AH541">
        <v>2</v>
      </c>
      <c r="AI541">
        <v>31029838</v>
      </c>
      <c r="AJ541">
        <v>516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</row>
    <row r="542" spans="1:44">
      <c r="A542">
        <f>ROW(Source!A238)</f>
        <v>238</v>
      </c>
      <c r="B542">
        <v>31029843</v>
      </c>
      <c r="C542">
        <v>31029835</v>
      </c>
      <c r="D542">
        <v>29215982</v>
      </c>
      <c r="E542">
        <v>1</v>
      </c>
      <c r="F542">
        <v>1</v>
      </c>
      <c r="G542">
        <v>1</v>
      </c>
      <c r="H542">
        <v>3</v>
      </c>
      <c r="I542" t="s">
        <v>825</v>
      </c>
      <c r="J542" t="s">
        <v>826</v>
      </c>
      <c r="K542" t="s">
        <v>827</v>
      </c>
      <c r="L542">
        <v>1348</v>
      </c>
      <c r="N542">
        <v>1009</v>
      </c>
      <c r="O542" t="s">
        <v>137</v>
      </c>
      <c r="P542" t="s">
        <v>137</v>
      </c>
      <c r="Q542">
        <v>1000</v>
      </c>
      <c r="X542">
        <v>5.2</v>
      </c>
      <c r="Y542">
        <v>0</v>
      </c>
      <c r="Z542">
        <v>0</v>
      </c>
      <c r="AA542">
        <v>0</v>
      </c>
      <c r="AB542">
        <v>0</v>
      </c>
      <c r="AC542">
        <v>0</v>
      </c>
      <c r="AD542">
        <v>0</v>
      </c>
      <c r="AE542">
        <v>0</v>
      </c>
      <c r="AF542" t="s">
        <v>6</v>
      </c>
      <c r="AG542">
        <v>5.2</v>
      </c>
      <c r="AH542">
        <v>2</v>
      </c>
      <c r="AI542">
        <v>31029839</v>
      </c>
      <c r="AJ542">
        <v>517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</row>
    <row r="543" spans="1:44">
      <c r="A543">
        <f>ROW(Source!A239)</f>
        <v>239</v>
      </c>
      <c r="B543">
        <v>31029859</v>
      </c>
      <c r="C543">
        <v>31029844</v>
      </c>
      <c r="D543">
        <v>29084584</v>
      </c>
      <c r="E543">
        <v>1</v>
      </c>
      <c r="F543">
        <v>1</v>
      </c>
      <c r="G543">
        <v>1</v>
      </c>
      <c r="H543">
        <v>1</v>
      </c>
      <c r="I543" t="s">
        <v>898</v>
      </c>
      <c r="J543" t="s">
        <v>6</v>
      </c>
      <c r="K543" t="s">
        <v>899</v>
      </c>
      <c r="L543">
        <v>1369</v>
      </c>
      <c r="N543">
        <v>1013</v>
      </c>
      <c r="O543" t="s">
        <v>773</v>
      </c>
      <c r="P543" t="s">
        <v>773</v>
      </c>
      <c r="Q543">
        <v>1</v>
      </c>
      <c r="X543">
        <v>202.93</v>
      </c>
      <c r="Y543">
        <v>0</v>
      </c>
      <c r="Z543">
        <v>0</v>
      </c>
      <c r="AA543">
        <v>0</v>
      </c>
      <c r="AB543">
        <v>8.33</v>
      </c>
      <c r="AC543">
        <v>0</v>
      </c>
      <c r="AD543">
        <v>1</v>
      </c>
      <c r="AE543">
        <v>1</v>
      </c>
      <c r="AF543" t="s">
        <v>36</v>
      </c>
      <c r="AG543">
        <v>233.36949999999999</v>
      </c>
      <c r="AH543">
        <v>2</v>
      </c>
      <c r="AI543">
        <v>31029845</v>
      </c>
      <c r="AJ543">
        <v>518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</row>
    <row r="544" spans="1:44">
      <c r="A544">
        <f>ROW(Source!A239)</f>
        <v>239</v>
      </c>
      <c r="B544">
        <v>31029860</v>
      </c>
      <c r="C544">
        <v>31029844</v>
      </c>
      <c r="D544">
        <v>29084573</v>
      </c>
      <c r="E544">
        <v>1</v>
      </c>
      <c r="F544">
        <v>1</v>
      </c>
      <c r="G544">
        <v>1</v>
      </c>
      <c r="H544">
        <v>1</v>
      </c>
      <c r="I544" t="s">
        <v>774</v>
      </c>
      <c r="J544" t="s">
        <v>6</v>
      </c>
      <c r="K544" t="s">
        <v>775</v>
      </c>
      <c r="L544">
        <v>608254</v>
      </c>
      <c r="N544">
        <v>1013</v>
      </c>
      <c r="O544" t="s">
        <v>776</v>
      </c>
      <c r="P544" t="s">
        <v>776</v>
      </c>
      <c r="Q544">
        <v>1</v>
      </c>
      <c r="X544">
        <v>0.76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1</v>
      </c>
      <c r="AE544">
        <v>2</v>
      </c>
      <c r="AF544" t="s">
        <v>36</v>
      </c>
      <c r="AG544">
        <v>0.87399999999999989</v>
      </c>
      <c r="AH544">
        <v>2</v>
      </c>
      <c r="AI544">
        <v>31029846</v>
      </c>
      <c r="AJ544">
        <v>519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</row>
    <row r="545" spans="1:44">
      <c r="A545">
        <f>ROW(Source!A239)</f>
        <v>239</v>
      </c>
      <c r="B545">
        <v>31029861</v>
      </c>
      <c r="C545">
        <v>31029844</v>
      </c>
      <c r="D545">
        <v>29147601</v>
      </c>
      <c r="E545">
        <v>1</v>
      </c>
      <c r="F545">
        <v>1</v>
      </c>
      <c r="G545">
        <v>1</v>
      </c>
      <c r="H545">
        <v>2</v>
      </c>
      <c r="I545" t="s">
        <v>781</v>
      </c>
      <c r="J545" t="s">
        <v>782</v>
      </c>
      <c r="K545" t="s">
        <v>783</v>
      </c>
      <c r="L545">
        <v>1368</v>
      </c>
      <c r="N545">
        <v>1011</v>
      </c>
      <c r="O545" t="s">
        <v>780</v>
      </c>
      <c r="P545" t="s">
        <v>780</v>
      </c>
      <c r="Q545">
        <v>1</v>
      </c>
      <c r="X545">
        <v>0.76</v>
      </c>
      <c r="Y545">
        <v>0</v>
      </c>
      <c r="Z545">
        <v>108.45</v>
      </c>
      <c r="AA545">
        <v>13.03</v>
      </c>
      <c r="AB545">
        <v>0</v>
      </c>
      <c r="AC545">
        <v>0</v>
      </c>
      <c r="AD545">
        <v>1</v>
      </c>
      <c r="AE545">
        <v>0</v>
      </c>
      <c r="AF545" t="s">
        <v>36</v>
      </c>
      <c r="AG545">
        <v>0.87399999999999989</v>
      </c>
      <c r="AH545">
        <v>2</v>
      </c>
      <c r="AI545">
        <v>31029847</v>
      </c>
      <c r="AJ545">
        <v>520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</row>
    <row r="546" spans="1:44">
      <c r="A546">
        <f>ROW(Source!A239)</f>
        <v>239</v>
      </c>
      <c r="B546">
        <v>31029862</v>
      </c>
      <c r="C546">
        <v>31029844</v>
      </c>
      <c r="D546">
        <v>29147807</v>
      </c>
      <c r="E546">
        <v>1</v>
      </c>
      <c r="F546">
        <v>1</v>
      </c>
      <c r="G546">
        <v>1</v>
      </c>
      <c r="H546">
        <v>2</v>
      </c>
      <c r="I546" t="s">
        <v>1050</v>
      </c>
      <c r="J546" t="s">
        <v>1051</v>
      </c>
      <c r="K546" t="s">
        <v>1052</v>
      </c>
      <c r="L546">
        <v>1368</v>
      </c>
      <c r="N546">
        <v>1011</v>
      </c>
      <c r="O546" t="s">
        <v>780</v>
      </c>
      <c r="P546" t="s">
        <v>780</v>
      </c>
      <c r="Q546">
        <v>1</v>
      </c>
      <c r="X546">
        <v>1.83</v>
      </c>
      <c r="Y546">
        <v>0</v>
      </c>
      <c r="Z546">
        <v>1.2</v>
      </c>
      <c r="AA546">
        <v>0</v>
      </c>
      <c r="AB546">
        <v>0</v>
      </c>
      <c r="AC546">
        <v>0</v>
      </c>
      <c r="AD546">
        <v>1</v>
      </c>
      <c r="AE546">
        <v>0</v>
      </c>
      <c r="AF546" t="s">
        <v>36</v>
      </c>
      <c r="AG546">
        <v>2.1044999999999998</v>
      </c>
      <c r="AH546">
        <v>2</v>
      </c>
      <c r="AI546">
        <v>31029848</v>
      </c>
      <c r="AJ546">
        <v>521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</row>
    <row r="547" spans="1:44">
      <c r="A547">
        <f>ROW(Source!A239)</f>
        <v>239</v>
      </c>
      <c r="B547">
        <v>31029863</v>
      </c>
      <c r="C547">
        <v>31029844</v>
      </c>
      <c r="D547">
        <v>29149183</v>
      </c>
      <c r="E547">
        <v>1</v>
      </c>
      <c r="F547">
        <v>1</v>
      </c>
      <c r="G547">
        <v>1</v>
      </c>
      <c r="H547">
        <v>2</v>
      </c>
      <c r="I547" t="s">
        <v>983</v>
      </c>
      <c r="J547" t="s">
        <v>984</v>
      </c>
      <c r="K547" t="s">
        <v>985</v>
      </c>
      <c r="L547">
        <v>1368</v>
      </c>
      <c r="N547">
        <v>1011</v>
      </c>
      <c r="O547" t="s">
        <v>780</v>
      </c>
      <c r="P547" t="s">
        <v>780</v>
      </c>
      <c r="Q547">
        <v>1</v>
      </c>
      <c r="X547">
        <v>5.6</v>
      </c>
      <c r="Y547">
        <v>0</v>
      </c>
      <c r="Z547">
        <v>1.95</v>
      </c>
      <c r="AA547">
        <v>0</v>
      </c>
      <c r="AB547">
        <v>0</v>
      </c>
      <c r="AC547">
        <v>0</v>
      </c>
      <c r="AD547">
        <v>1</v>
      </c>
      <c r="AE547">
        <v>0</v>
      </c>
      <c r="AF547" t="s">
        <v>36</v>
      </c>
      <c r="AG547">
        <v>6.4399999999999995</v>
      </c>
      <c r="AH547">
        <v>2</v>
      </c>
      <c r="AI547">
        <v>31029849</v>
      </c>
      <c r="AJ547">
        <v>522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</row>
    <row r="548" spans="1:44">
      <c r="A548">
        <f>ROW(Source!A239)</f>
        <v>239</v>
      </c>
      <c r="B548">
        <v>31029864</v>
      </c>
      <c r="C548">
        <v>31029844</v>
      </c>
      <c r="D548">
        <v>29149520</v>
      </c>
      <c r="E548">
        <v>1</v>
      </c>
      <c r="F548">
        <v>1</v>
      </c>
      <c r="G548">
        <v>1</v>
      </c>
      <c r="H548">
        <v>2</v>
      </c>
      <c r="I548" t="s">
        <v>790</v>
      </c>
      <c r="J548" t="s">
        <v>791</v>
      </c>
      <c r="K548" t="s">
        <v>792</v>
      </c>
      <c r="L548">
        <v>1368</v>
      </c>
      <c r="N548">
        <v>1011</v>
      </c>
      <c r="O548" t="s">
        <v>780</v>
      </c>
      <c r="P548" t="s">
        <v>780</v>
      </c>
      <c r="Q548">
        <v>1</v>
      </c>
      <c r="X548">
        <v>0.2</v>
      </c>
      <c r="Y548">
        <v>0</v>
      </c>
      <c r="Z548">
        <v>91.62</v>
      </c>
      <c r="AA548">
        <v>0</v>
      </c>
      <c r="AB548">
        <v>0</v>
      </c>
      <c r="AC548">
        <v>0</v>
      </c>
      <c r="AD548">
        <v>1</v>
      </c>
      <c r="AE548">
        <v>0</v>
      </c>
      <c r="AF548" t="s">
        <v>36</v>
      </c>
      <c r="AG548">
        <v>0.22999999999999998</v>
      </c>
      <c r="AH548">
        <v>2</v>
      </c>
      <c r="AI548">
        <v>31029850</v>
      </c>
      <c r="AJ548">
        <v>523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</row>
    <row r="549" spans="1:44">
      <c r="A549">
        <f>ROW(Source!A239)</f>
        <v>239</v>
      </c>
      <c r="B549">
        <v>31029865</v>
      </c>
      <c r="C549">
        <v>31029844</v>
      </c>
      <c r="D549">
        <v>29150682</v>
      </c>
      <c r="E549">
        <v>1</v>
      </c>
      <c r="F549">
        <v>1</v>
      </c>
      <c r="G549">
        <v>1</v>
      </c>
      <c r="H549">
        <v>3</v>
      </c>
      <c r="I549" t="s">
        <v>1059</v>
      </c>
      <c r="J549" t="s">
        <v>1060</v>
      </c>
      <c r="K549" t="s">
        <v>1061</v>
      </c>
      <c r="L549">
        <v>1339</v>
      </c>
      <c r="N549">
        <v>1007</v>
      </c>
      <c r="O549" t="s">
        <v>109</v>
      </c>
      <c r="P549" t="s">
        <v>109</v>
      </c>
      <c r="Q549">
        <v>1</v>
      </c>
      <c r="X549">
        <v>1.77</v>
      </c>
      <c r="Y549">
        <v>6.22</v>
      </c>
      <c r="Z549">
        <v>0</v>
      </c>
      <c r="AA549">
        <v>0</v>
      </c>
      <c r="AB549">
        <v>0</v>
      </c>
      <c r="AC549">
        <v>0</v>
      </c>
      <c r="AD549">
        <v>1</v>
      </c>
      <c r="AE549">
        <v>0</v>
      </c>
      <c r="AF549" t="s">
        <v>6</v>
      </c>
      <c r="AG549">
        <v>1.77</v>
      </c>
      <c r="AH549">
        <v>2</v>
      </c>
      <c r="AI549">
        <v>31029851</v>
      </c>
      <c r="AJ549">
        <v>524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</row>
    <row r="550" spans="1:44">
      <c r="A550">
        <f>ROW(Source!A239)</f>
        <v>239</v>
      </c>
      <c r="B550">
        <v>31029866</v>
      </c>
      <c r="C550">
        <v>31029844</v>
      </c>
      <c r="D550">
        <v>29151973</v>
      </c>
      <c r="E550">
        <v>1</v>
      </c>
      <c r="F550">
        <v>1</v>
      </c>
      <c r="G550">
        <v>1</v>
      </c>
      <c r="H550">
        <v>3</v>
      </c>
      <c r="I550" t="s">
        <v>992</v>
      </c>
      <c r="J550" t="s">
        <v>993</v>
      </c>
      <c r="K550" t="s">
        <v>994</v>
      </c>
      <c r="L550">
        <v>1348</v>
      </c>
      <c r="N550">
        <v>1009</v>
      </c>
      <c r="O550" t="s">
        <v>137</v>
      </c>
      <c r="P550" t="s">
        <v>137</v>
      </c>
      <c r="Q550">
        <v>1000</v>
      </c>
      <c r="X550">
        <v>0.05</v>
      </c>
      <c r="Y550">
        <v>9824.7000000000007</v>
      </c>
      <c r="Z550">
        <v>0</v>
      </c>
      <c r="AA550">
        <v>0</v>
      </c>
      <c r="AB550">
        <v>0</v>
      </c>
      <c r="AC550">
        <v>0</v>
      </c>
      <c r="AD550">
        <v>1</v>
      </c>
      <c r="AE550">
        <v>0</v>
      </c>
      <c r="AF550" t="s">
        <v>6</v>
      </c>
      <c r="AG550">
        <v>0.05</v>
      </c>
      <c r="AH550">
        <v>2</v>
      </c>
      <c r="AI550">
        <v>31029852</v>
      </c>
      <c r="AJ550">
        <v>525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</row>
    <row r="551" spans="1:44">
      <c r="A551">
        <f>ROW(Source!A239)</f>
        <v>239</v>
      </c>
      <c r="B551">
        <v>31029867</v>
      </c>
      <c r="C551">
        <v>31029844</v>
      </c>
      <c r="D551">
        <v>29152114</v>
      </c>
      <c r="E551">
        <v>1</v>
      </c>
      <c r="F551">
        <v>1</v>
      </c>
      <c r="G551">
        <v>1</v>
      </c>
      <c r="H551">
        <v>3</v>
      </c>
      <c r="I551" t="s">
        <v>1141</v>
      </c>
      <c r="J551" t="s">
        <v>1142</v>
      </c>
      <c r="K551" t="s">
        <v>1143</v>
      </c>
      <c r="L551">
        <v>1348</v>
      </c>
      <c r="N551">
        <v>1009</v>
      </c>
      <c r="O551" t="s">
        <v>137</v>
      </c>
      <c r="P551" t="s">
        <v>137</v>
      </c>
      <c r="Q551">
        <v>1000</v>
      </c>
      <c r="X551">
        <v>0.48</v>
      </c>
      <c r="Y551">
        <v>6470.49</v>
      </c>
      <c r="Z551">
        <v>0</v>
      </c>
      <c r="AA551">
        <v>0</v>
      </c>
      <c r="AB551">
        <v>0</v>
      </c>
      <c r="AC551">
        <v>0</v>
      </c>
      <c r="AD551">
        <v>1</v>
      </c>
      <c r="AE551">
        <v>0</v>
      </c>
      <c r="AF551" t="s">
        <v>6</v>
      </c>
      <c r="AG551">
        <v>0.48</v>
      </c>
      <c r="AH551">
        <v>2</v>
      </c>
      <c r="AI551">
        <v>31029853</v>
      </c>
      <c r="AJ551">
        <v>526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</row>
    <row r="552" spans="1:44">
      <c r="A552">
        <f>ROW(Source!A239)</f>
        <v>239</v>
      </c>
      <c r="B552">
        <v>31029868</v>
      </c>
      <c r="C552">
        <v>31029844</v>
      </c>
      <c r="D552">
        <v>29152475</v>
      </c>
      <c r="E552">
        <v>1</v>
      </c>
      <c r="F552">
        <v>1</v>
      </c>
      <c r="G552">
        <v>1</v>
      </c>
      <c r="H552">
        <v>3</v>
      </c>
      <c r="I552" t="s">
        <v>1071</v>
      </c>
      <c r="J552" t="s">
        <v>1072</v>
      </c>
      <c r="K552" t="s">
        <v>1073</v>
      </c>
      <c r="L552">
        <v>1346</v>
      </c>
      <c r="N552">
        <v>1009</v>
      </c>
      <c r="O552" t="s">
        <v>118</v>
      </c>
      <c r="P552" t="s">
        <v>118</v>
      </c>
      <c r="Q552">
        <v>1</v>
      </c>
      <c r="X552">
        <v>0.15</v>
      </c>
      <c r="Y552">
        <v>6.09</v>
      </c>
      <c r="Z552">
        <v>0</v>
      </c>
      <c r="AA552">
        <v>0</v>
      </c>
      <c r="AB552">
        <v>0</v>
      </c>
      <c r="AC552">
        <v>0</v>
      </c>
      <c r="AD552">
        <v>1</v>
      </c>
      <c r="AE552">
        <v>0</v>
      </c>
      <c r="AF552" t="s">
        <v>6</v>
      </c>
      <c r="AG552">
        <v>0.15</v>
      </c>
      <c r="AH552">
        <v>2</v>
      </c>
      <c r="AI552">
        <v>31029854</v>
      </c>
      <c r="AJ552">
        <v>527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</row>
    <row r="553" spans="1:44">
      <c r="A553">
        <f>ROW(Source!A239)</f>
        <v>239</v>
      </c>
      <c r="B553">
        <v>31029869</v>
      </c>
      <c r="C553">
        <v>31029844</v>
      </c>
      <c r="D553">
        <v>29158139</v>
      </c>
      <c r="E553">
        <v>1</v>
      </c>
      <c r="F553">
        <v>1</v>
      </c>
      <c r="G553">
        <v>1</v>
      </c>
      <c r="H553">
        <v>3</v>
      </c>
      <c r="I553" t="s">
        <v>1144</v>
      </c>
      <c r="J553" t="s">
        <v>1145</v>
      </c>
      <c r="K553" t="s">
        <v>1146</v>
      </c>
      <c r="L553">
        <v>1339</v>
      </c>
      <c r="N553">
        <v>1007</v>
      </c>
      <c r="O553" t="s">
        <v>109</v>
      </c>
      <c r="P553" t="s">
        <v>109</v>
      </c>
      <c r="Q553">
        <v>1</v>
      </c>
      <c r="X553">
        <v>0.17</v>
      </c>
      <c r="Y553">
        <v>1986.8</v>
      </c>
      <c r="Z553">
        <v>0</v>
      </c>
      <c r="AA553">
        <v>0</v>
      </c>
      <c r="AB553">
        <v>0</v>
      </c>
      <c r="AC553">
        <v>0</v>
      </c>
      <c r="AD553">
        <v>1</v>
      </c>
      <c r="AE553">
        <v>0</v>
      </c>
      <c r="AF553" t="s">
        <v>6</v>
      </c>
      <c r="AG553">
        <v>0.17</v>
      </c>
      <c r="AH553">
        <v>2</v>
      </c>
      <c r="AI553">
        <v>31029855</v>
      </c>
      <c r="AJ553">
        <v>528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</row>
    <row r="554" spans="1:44">
      <c r="A554">
        <f>ROW(Source!A239)</f>
        <v>239</v>
      </c>
      <c r="B554">
        <v>31029870</v>
      </c>
      <c r="C554">
        <v>31029844</v>
      </c>
      <c r="D554">
        <v>29158714</v>
      </c>
      <c r="E554">
        <v>1</v>
      </c>
      <c r="F554">
        <v>1</v>
      </c>
      <c r="G554">
        <v>1</v>
      </c>
      <c r="H554">
        <v>3</v>
      </c>
      <c r="I554" t="s">
        <v>1147</v>
      </c>
      <c r="J554" t="s">
        <v>1148</v>
      </c>
      <c r="K554" t="s">
        <v>1149</v>
      </c>
      <c r="L554">
        <v>1301</v>
      </c>
      <c r="N554">
        <v>1003</v>
      </c>
      <c r="O554" t="s">
        <v>315</v>
      </c>
      <c r="P554" t="s">
        <v>315</v>
      </c>
      <c r="Q554">
        <v>1</v>
      </c>
      <c r="X554">
        <v>11.3</v>
      </c>
      <c r="Y554">
        <v>25.97</v>
      </c>
      <c r="Z554">
        <v>0</v>
      </c>
      <c r="AA554">
        <v>0</v>
      </c>
      <c r="AB554">
        <v>0</v>
      </c>
      <c r="AC554">
        <v>0</v>
      </c>
      <c r="AD554">
        <v>1</v>
      </c>
      <c r="AE554">
        <v>0</v>
      </c>
      <c r="AF554" t="s">
        <v>6</v>
      </c>
      <c r="AG554">
        <v>11.3</v>
      </c>
      <c r="AH554">
        <v>2</v>
      </c>
      <c r="AI554">
        <v>31029856</v>
      </c>
      <c r="AJ554">
        <v>529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</row>
    <row r="555" spans="1:44">
      <c r="A555">
        <f>ROW(Source!A239)</f>
        <v>239</v>
      </c>
      <c r="B555">
        <v>31029871</v>
      </c>
      <c r="C555">
        <v>31029844</v>
      </c>
      <c r="D555">
        <v>29172317</v>
      </c>
      <c r="E555">
        <v>1</v>
      </c>
      <c r="F555">
        <v>1</v>
      </c>
      <c r="G555">
        <v>1</v>
      </c>
      <c r="H555">
        <v>3</v>
      </c>
      <c r="I555" t="s">
        <v>1150</v>
      </c>
      <c r="J555" t="s">
        <v>1151</v>
      </c>
      <c r="K555" t="s">
        <v>1152</v>
      </c>
      <c r="L555">
        <v>1327</v>
      </c>
      <c r="N555">
        <v>1005</v>
      </c>
      <c r="O555" t="s">
        <v>284</v>
      </c>
      <c r="P555" t="s">
        <v>284</v>
      </c>
      <c r="Q555">
        <v>1</v>
      </c>
      <c r="X555">
        <v>14.4</v>
      </c>
      <c r="Y555">
        <v>35.53</v>
      </c>
      <c r="Z555">
        <v>0</v>
      </c>
      <c r="AA555">
        <v>0</v>
      </c>
      <c r="AB555">
        <v>0</v>
      </c>
      <c r="AC555">
        <v>0</v>
      </c>
      <c r="AD555">
        <v>1</v>
      </c>
      <c r="AE555">
        <v>0</v>
      </c>
      <c r="AF555" t="s">
        <v>6</v>
      </c>
      <c r="AG555">
        <v>14.4</v>
      </c>
      <c r="AH555">
        <v>2</v>
      </c>
      <c r="AI555">
        <v>31029857</v>
      </c>
      <c r="AJ555">
        <v>530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</row>
    <row r="556" spans="1:44">
      <c r="A556">
        <f>ROW(Source!A239)</f>
        <v>239</v>
      </c>
      <c r="B556">
        <v>31029872</v>
      </c>
      <c r="C556">
        <v>31029844</v>
      </c>
      <c r="D556">
        <v>29173169</v>
      </c>
      <c r="E556">
        <v>1</v>
      </c>
      <c r="F556">
        <v>1</v>
      </c>
      <c r="G556">
        <v>1</v>
      </c>
      <c r="H556">
        <v>3</v>
      </c>
      <c r="I556" t="s">
        <v>1153</v>
      </c>
      <c r="J556" t="s">
        <v>1154</v>
      </c>
      <c r="K556" t="s">
        <v>1155</v>
      </c>
      <c r="L556">
        <v>1348</v>
      </c>
      <c r="N556">
        <v>1009</v>
      </c>
      <c r="O556" t="s">
        <v>137</v>
      </c>
      <c r="P556" t="s">
        <v>137</v>
      </c>
      <c r="Q556">
        <v>1000</v>
      </c>
      <c r="X556">
        <v>0.47</v>
      </c>
      <c r="Y556">
        <v>4526</v>
      </c>
      <c r="Z556">
        <v>0</v>
      </c>
      <c r="AA556">
        <v>0</v>
      </c>
      <c r="AB556">
        <v>0</v>
      </c>
      <c r="AC556">
        <v>0</v>
      </c>
      <c r="AD556">
        <v>1</v>
      </c>
      <c r="AE556">
        <v>0</v>
      </c>
      <c r="AF556" t="s">
        <v>6</v>
      </c>
      <c r="AG556">
        <v>0.47</v>
      </c>
      <c r="AH556">
        <v>2</v>
      </c>
      <c r="AI556">
        <v>31029858</v>
      </c>
      <c r="AJ556">
        <v>531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</row>
    <row r="557" spans="1:44">
      <c r="A557">
        <f>ROW(Source!A240)</f>
        <v>240</v>
      </c>
      <c r="B557">
        <v>31029882</v>
      </c>
      <c r="C557">
        <v>31029873</v>
      </c>
      <c r="D557">
        <v>29084607</v>
      </c>
      <c r="E557">
        <v>1</v>
      </c>
      <c r="F557">
        <v>1</v>
      </c>
      <c r="G557">
        <v>1</v>
      </c>
      <c r="H557">
        <v>1</v>
      </c>
      <c r="I557" t="s">
        <v>1156</v>
      </c>
      <c r="J557" t="s">
        <v>6</v>
      </c>
      <c r="K557" t="s">
        <v>1157</v>
      </c>
      <c r="L557">
        <v>1369</v>
      </c>
      <c r="N557">
        <v>1013</v>
      </c>
      <c r="O557" t="s">
        <v>773</v>
      </c>
      <c r="P557" t="s">
        <v>773</v>
      </c>
      <c r="Q557">
        <v>1</v>
      </c>
      <c r="X557">
        <v>5.31</v>
      </c>
      <c r="Y557">
        <v>0</v>
      </c>
      <c r="Z557">
        <v>0</v>
      </c>
      <c r="AA557">
        <v>0</v>
      </c>
      <c r="AB557">
        <v>10.28</v>
      </c>
      <c r="AC557">
        <v>0</v>
      </c>
      <c r="AD557">
        <v>1</v>
      </c>
      <c r="AE557">
        <v>1</v>
      </c>
      <c r="AF557" t="s">
        <v>127</v>
      </c>
      <c r="AG557">
        <v>7.0224749999999982</v>
      </c>
      <c r="AH557">
        <v>2</v>
      </c>
      <c r="AI557">
        <v>31029874</v>
      </c>
      <c r="AJ557">
        <v>532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</row>
    <row r="558" spans="1:44">
      <c r="A558">
        <f>ROW(Source!A240)</f>
        <v>240</v>
      </c>
      <c r="B558">
        <v>31029883</v>
      </c>
      <c r="C558">
        <v>31029873</v>
      </c>
      <c r="D558">
        <v>29084573</v>
      </c>
      <c r="E558">
        <v>1</v>
      </c>
      <c r="F558">
        <v>1</v>
      </c>
      <c r="G558">
        <v>1</v>
      </c>
      <c r="H558">
        <v>1</v>
      </c>
      <c r="I558" t="s">
        <v>774</v>
      </c>
      <c r="J558" t="s">
        <v>6</v>
      </c>
      <c r="K558" t="s">
        <v>775</v>
      </c>
      <c r="L558">
        <v>608254</v>
      </c>
      <c r="N558">
        <v>1013</v>
      </c>
      <c r="O558" t="s">
        <v>776</v>
      </c>
      <c r="P558" t="s">
        <v>776</v>
      </c>
      <c r="Q558">
        <v>1</v>
      </c>
      <c r="X558">
        <v>0.01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1</v>
      </c>
      <c r="AE558">
        <v>2</v>
      </c>
      <c r="AF558" t="s">
        <v>521</v>
      </c>
      <c r="AG558">
        <v>1.4374999999999999E-2</v>
      </c>
      <c r="AH558">
        <v>2</v>
      </c>
      <c r="AI558">
        <v>31029875</v>
      </c>
      <c r="AJ558">
        <v>533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</row>
    <row r="559" spans="1:44">
      <c r="A559">
        <f>ROW(Source!A240)</f>
        <v>240</v>
      </c>
      <c r="B559">
        <v>31029884</v>
      </c>
      <c r="C559">
        <v>31029873</v>
      </c>
      <c r="D559">
        <v>29147673</v>
      </c>
      <c r="E559">
        <v>1</v>
      </c>
      <c r="F559">
        <v>1</v>
      </c>
      <c r="G559">
        <v>1</v>
      </c>
      <c r="H559">
        <v>2</v>
      </c>
      <c r="I559" t="s">
        <v>924</v>
      </c>
      <c r="J559" t="s">
        <v>925</v>
      </c>
      <c r="K559" t="s">
        <v>926</v>
      </c>
      <c r="L559">
        <v>1368</v>
      </c>
      <c r="N559">
        <v>1011</v>
      </c>
      <c r="O559" t="s">
        <v>780</v>
      </c>
      <c r="P559" t="s">
        <v>780</v>
      </c>
      <c r="Q559">
        <v>1</v>
      </c>
      <c r="X559">
        <v>0.01</v>
      </c>
      <c r="Y559">
        <v>0</v>
      </c>
      <c r="Z559">
        <v>97.95</v>
      </c>
      <c r="AA559">
        <v>9.7100000000000009</v>
      </c>
      <c r="AB559">
        <v>0</v>
      </c>
      <c r="AC559">
        <v>0</v>
      </c>
      <c r="AD559">
        <v>1</v>
      </c>
      <c r="AE559">
        <v>0</v>
      </c>
      <c r="AF559" t="s">
        <v>521</v>
      </c>
      <c r="AG559">
        <v>1.4374999999999999E-2</v>
      </c>
      <c r="AH559">
        <v>2</v>
      </c>
      <c r="AI559">
        <v>31029876</v>
      </c>
      <c r="AJ559">
        <v>534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</row>
    <row r="560" spans="1:44">
      <c r="A560">
        <f>ROW(Source!A240)</f>
        <v>240</v>
      </c>
      <c r="B560">
        <v>31029885</v>
      </c>
      <c r="C560">
        <v>31029873</v>
      </c>
      <c r="D560">
        <v>29147697</v>
      </c>
      <c r="E560">
        <v>1</v>
      </c>
      <c r="F560">
        <v>1</v>
      </c>
      <c r="G560">
        <v>1</v>
      </c>
      <c r="H560">
        <v>2</v>
      </c>
      <c r="I560" t="s">
        <v>822</v>
      </c>
      <c r="J560" t="s">
        <v>823</v>
      </c>
      <c r="K560" t="s">
        <v>824</v>
      </c>
      <c r="L560">
        <v>1368</v>
      </c>
      <c r="N560">
        <v>1011</v>
      </c>
      <c r="O560" t="s">
        <v>780</v>
      </c>
      <c r="P560" t="s">
        <v>780</v>
      </c>
      <c r="Q560">
        <v>1</v>
      </c>
      <c r="X560">
        <v>0.01</v>
      </c>
      <c r="Y560">
        <v>0</v>
      </c>
      <c r="Z560">
        <v>1.7</v>
      </c>
      <c r="AA560">
        <v>0</v>
      </c>
      <c r="AB560">
        <v>0</v>
      </c>
      <c r="AC560">
        <v>0</v>
      </c>
      <c r="AD560">
        <v>1</v>
      </c>
      <c r="AE560">
        <v>0</v>
      </c>
      <c r="AF560" t="s">
        <v>521</v>
      </c>
      <c r="AG560">
        <v>1.4374999999999999E-2</v>
      </c>
      <c r="AH560">
        <v>2</v>
      </c>
      <c r="AI560">
        <v>31029877</v>
      </c>
      <c r="AJ560">
        <v>535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</row>
    <row r="561" spans="1:44">
      <c r="A561">
        <f>ROW(Source!A240)</f>
        <v>240</v>
      </c>
      <c r="B561">
        <v>31029886</v>
      </c>
      <c r="C561">
        <v>31029873</v>
      </c>
      <c r="D561">
        <v>29149310</v>
      </c>
      <c r="E561">
        <v>1</v>
      </c>
      <c r="F561">
        <v>1</v>
      </c>
      <c r="G561">
        <v>1</v>
      </c>
      <c r="H561">
        <v>2</v>
      </c>
      <c r="I561" t="s">
        <v>1029</v>
      </c>
      <c r="J561" t="s">
        <v>1030</v>
      </c>
      <c r="K561" t="s">
        <v>1031</v>
      </c>
      <c r="L561">
        <v>1368</v>
      </c>
      <c r="N561">
        <v>1011</v>
      </c>
      <c r="O561" t="s">
        <v>780</v>
      </c>
      <c r="P561" t="s">
        <v>780</v>
      </c>
      <c r="Q561">
        <v>1</v>
      </c>
      <c r="X561">
        <v>1.1200000000000001</v>
      </c>
      <c r="Y561">
        <v>0</v>
      </c>
      <c r="Z561">
        <v>6.82</v>
      </c>
      <c r="AA561">
        <v>0</v>
      </c>
      <c r="AB561">
        <v>0</v>
      </c>
      <c r="AC561">
        <v>0</v>
      </c>
      <c r="AD561">
        <v>1</v>
      </c>
      <c r="AE561">
        <v>0</v>
      </c>
      <c r="AF561" t="s">
        <v>521</v>
      </c>
      <c r="AG561">
        <v>1.61</v>
      </c>
      <c r="AH561">
        <v>2</v>
      </c>
      <c r="AI561">
        <v>31029878</v>
      </c>
      <c r="AJ561">
        <v>536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</row>
    <row r="562" spans="1:44">
      <c r="A562">
        <f>ROW(Source!A240)</f>
        <v>240</v>
      </c>
      <c r="B562">
        <v>31029887</v>
      </c>
      <c r="C562">
        <v>31029873</v>
      </c>
      <c r="D562">
        <v>29149520</v>
      </c>
      <c r="E562">
        <v>1</v>
      </c>
      <c r="F562">
        <v>1</v>
      </c>
      <c r="G562">
        <v>1</v>
      </c>
      <c r="H562">
        <v>2</v>
      </c>
      <c r="I562" t="s">
        <v>790</v>
      </c>
      <c r="J562" t="s">
        <v>791</v>
      </c>
      <c r="K562" t="s">
        <v>792</v>
      </c>
      <c r="L562">
        <v>1368</v>
      </c>
      <c r="N562">
        <v>1011</v>
      </c>
      <c r="O562" t="s">
        <v>780</v>
      </c>
      <c r="P562" t="s">
        <v>780</v>
      </c>
      <c r="Q562">
        <v>1</v>
      </c>
      <c r="X562">
        <v>0.01</v>
      </c>
      <c r="Y562">
        <v>0</v>
      </c>
      <c r="Z562">
        <v>91.62</v>
      </c>
      <c r="AA562">
        <v>0</v>
      </c>
      <c r="AB562">
        <v>0</v>
      </c>
      <c r="AC562">
        <v>0</v>
      </c>
      <c r="AD562">
        <v>1</v>
      </c>
      <c r="AE562">
        <v>0</v>
      </c>
      <c r="AF562" t="s">
        <v>521</v>
      </c>
      <c r="AG562">
        <v>1.4374999999999999E-2</v>
      </c>
      <c r="AH562">
        <v>2</v>
      </c>
      <c r="AI562">
        <v>31029879</v>
      </c>
      <c r="AJ562">
        <v>537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</row>
    <row r="563" spans="1:44">
      <c r="A563">
        <f>ROW(Source!A240)</f>
        <v>240</v>
      </c>
      <c r="B563">
        <v>31029888</v>
      </c>
      <c r="C563">
        <v>31029873</v>
      </c>
      <c r="D563">
        <v>29164616</v>
      </c>
      <c r="E563">
        <v>1</v>
      </c>
      <c r="F563">
        <v>1</v>
      </c>
      <c r="G563">
        <v>1</v>
      </c>
      <c r="H563">
        <v>3</v>
      </c>
      <c r="I563" t="s">
        <v>1080</v>
      </c>
      <c r="J563" t="s">
        <v>1081</v>
      </c>
      <c r="K563" t="s">
        <v>1082</v>
      </c>
      <c r="L563">
        <v>1348</v>
      </c>
      <c r="N563">
        <v>1009</v>
      </c>
      <c r="O563" t="s">
        <v>137</v>
      </c>
      <c r="P563" t="s">
        <v>137</v>
      </c>
      <c r="Q563">
        <v>1000</v>
      </c>
      <c r="X563">
        <v>1.2E-2</v>
      </c>
      <c r="Y563">
        <v>12074</v>
      </c>
      <c r="Z563">
        <v>0</v>
      </c>
      <c r="AA563">
        <v>0</v>
      </c>
      <c r="AB563">
        <v>0</v>
      </c>
      <c r="AC563">
        <v>0</v>
      </c>
      <c r="AD563">
        <v>1</v>
      </c>
      <c r="AE563">
        <v>0</v>
      </c>
      <c r="AF563" t="s">
        <v>6</v>
      </c>
      <c r="AG563">
        <v>1.2E-2</v>
      </c>
      <c r="AH563">
        <v>2</v>
      </c>
      <c r="AI563">
        <v>31029880</v>
      </c>
      <c r="AJ563">
        <v>538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</row>
    <row r="564" spans="1:44">
      <c r="A564">
        <f>ROW(Source!A240)</f>
        <v>240</v>
      </c>
      <c r="B564">
        <v>31029889</v>
      </c>
      <c r="C564">
        <v>31029873</v>
      </c>
      <c r="D564">
        <v>29164667</v>
      </c>
      <c r="E564">
        <v>1</v>
      </c>
      <c r="F564">
        <v>1</v>
      </c>
      <c r="G564">
        <v>1</v>
      </c>
      <c r="H564">
        <v>3</v>
      </c>
      <c r="I564" t="s">
        <v>1158</v>
      </c>
      <c r="J564" t="s">
        <v>1159</v>
      </c>
      <c r="K564" t="s">
        <v>1160</v>
      </c>
      <c r="L564">
        <v>1348</v>
      </c>
      <c r="N564">
        <v>1009</v>
      </c>
      <c r="O564" t="s">
        <v>137</v>
      </c>
      <c r="P564" t="s">
        <v>137</v>
      </c>
      <c r="Q564">
        <v>1000</v>
      </c>
      <c r="X564">
        <v>2E-3</v>
      </c>
      <c r="Y564">
        <v>2281.41</v>
      </c>
      <c r="Z564">
        <v>0</v>
      </c>
      <c r="AA564">
        <v>0</v>
      </c>
      <c r="AB564">
        <v>0</v>
      </c>
      <c r="AC564">
        <v>0</v>
      </c>
      <c r="AD564">
        <v>1</v>
      </c>
      <c r="AE564">
        <v>0</v>
      </c>
      <c r="AF564" t="s">
        <v>6</v>
      </c>
      <c r="AG564">
        <v>2E-3</v>
      </c>
      <c r="AH564">
        <v>2</v>
      </c>
      <c r="AI564">
        <v>31029881</v>
      </c>
      <c r="AJ564">
        <v>539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</row>
    <row r="565" spans="1:44">
      <c r="A565">
        <f>ROW(Source!A241)</f>
        <v>241</v>
      </c>
      <c r="B565">
        <v>31029896</v>
      </c>
      <c r="C565">
        <v>31029890</v>
      </c>
      <c r="D565">
        <v>29084588</v>
      </c>
      <c r="E565">
        <v>1</v>
      </c>
      <c r="F565">
        <v>1</v>
      </c>
      <c r="G565">
        <v>1</v>
      </c>
      <c r="H565">
        <v>1</v>
      </c>
      <c r="I565" t="s">
        <v>909</v>
      </c>
      <c r="J565" t="s">
        <v>6</v>
      </c>
      <c r="K565" t="s">
        <v>910</v>
      </c>
      <c r="L565">
        <v>1369</v>
      </c>
      <c r="N565">
        <v>1013</v>
      </c>
      <c r="O565" t="s">
        <v>773</v>
      </c>
      <c r="P565" t="s">
        <v>773</v>
      </c>
      <c r="Q565">
        <v>1</v>
      </c>
      <c r="X565">
        <v>215.82</v>
      </c>
      <c r="Y565">
        <v>0</v>
      </c>
      <c r="Z565">
        <v>0</v>
      </c>
      <c r="AA565">
        <v>0</v>
      </c>
      <c r="AB565">
        <v>8.76</v>
      </c>
      <c r="AC565">
        <v>0</v>
      </c>
      <c r="AD565">
        <v>1</v>
      </c>
      <c r="AE565">
        <v>1</v>
      </c>
      <c r="AF565" t="s">
        <v>127</v>
      </c>
      <c r="AG565">
        <v>285.42194999999998</v>
      </c>
      <c r="AH565">
        <v>2</v>
      </c>
      <c r="AI565">
        <v>31029891</v>
      </c>
      <c r="AJ565">
        <v>540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</row>
    <row r="566" spans="1:44">
      <c r="A566">
        <f>ROW(Source!A241)</f>
        <v>241</v>
      </c>
      <c r="B566">
        <v>31029897</v>
      </c>
      <c r="C566">
        <v>31029890</v>
      </c>
      <c r="D566">
        <v>29084573</v>
      </c>
      <c r="E566">
        <v>1</v>
      </c>
      <c r="F566">
        <v>1</v>
      </c>
      <c r="G566">
        <v>1</v>
      </c>
      <c r="H566">
        <v>1</v>
      </c>
      <c r="I566" t="s">
        <v>774</v>
      </c>
      <c r="J566" t="s">
        <v>6</v>
      </c>
      <c r="K566" t="s">
        <v>775</v>
      </c>
      <c r="L566">
        <v>608254</v>
      </c>
      <c r="N566">
        <v>1013</v>
      </c>
      <c r="O566" t="s">
        <v>776</v>
      </c>
      <c r="P566" t="s">
        <v>776</v>
      </c>
      <c r="Q566">
        <v>1</v>
      </c>
      <c r="X566">
        <v>0.15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1</v>
      </c>
      <c r="AE566">
        <v>2</v>
      </c>
      <c r="AF566" t="s">
        <v>126</v>
      </c>
      <c r="AG566">
        <v>0.21562499999999998</v>
      </c>
      <c r="AH566">
        <v>2</v>
      </c>
      <c r="AI566">
        <v>31029892</v>
      </c>
      <c r="AJ566">
        <v>541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</row>
    <row r="567" spans="1:44">
      <c r="A567">
        <f>ROW(Source!A241)</f>
        <v>241</v>
      </c>
      <c r="B567">
        <v>31029898</v>
      </c>
      <c r="C567">
        <v>31029890</v>
      </c>
      <c r="D567">
        <v>29147601</v>
      </c>
      <c r="E567">
        <v>1</v>
      </c>
      <c r="F567">
        <v>1</v>
      </c>
      <c r="G567">
        <v>1</v>
      </c>
      <c r="H567">
        <v>2</v>
      </c>
      <c r="I567" t="s">
        <v>781</v>
      </c>
      <c r="J567" t="s">
        <v>782</v>
      </c>
      <c r="K567" t="s">
        <v>783</v>
      </c>
      <c r="L567">
        <v>1368</v>
      </c>
      <c r="N567">
        <v>1011</v>
      </c>
      <c r="O567" t="s">
        <v>780</v>
      </c>
      <c r="P567" t="s">
        <v>780</v>
      </c>
      <c r="Q567">
        <v>1</v>
      </c>
      <c r="X567">
        <v>0.15</v>
      </c>
      <c r="Y567">
        <v>0</v>
      </c>
      <c r="Z567">
        <v>108.45</v>
      </c>
      <c r="AA567">
        <v>13.03</v>
      </c>
      <c r="AB567">
        <v>0</v>
      </c>
      <c r="AC567">
        <v>0</v>
      </c>
      <c r="AD567">
        <v>1</v>
      </c>
      <c r="AE567">
        <v>0</v>
      </c>
      <c r="AF567" t="s">
        <v>126</v>
      </c>
      <c r="AG567">
        <v>0.21562499999999998</v>
      </c>
      <c r="AH567">
        <v>2</v>
      </c>
      <c r="AI567">
        <v>31029893</v>
      </c>
      <c r="AJ567">
        <v>542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</row>
    <row r="568" spans="1:44">
      <c r="A568">
        <f>ROW(Source!A241)</f>
        <v>241</v>
      </c>
      <c r="B568">
        <v>31029899</v>
      </c>
      <c r="C568">
        <v>31029890</v>
      </c>
      <c r="D568">
        <v>29149520</v>
      </c>
      <c r="E568">
        <v>1</v>
      </c>
      <c r="F568">
        <v>1</v>
      </c>
      <c r="G568">
        <v>1</v>
      </c>
      <c r="H568">
        <v>2</v>
      </c>
      <c r="I568" t="s">
        <v>790</v>
      </c>
      <c r="J568" t="s">
        <v>791</v>
      </c>
      <c r="K568" t="s">
        <v>792</v>
      </c>
      <c r="L568">
        <v>1368</v>
      </c>
      <c r="N568">
        <v>1011</v>
      </c>
      <c r="O568" t="s">
        <v>780</v>
      </c>
      <c r="P568" t="s">
        <v>780</v>
      </c>
      <c r="Q568">
        <v>1</v>
      </c>
      <c r="X568">
        <v>0.21</v>
      </c>
      <c r="Y568">
        <v>0</v>
      </c>
      <c r="Z568">
        <v>91.62</v>
      </c>
      <c r="AA568">
        <v>0</v>
      </c>
      <c r="AB568">
        <v>0</v>
      </c>
      <c r="AC568">
        <v>0</v>
      </c>
      <c r="AD568">
        <v>1</v>
      </c>
      <c r="AE568">
        <v>0</v>
      </c>
      <c r="AF568" t="s">
        <v>126</v>
      </c>
      <c r="AG568">
        <v>0.301875</v>
      </c>
      <c r="AH568">
        <v>2</v>
      </c>
      <c r="AI568">
        <v>31029894</v>
      </c>
      <c r="AJ568">
        <v>543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</row>
    <row r="569" spans="1:44">
      <c r="A569">
        <f>ROW(Source!A241)</f>
        <v>241</v>
      </c>
      <c r="B569">
        <v>31029900</v>
      </c>
      <c r="C569">
        <v>31029890</v>
      </c>
      <c r="D569">
        <v>29173218</v>
      </c>
      <c r="E569">
        <v>1</v>
      </c>
      <c r="F569">
        <v>1</v>
      </c>
      <c r="G569">
        <v>1</v>
      </c>
      <c r="H569">
        <v>3</v>
      </c>
      <c r="I569" t="s">
        <v>1161</v>
      </c>
      <c r="J569" t="s">
        <v>1162</v>
      </c>
      <c r="K569" t="s">
        <v>1163</v>
      </c>
      <c r="L569">
        <v>1348</v>
      </c>
      <c r="N569">
        <v>1009</v>
      </c>
      <c r="O569" t="s">
        <v>137</v>
      </c>
      <c r="P569" t="s">
        <v>137</v>
      </c>
      <c r="Q569">
        <v>1000</v>
      </c>
      <c r="X569">
        <v>1</v>
      </c>
      <c r="Y569">
        <v>7391.71</v>
      </c>
      <c r="Z569">
        <v>0</v>
      </c>
      <c r="AA569">
        <v>0</v>
      </c>
      <c r="AB569">
        <v>0</v>
      </c>
      <c r="AC569">
        <v>0</v>
      </c>
      <c r="AD569">
        <v>1</v>
      </c>
      <c r="AE569">
        <v>0</v>
      </c>
      <c r="AF569" t="s">
        <v>6</v>
      </c>
      <c r="AG569">
        <v>1</v>
      </c>
      <c r="AH569">
        <v>2</v>
      </c>
      <c r="AI569">
        <v>31029895</v>
      </c>
      <c r="AJ569">
        <v>544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</row>
    <row r="570" spans="1:44">
      <c r="A570">
        <f>ROW(Source!A242)</f>
        <v>242</v>
      </c>
      <c r="B570">
        <v>31029912</v>
      </c>
      <c r="C570">
        <v>31029901</v>
      </c>
      <c r="D570">
        <v>29084590</v>
      </c>
      <c r="E570">
        <v>1</v>
      </c>
      <c r="F570">
        <v>1</v>
      </c>
      <c r="G570">
        <v>1</v>
      </c>
      <c r="H570">
        <v>1</v>
      </c>
      <c r="I570" t="s">
        <v>920</v>
      </c>
      <c r="J570" t="s">
        <v>6</v>
      </c>
      <c r="K570" t="s">
        <v>921</v>
      </c>
      <c r="L570">
        <v>1369</v>
      </c>
      <c r="N570">
        <v>1013</v>
      </c>
      <c r="O570" t="s">
        <v>773</v>
      </c>
      <c r="P570" t="s">
        <v>773</v>
      </c>
      <c r="Q570">
        <v>1</v>
      </c>
      <c r="X570">
        <v>55.16</v>
      </c>
      <c r="Y570">
        <v>0</v>
      </c>
      <c r="Z570">
        <v>0</v>
      </c>
      <c r="AA570">
        <v>0</v>
      </c>
      <c r="AB570">
        <v>7.81</v>
      </c>
      <c r="AC570">
        <v>0</v>
      </c>
      <c r="AD570">
        <v>1</v>
      </c>
      <c r="AE570">
        <v>1</v>
      </c>
      <c r="AF570" t="s">
        <v>36</v>
      </c>
      <c r="AG570">
        <v>63.43399999999999</v>
      </c>
      <c r="AH570">
        <v>2</v>
      </c>
      <c r="AI570">
        <v>31029902</v>
      </c>
      <c r="AJ570">
        <v>545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</row>
    <row r="571" spans="1:44">
      <c r="A571">
        <f>ROW(Source!A242)</f>
        <v>242</v>
      </c>
      <c r="B571">
        <v>31029913</v>
      </c>
      <c r="C571">
        <v>31029901</v>
      </c>
      <c r="D571">
        <v>29147697</v>
      </c>
      <c r="E571">
        <v>1</v>
      </c>
      <c r="F571">
        <v>1</v>
      </c>
      <c r="G571">
        <v>1</v>
      </c>
      <c r="H571">
        <v>2</v>
      </c>
      <c r="I571" t="s">
        <v>822</v>
      </c>
      <c r="J571" t="s">
        <v>823</v>
      </c>
      <c r="K571" t="s">
        <v>824</v>
      </c>
      <c r="L571">
        <v>1368</v>
      </c>
      <c r="N571">
        <v>1011</v>
      </c>
      <c r="O571" t="s">
        <v>780</v>
      </c>
      <c r="P571" t="s">
        <v>780</v>
      </c>
      <c r="Q571">
        <v>1</v>
      </c>
      <c r="X571">
        <v>0.44</v>
      </c>
      <c r="Y571">
        <v>0</v>
      </c>
      <c r="Z571">
        <v>1.7</v>
      </c>
      <c r="AA571">
        <v>0</v>
      </c>
      <c r="AB571">
        <v>0</v>
      </c>
      <c r="AC571">
        <v>0</v>
      </c>
      <c r="AD571">
        <v>1</v>
      </c>
      <c r="AE571">
        <v>0</v>
      </c>
      <c r="AF571" t="s">
        <v>36</v>
      </c>
      <c r="AG571">
        <v>0.50600000000000001</v>
      </c>
      <c r="AH571">
        <v>2</v>
      </c>
      <c r="AI571">
        <v>31029903</v>
      </c>
      <c r="AJ571">
        <v>546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</row>
    <row r="572" spans="1:44">
      <c r="A572">
        <f>ROW(Source!A242)</f>
        <v>242</v>
      </c>
      <c r="B572">
        <v>31029914</v>
      </c>
      <c r="C572">
        <v>31029901</v>
      </c>
      <c r="D572">
        <v>29149520</v>
      </c>
      <c r="E572">
        <v>1</v>
      </c>
      <c r="F572">
        <v>1</v>
      </c>
      <c r="G572">
        <v>1</v>
      </c>
      <c r="H572">
        <v>2</v>
      </c>
      <c r="I572" t="s">
        <v>790</v>
      </c>
      <c r="J572" t="s">
        <v>791</v>
      </c>
      <c r="K572" t="s">
        <v>792</v>
      </c>
      <c r="L572">
        <v>1368</v>
      </c>
      <c r="N572">
        <v>1011</v>
      </c>
      <c r="O572" t="s">
        <v>780</v>
      </c>
      <c r="P572" t="s">
        <v>780</v>
      </c>
      <c r="Q572">
        <v>1</v>
      </c>
      <c r="X572">
        <v>0.24</v>
      </c>
      <c r="Y572">
        <v>0</v>
      </c>
      <c r="Z572">
        <v>91.62</v>
      </c>
      <c r="AA572">
        <v>0</v>
      </c>
      <c r="AB572">
        <v>0</v>
      </c>
      <c r="AC572">
        <v>0</v>
      </c>
      <c r="AD572">
        <v>1</v>
      </c>
      <c r="AE572">
        <v>0</v>
      </c>
      <c r="AF572" t="s">
        <v>36</v>
      </c>
      <c r="AG572">
        <v>0.27599999999999997</v>
      </c>
      <c r="AH572">
        <v>2</v>
      </c>
      <c r="AI572">
        <v>31029904</v>
      </c>
      <c r="AJ572">
        <v>547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</row>
    <row r="573" spans="1:44">
      <c r="A573">
        <f>ROW(Source!A242)</f>
        <v>242</v>
      </c>
      <c r="B573">
        <v>31029915</v>
      </c>
      <c r="C573">
        <v>31029901</v>
      </c>
      <c r="D573">
        <v>29151143</v>
      </c>
      <c r="E573">
        <v>1</v>
      </c>
      <c r="F573">
        <v>1</v>
      </c>
      <c r="G573">
        <v>1</v>
      </c>
      <c r="H573">
        <v>3</v>
      </c>
      <c r="I573" t="s">
        <v>1062</v>
      </c>
      <c r="J573" t="s">
        <v>1063</v>
      </c>
      <c r="K573" t="s">
        <v>1064</v>
      </c>
      <c r="L573">
        <v>1348</v>
      </c>
      <c r="N573">
        <v>1009</v>
      </c>
      <c r="O573" t="s">
        <v>137</v>
      </c>
      <c r="P573" t="s">
        <v>137</v>
      </c>
      <c r="Q573">
        <v>1000</v>
      </c>
      <c r="X573">
        <v>9.4999999999999998E-3</v>
      </c>
      <c r="Y573">
        <v>4845.71</v>
      </c>
      <c r="Z573">
        <v>0</v>
      </c>
      <c r="AA573">
        <v>0</v>
      </c>
      <c r="AB573">
        <v>0</v>
      </c>
      <c r="AC573">
        <v>0</v>
      </c>
      <c r="AD573">
        <v>1</v>
      </c>
      <c r="AE573">
        <v>0</v>
      </c>
      <c r="AF573" t="s">
        <v>6</v>
      </c>
      <c r="AG573">
        <v>9.4999999999999998E-3</v>
      </c>
      <c r="AH573">
        <v>2</v>
      </c>
      <c r="AI573">
        <v>31029905</v>
      </c>
      <c r="AJ573">
        <v>548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</row>
    <row r="574" spans="1:44">
      <c r="A574">
        <f>ROW(Source!A242)</f>
        <v>242</v>
      </c>
      <c r="B574">
        <v>31029916</v>
      </c>
      <c r="C574">
        <v>31029901</v>
      </c>
      <c r="D574">
        <v>29151159</v>
      </c>
      <c r="E574">
        <v>1</v>
      </c>
      <c r="F574">
        <v>1</v>
      </c>
      <c r="G574">
        <v>1</v>
      </c>
      <c r="H574">
        <v>3</v>
      </c>
      <c r="I574" t="s">
        <v>1164</v>
      </c>
      <c r="J574" t="s">
        <v>1165</v>
      </c>
      <c r="K574" t="s">
        <v>1166</v>
      </c>
      <c r="L574">
        <v>1348</v>
      </c>
      <c r="N574">
        <v>1009</v>
      </c>
      <c r="O574" t="s">
        <v>137</v>
      </c>
      <c r="P574" t="s">
        <v>137</v>
      </c>
      <c r="Q574">
        <v>1000</v>
      </c>
      <c r="X574">
        <v>5.0000000000000001E-4</v>
      </c>
      <c r="Y574">
        <v>7156.5</v>
      </c>
      <c r="Z574">
        <v>0</v>
      </c>
      <c r="AA574">
        <v>0</v>
      </c>
      <c r="AB574">
        <v>0</v>
      </c>
      <c r="AC574">
        <v>0</v>
      </c>
      <c r="AD574">
        <v>1</v>
      </c>
      <c r="AE574">
        <v>0</v>
      </c>
      <c r="AF574" t="s">
        <v>6</v>
      </c>
      <c r="AG574">
        <v>5.0000000000000001E-4</v>
      </c>
      <c r="AH574">
        <v>2</v>
      </c>
      <c r="AI574">
        <v>31029906</v>
      </c>
      <c r="AJ574">
        <v>549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</row>
    <row r="575" spans="1:44">
      <c r="A575">
        <f>ROW(Source!A242)</f>
        <v>242</v>
      </c>
      <c r="B575">
        <v>31029917</v>
      </c>
      <c r="C575">
        <v>31029901</v>
      </c>
      <c r="D575">
        <v>29152054</v>
      </c>
      <c r="E575">
        <v>1</v>
      </c>
      <c r="F575">
        <v>1</v>
      </c>
      <c r="G575">
        <v>1</v>
      </c>
      <c r="H575">
        <v>3</v>
      </c>
      <c r="I575" t="s">
        <v>805</v>
      </c>
      <c r="J575" t="s">
        <v>806</v>
      </c>
      <c r="K575" t="s">
        <v>807</v>
      </c>
      <c r="L575">
        <v>1348</v>
      </c>
      <c r="N575">
        <v>1009</v>
      </c>
      <c r="O575" t="s">
        <v>137</v>
      </c>
      <c r="P575" t="s">
        <v>137</v>
      </c>
      <c r="Q575">
        <v>1000</v>
      </c>
      <c r="X575">
        <v>3.0000000000000001E-3</v>
      </c>
      <c r="Y575">
        <v>10183</v>
      </c>
      <c r="Z575">
        <v>0</v>
      </c>
      <c r="AA575">
        <v>0</v>
      </c>
      <c r="AB575">
        <v>0</v>
      </c>
      <c r="AC575">
        <v>0</v>
      </c>
      <c r="AD575">
        <v>1</v>
      </c>
      <c r="AE575">
        <v>0</v>
      </c>
      <c r="AF575" t="s">
        <v>6</v>
      </c>
      <c r="AG575">
        <v>3.0000000000000001E-3</v>
      </c>
      <c r="AH575">
        <v>2</v>
      </c>
      <c r="AI575">
        <v>31029907</v>
      </c>
      <c r="AJ575">
        <v>550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</row>
    <row r="576" spans="1:44">
      <c r="A576">
        <f>ROW(Source!A242)</f>
        <v>242</v>
      </c>
      <c r="B576">
        <v>31029918</v>
      </c>
      <c r="C576">
        <v>31029901</v>
      </c>
      <c r="D576">
        <v>29158169</v>
      </c>
      <c r="E576">
        <v>1</v>
      </c>
      <c r="F576">
        <v>1</v>
      </c>
      <c r="G576">
        <v>1</v>
      </c>
      <c r="H576">
        <v>3</v>
      </c>
      <c r="I576" t="s">
        <v>1167</v>
      </c>
      <c r="J576" t="s">
        <v>1168</v>
      </c>
      <c r="K576" t="s">
        <v>1169</v>
      </c>
      <c r="L576">
        <v>1339</v>
      </c>
      <c r="N576">
        <v>1007</v>
      </c>
      <c r="O576" t="s">
        <v>109</v>
      </c>
      <c r="P576" t="s">
        <v>109</v>
      </c>
      <c r="Q576">
        <v>1</v>
      </c>
      <c r="X576">
        <v>0.09</v>
      </c>
      <c r="Y576">
        <v>878.95</v>
      </c>
      <c r="Z576">
        <v>0</v>
      </c>
      <c r="AA576">
        <v>0</v>
      </c>
      <c r="AB576">
        <v>0</v>
      </c>
      <c r="AC576">
        <v>0</v>
      </c>
      <c r="AD576">
        <v>1</v>
      </c>
      <c r="AE576">
        <v>0</v>
      </c>
      <c r="AF576" t="s">
        <v>6</v>
      </c>
      <c r="AG576">
        <v>0.09</v>
      </c>
      <c r="AH576">
        <v>2</v>
      </c>
      <c r="AI576">
        <v>31029908</v>
      </c>
      <c r="AJ576">
        <v>551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</row>
    <row r="577" spans="1:44">
      <c r="A577">
        <f>ROW(Source!A242)</f>
        <v>242</v>
      </c>
      <c r="B577">
        <v>31029919</v>
      </c>
      <c r="C577">
        <v>31029901</v>
      </c>
      <c r="D577">
        <v>29173233</v>
      </c>
      <c r="E577">
        <v>1</v>
      </c>
      <c r="F577">
        <v>1</v>
      </c>
      <c r="G577">
        <v>1</v>
      </c>
      <c r="H577">
        <v>3</v>
      </c>
      <c r="I577" t="s">
        <v>1170</v>
      </c>
      <c r="J577" t="s">
        <v>1171</v>
      </c>
      <c r="K577" t="s">
        <v>1172</v>
      </c>
      <c r="L577">
        <v>1348</v>
      </c>
      <c r="N577">
        <v>1009</v>
      </c>
      <c r="O577" t="s">
        <v>137</v>
      </c>
      <c r="P577" t="s">
        <v>137</v>
      </c>
      <c r="Q577">
        <v>1000</v>
      </c>
      <c r="X577">
        <v>7.0000000000000007E-2</v>
      </c>
      <c r="Y577">
        <v>4903.1000000000004</v>
      </c>
      <c r="Z577">
        <v>0</v>
      </c>
      <c r="AA577">
        <v>0</v>
      </c>
      <c r="AB577">
        <v>0</v>
      </c>
      <c r="AC577">
        <v>0</v>
      </c>
      <c r="AD577">
        <v>1</v>
      </c>
      <c r="AE577">
        <v>0</v>
      </c>
      <c r="AF577" t="s">
        <v>6</v>
      </c>
      <c r="AG577">
        <v>7.0000000000000007E-2</v>
      </c>
      <c r="AH577">
        <v>2</v>
      </c>
      <c r="AI577">
        <v>31029909</v>
      </c>
      <c r="AJ577">
        <v>552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</row>
    <row r="578" spans="1:44">
      <c r="A578">
        <f>ROW(Source!A242)</f>
        <v>242</v>
      </c>
      <c r="B578">
        <v>31029920</v>
      </c>
      <c r="C578">
        <v>31029901</v>
      </c>
      <c r="D578">
        <v>29186014</v>
      </c>
      <c r="E578">
        <v>1</v>
      </c>
      <c r="F578">
        <v>1</v>
      </c>
      <c r="G578">
        <v>1</v>
      </c>
      <c r="H578">
        <v>3</v>
      </c>
      <c r="I578" t="s">
        <v>536</v>
      </c>
      <c r="J578" t="s">
        <v>538</v>
      </c>
      <c r="K578" t="s">
        <v>537</v>
      </c>
      <c r="L578">
        <v>1339</v>
      </c>
      <c r="N578">
        <v>1007</v>
      </c>
      <c r="O578" t="s">
        <v>109</v>
      </c>
      <c r="P578" t="s">
        <v>109</v>
      </c>
      <c r="Q578">
        <v>1</v>
      </c>
      <c r="X578">
        <v>1.04</v>
      </c>
      <c r="Y578">
        <v>781.01</v>
      </c>
      <c r="Z578">
        <v>0</v>
      </c>
      <c r="AA578">
        <v>0</v>
      </c>
      <c r="AB578">
        <v>0</v>
      </c>
      <c r="AC578">
        <v>0</v>
      </c>
      <c r="AD578">
        <v>1</v>
      </c>
      <c r="AE578">
        <v>0</v>
      </c>
      <c r="AF578" t="s">
        <v>6</v>
      </c>
      <c r="AG578">
        <v>1.04</v>
      </c>
      <c r="AH578">
        <v>3</v>
      </c>
      <c r="AI578">
        <v>-1</v>
      </c>
      <c r="AJ578" t="s">
        <v>6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</row>
    <row r="579" spans="1:44">
      <c r="A579">
        <f>ROW(Source!A242)</f>
        <v>242</v>
      </c>
      <c r="B579">
        <v>31029921</v>
      </c>
      <c r="C579">
        <v>31029901</v>
      </c>
      <c r="D579">
        <v>29194451</v>
      </c>
      <c r="E579">
        <v>1</v>
      </c>
      <c r="F579">
        <v>1</v>
      </c>
      <c r="G579">
        <v>1</v>
      </c>
      <c r="H579">
        <v>3</v>
      </c>
      <c r="I579" t="s">
        <v>1173</v>
      </c>
      <c r="J579" t="s">
        <v>1174</v>
      </c>
      <c r="K579" t="s">
        <v>1175</v>
      </c>
      <c r="L579">
        <v>1348</v>
      </c>
      <c r="N579">
        <v>1009</v>
      </c>
      <c r="O579" t="s">
        <v>137</v>
      </c>
      <c r="P579" t="s">
        <v>137</v>
      </c>
      <c r="Q579">
        <v>1000</v>
      </c>
      <c r="X579">
        <v>1.1000000000000001E-3</v>
      </c>
      <c r="Y579">
        <v>734.5</v>
      </c>
      <c r="Z579">
        <v>0</v>
      </c>
      <c r="AA579">
        <v>0</v>
      </c>
      <c r="AB579">
        <v>0</v>
      </c>
      <c r="AC579">
        <v>0</v>
      </c>
      <c r="AD579">
        <v>1</v>
      </c>
      <c r="AE579">
        <v>0</v>
      </c>
      <c r="AF579" t="s">
        <v>6</v>
      </c>
      <c r="AG579">
        <v>1.1000000000000001E-3</v>
      </c>
      <c r="AH579">
        <v>2</v>
      </c>
      <c r="AI579">
        <v>31029910</v>
      </c>
      <c r="AJ579">
        <v>553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</row>
    <row r="580" spans="1:44">
      <c r="A580">
        <f>ROW(Source!A242)</f>
        <v>242</v>
      </c>
      <c r="B580">
        <v>31029922</v>
      </c>
      <c r="C580">
        <v>31029901</v>
      </c>
      <c r="D580">
        <v>29195171</v>
      </c>
      <c r="E580">
        <v>1</v>
      </c>
      <c r="F580">
        <v>1</v>
      </c>
      <c r="G580">
        <v>1</v>
      </c>
      <c r="H580">
        <v>3</v>
      </c>
      <c r="I580" t="s">
        <v>830</v>
      </c>
      <c r="J580" t="s">
        <v>831</v>
      </c>
      <c r="K580" t="s">
        <v>832</v>
      </c>
      <c r="L580">
        <v>1339</v>
      </c>
      <c r="N580">
        <v>1007</v>
      </c>
      <c r="O580" t="s">
        <v>109</v>
      </c>
      <c r="P580" t="s">
        <v>109</v>
      </c>
      <c r="Q580">
        <v>1</v>
      </c>
      <c r="X580">
        <v>3.2000000000000002E-3</v>
      </c>
      <c r="Y580">
        <v>2.4500000000000002</v>
      </c>
      <c r="Z580">
        <v>0</v>
      </c>
      <c r="AA580">
        <v>0</v>
      </c>
      <c r="AB580">
        <v>0</v>
      </c>
      <c r="AC580">
        <v>0</v>
      </c>
      <c r="AD580">
        <v>1</v>
      </c>
      <c r="AE580">
        <v>0</v>
      </c>
      <c r="AF580" t="s">
        <v>6</v>
      </c>
      <c r="AG580">
        <v>3.2000000000000002E-3</v>
      </c>
      <c r="AH580">
        <v>2</v>
      </c>
      <c r="AI580">
        <v>31029911</v>
      </c>
      <c r="AJ580">
        <v>554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</row>
    <row r="581" spans="1:44">
      <c r="A581">
        <f>ROW(Source!A245)</f>
        <v>245</v>
      </c>
      <c r="B581">
        <v>31029929</v>
      </c>
      <c r="C581">
        <v>31029925</v>
      </c>
      <c r="D581">
        <v>29084583</v>
      </c>
      <c r="E581">
        <v>1</v>
      </c>
      <c r="F581">
        <v>1</v>
      </c>
      <c r="G581">
        <v>1</v>
      </c>
      <c r="H581">
        <v>1</v>
      </c>
      <c r="I581" t="s">
        <v>857</v>
      </c>
      <c r="J581" t="s">
        <v>6</v>
      </c>
      <c r="K581" t="s">
        <v>858</v>
      </c>
      <c r="L581">
        <v>1369</v>
      </c>
      <c r="N581">
        <v>1013</v>
      </c>
      <c r="O581" t="s">
        <v>773</v>
      </c>
      <c r="P581" t="s">
        <v>773</v>
      </c>
      <c r="Q581">
        <v>1</v>
      </c>
      <c r="X581">
        <v>5.49</v>
      </c>
      <c r="Y581">
        <v>0</v>
      </c>
      <c r="Z581">
        <v>0</v>
      </c>
      <c r="AA581">
        <v>0</v>
      </c>
      <c r="AB581">
        <v>8.23</v>
      </c>
      <c r="AC581">
        <v>0</v>
      </c>
      <c r="AD581">
        <v>1</v>
      </c>
      <c r="AE581">
        <v>1</v>
      </c>
      <c r="AF581" t="s">
        <v>36</v>
      </c>
      <c r="AG581">
        <v>6.3134999999999994</v>
      </c>
      <c r="AH581">
        <v>2</v>
      </c>
      <c r="AI581">
        <v>31029926</v>
      </c>
      <c r="AJ581">
        <v>555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</row>
    <row r="582" spans="1:44">
      <c r="A582">
        <f>ROW(Source!A245)</f>
        <v>245</v>
      </c>
      <c r="B582">
        <v>31029930</v>
      </c>
      <c r="C582">
        <v>31029925</v>
      </c>
      <c r="D582">
        <v>29149247</v>
      </c>
      <c r="E582">
        <v>1</v>
      </c>
      <c r="F582">
        <v>1</v>
      </c>
      <c r="G582">
        <v>1</v>
      </c>
      <c r="H582">
        <v>2</v>
      </c>
      <c r="I582" t="s">
        <v>1176</v>
      </c>
      <c r="J582" t="s">
        <v>1177</v>
      </c>
      <c r="K582" t="s">
        <v>1178</v>
      </c>
      <c r="L582">
        <v>1368</v>
      </c>
      <c r="N582">
        <v>1011</v>
      </c>
      <c r="O582" t="s">
        <v>780</v>
      </c>
      <c r="P582" t="s">
        <v>780</v>
      </c>
      <c r="Q582">
        <v>1</v>
      </c>
      <c r="X582">
        <v>4.9400000000000004</v>
      </c>
      <c r="Y582">
        <v>0</v>
      </c>
      <c r="Z582">
        <v>2.08</v>
      </c>
      <c r="AA582">
        <v>0</v>
      </c>
      <c r="AB582">
        <v>0</v>
      </c>
      <c r="AC582">
        <v>0</v>
      </c>
      <c r="AD582">
        <v>1</v>
      </c>
      <c r="AE582">
        <v>0</v>
      </c>
      <c r="AF582" t="s">
        <v>36</v>
      </c>
      <c r="AG582">
        <v>5.681</v>
      </c>
      <c r="AH582">
        <v>2</v>
      </c>
      <c r="AI582">
        <v>31029927</v>
      </c>
      <c r="AJ582">
        <v>556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</row>
    <row r="583" spans="1:44">
      <c r="A583">
        <f>ROW(Source!A245)</f>
        <v>245</v>
      </c>
      <c r="B583">
        <v>31029931</v>
      </c>
      <c r="C583">
        <v>31029925</v>
      </c>
      <c r="D583">
        <v>29215982</v>
      </c>
      <c r="E583">
        <v>1</v>
      </c>
      <c r="F583">
        <v>1</v>
      </c>
      <c r="G583">
        <v>1</v>
      </c>
      <c r="H583">
        <v>3</v>
      </c>
      <c r="I583" t="s">
        <v>825</v>
      </c>
      <c r="J583" t="s">
        <v>826</v>
      </c>
      <c r="K583" t="s">
        <v>827</v>
      </c>
      <c r="L583">
        <v>1348</v>
      </c>
      <c r="N583">
        <v>1009</v>
      </c>
      <c r="O583" t="s">
        <v>137</v>
      </c>
      <c r="P583" t="s">
        <v>137</v>
      </c>
      <c r="Q583">
        <v>1000</v>
      </c>
      <c r="X583">
        <v>6.0000000000000001E-3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0</v>
      </c>
      <c r="AE583">
        <v>0</v>
      </c>
      <c r="AF583" t="s">
        <v>6</v>
      </c>
      <c r="AG583">
        <v>6.0000000000000001E-3</v>
      </c>
      <c r="AH583">
        <v>2</v>
      </c>
      <c r="AI583">
        <v>31029928</v>
      </c>
      <c r="AJ583">
        <v>557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</row>
    <row r="584" spans="1:44">
      <c r="A584">
        <f>ROW(Source!A246)</f>
        <v>246</v>
      </c>
      <c r="B584">
        <v>31029936</v>
      </c>
      <c r="C584">
        <v>31029932</v>
      </c>
      <c r="D584">
        <v>29084583</v>
      </c>
      <c r="E584">
        <v>1</v>
      </c>
      <c r="F584">
        <v>1</v>
      </c>
      <c r="G584">
        <v>1</v>
      </c>
      <c r="H584">
        <v>1</v>
      </c>
      <c r="I584" t="s">
        <v>857</v>
      </c>
      <c r="J584" t="s">
        <v>6</v>
      </c>
      <c r="K584" t="s">
        <v>858</v>
      </c>
      <c r="L584">
        <v>1369</v>
      </c>
      <c r="N584">
        <v>1013</v>
      </c>
      <c r="O584" t="s">
        <v>773</v>
      </c>
      <c r="P584" t="s">
        <v>773</v>
      </c>
      <c r="Q584">
        <v>1</v>
      </c>
      <c r="X584">
        <v>5.28</v>
      </c>
      <c r="Y584">
        <v>0</v>
      </c>
      <c r="Z584">
        <v>0</v>
      </c>
      <c r="AA584">
        <v>0</v>
      </c>
      <c r="AB584">
        <v>8.23</v>
      </c>
      <c r="AC584">
        <v>0</v>
      </c>
      <c r="AD584">
        <v>1</v>
      </c>
      <c r="AE584">
        <v>1</v>
      </c>
      <c r="AF584" t="s">
        <v>36</v>
      </c>
      <c r="AG584">
        <v>6.0720000000000001</v>
      </c>
      <c r="AH584">
        <v>2</v>
      </c>
      <c r="AI584">
        <v>31029933</v>
      </c>
      <c r="AJ584">
        <v>558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</row>
    <row r="585" spans="1:44">
      <c r="A585">
        <f>ROW(Source!A246)</f>
        <v>246</v>
      </c>
      <c r="B585">
        <v>31029937</v>
      </c>
      <c r="C585">
        <v>31029932</v>
      </c>
      <c r="D585">
        <v>29149247</v>
      </c>
      <c r="E585">
        <v>1</v>
      </c>
      <c r="F585">
        <v>1</v>
      </c>
      <c r="G585">
        <v>1</v>
      </c>
      <c r="H585">
        <v>2</v>
      </c>
      <c r="I585" t="s">
        <v>1176</v>
      </c>
      <c r="J585" t="s">
        <v>1177</v>
      </c>
      <c r="K585" t="s">
        <v>1178</v>
      </c>
      <c r="L585">
        <v>1368</v>
      </c>
      <c r="N585">
        <v>1011</v>
      </c>
      <c r="O585" t="s">
        <v>780</v>
      </c>
      <c r="P585" t="s">
        <v>780</v>
      </c>
      <c r="Q585">
        <v>1</v>
      </c>
      <c r="X585">
        <v>4.75</v>
      </c>
      <c r="Y585">
        <v>0</v>
      </c>
      <c r="Z585">
        <v>2.08</v>
      </c>
      <c r="AA585">
        <v>0</v>
      </c>
      <c r="AB585">
        <v>0</v>
      </c>
      <c r="AC585">
        <v>0</v>
      </c>
      <c r="AD585">
        <v>1</v>
      </c>
      <c r="AE585">
        <v>0</v>
      </c>
      <c r="AF585" t="s">
        <v>36</v>
      </c>
      <c r="AG585">
        <v>5.4624999999999995</v>
      </c>
      <c r="AH585">
        <v>2</v>
      </c>
      <c r="AI585">
        <v>31029934</v>
      </c>
      <c r="AJ585">
        <v>559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</row>
    <row r="586" spans="1:44">
      <c r="A586">
        <f>ROW(Source!A246)</f>
        <v>246</v>
      </c>
      <c r="B586">
        <v>31029938</v>
      </c>
      <c r="C586">
        <v>31029932</v>
      </c>
      <c r="D586">
        <v>29215982</v>
      </c>
      <c r="E586">
        <v>1</v>
      </c>
      <c r="F586">
        <v>1</v>
      </c>
      <c r="G586">
        <v>1</v>
      </c>
      <c r="H586">
        <v>3</v>
      </c>
      <c r="I586" t="s">
        <v>825</v>
      </c>
      <c r="J586" t="s">
        <v>826</v>
      </c>
      <c r="K586" t="s">
        <v>827</v>
      </c>
      <c r="L586">
        <v>1348</v>
      </c>
      <c r="N586">
        <v>1009</v>
      </c>
      <c r="O586" t="s">
        <v>137</v>
      </c>
      <c r="P586" t="s">
        <v>137</v>
      </c>
      <c r="Q586">
        <v>1000</v>
      </c>
      <c r="X586">
        <v>6.0000000000000001E-3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0</v>
      </c>
      <c r="AE586">
        <v>0</v>
      </c>
      <c r="AF586" t="s">
        <v>6</v>
      </c>
      <c r="AG586">
        <v>6.0000000000000001E-3</v>
      </c>
      <c r="AH586">
        <v>2</v>
      </c>
      <c r="AI586">
        <v>31029935</v>
      </c>
      <c r="AJ586">
        <v>560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</row>
    <row r="587" spans="1:44">
      <c r="A587">
        <f>ROW(Source!A247)</f>
        <v>247</v>
      </c>
      <c r="B587">
        <v>31029948</v>
      </c>
      <c r="C587">
        <v>31029939</v>
      </c>
      <c r="D587">
        <v>29084588</v>
      </c>
      <c r="E587">
        <v>1</v>
      </c>
      <c r="F587">
        <v>1</v>
      </c>
      <c r="G587">
        <v>1</v>
      </c>
      <c r="H587">
        <v>1</v>
      </c>
      <c r="I587" t="s">
        <v>909</v>
      </c>
      <c r="J587" t="s">
        <v>6</v>
      </c>
      <c r="K587" t="s">
        <v>910</v>
      </c>
      <c r="L587">
        <v>1369</v>
      </c>
      <c r="N587">
        <v>1013</v>
      </c>
      <c r="O587" t="s">
        <v>773</v>
      </c>
      <c r="P587" t="s">
        <v>773</v>
      </c>
      <c r="Q587">
        <v>1</v>
      </c>
      <c r="X587">
        <v>36.08</v>
      </c>
      <c r="Y587">
        <v>0</v>
      </c>
      <c r="Z587">
        <v>0</v>
      </c>
      <c r="AA587">
        <v>0</v>
      </c>
      <c r="AB587">
        <v>8.76</v>
      </c>
      <c r="AC587">
        <v>0</v>
      </c>
      <c r="AD587">
        <v>1</v>
      </c>
      <c r="AE587">
        <v>1</v>
      </c>
      <c r="AF587" t="s">
        <v>127</v>
      </c>
      <c r="AG587">
        <v>47.715799999999994</v>
      </c>
      <c r="AH587">
        <v>2</v>
      </c>
      <c r="AI587">
        <v>31029940</v>
      </c>
      <c r="AJ587">
        <v>561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</row>
    <row r="588" spans="1:44">
      <c r="A588">
        <f>ROW(Source!A247)</f>
        <v>247</v>
      </c>
      <c r="B588">
        <v>31029949</v>
      </c>
      <c r="C588">
        <v>31029939</v>
      </c>
      <c r="D588">
        <v>29084573</v>
      </c>
      <c r="E588">
        <v>1</v>
      </c>
      <c r="F588">
        <v>1</v>
      </c>
      <c r="G588">
        <v>1</v>
      </c>
      <c r="H588">
        <v>1</v>
      </c>
      <c r="I588" t="s">
        <v>774</v>
      </c>
      <c r="J588" t="s">
        <v>6</v>
      </c>
      <c r="K588" t="s">
        <v>775</v>
      </c>
      <c r="L588">
        <v>608254</v>
      </c>
      <c r="N588">
        <v>1013</v>
      </c>
      <c r="O588" t="s">
        <v>776</v>
      </c>
      <c r="P588" t="s">
        <v>776</v>
      </c>
      <c r="Q588">
        <v>1</v>
      </c>
      <c r="X588">
        <v>0.37</v>
      </c>
      <c r="Y588">
        <v>0</v>
      </c>
      <c r="Z588">
        <v>0</v>
      </c>
      <c r="AA588">
        <v>0</v>
      </c>
      <c r="AB588">
        <v>0</v>
      </c>
      <c r="AC588">
        <v>0</v>
      </c>
      <c r="AD588">
        <v>1</v>
      </c>
      <c r="AE588">
        <v>2</v>
      </c>
      <c r="AF588" t="s">
        <v>126</v>
      </c>
      <c r="AG588">
        <v>0.53187499999999999</v>
      </c>
      <c r="AH588">
        <v>2</v>
      </c>
      <c r="AI588">
        <v>31029941</v>
      </c>
      <c r="AJ588">
        <v>562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</row>
    <row r="589" spans="1:44">
      <c r="A589">
        <f>ROW(Source!A247)</f>
        <v>247</v>
      </c>
      <c r="B589">
        <v>31029950</v>
      </c>
      <c r="C589">
        <v>31029939</v>
      </c>
      <c r="D589">
        <v>29147601</v>
      </c>
      <c r="E589">
        <v>1</v>
      </c>
      <c r="F589">
        <v>1</v>
      </c>
      <c r="G589">
        <v>1</v>
      </c>
      <c r="H589">
        <v>2</v>
      </c>
      <c r="I589" t="s">
        <v>781</v>
      </c>
      <c r="J589" t="s">
        <v>782</v>
      </c>
      <c r="K589" t="s">
        <v>783</v>
      </c>
      <c r="L589">
        <v>1368</v>
      </c>
      <c r="N589">
        <v>1011</v>
      </c>
      <c r="O589" t="s">
        <v>780</v>
      </c>
      <c r="P589" t="s">
        <v>780</v>
      </c>
      <c r="Q589">
        <v>1</v>
      </c>
      <c r="X589">
        <v>0.37</v>
      </c>
      <c r="Y589">
        <v>0</v>
      </c>
      <c r="Z589">
        <v>108.45</v>
      </c>
      <c r="AA589">
        <v>13.03</v>
      </c>
      <c r="AB589">
        <v>0</v>
      </c>
      <c r="AC589">
        <v>0</v>
      </c>
      <c r="AD589">
        <v>1</v>
      </c>
      <c r="AE589">
        <v>0</v>
      </c>
      <c r="AF589" t="s">
        <v>126</v>
      </c>
      <c r="AG589">
        <v>0.53187499999999999</v>
      </c>
      <c r="AH589">
        <v>2</v>
      </c>
      <c r="AI589">
        <v>31029942</v>
      </c>
      <c r="AJ589">
        <v>563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</row>
    <row r="590" spans="1:44">
      <c r="A590">
        <f>ROW(Source!A247)</f>
        <v>247</v>
      </c>
      <c r="B590">
        <v>31029951</v>
      </c>
      <c r="C590">
        <v>31029939</v>
      </c>
      <c r="D590">
        <v>29147805</v>
      </c>
      <c r="E590">
        <v>1</v>
      </c>
      <c r="F590">
        <v>1</v>
      </c>
      <c r="G590">
        <v>1</v>
      </c>
      <c r="H590">
        <v>2</v>
      </c>
      <c r="I590" t="s">
        <v>1179</v>
      </c>
      <c r="J590" t="s">
        <v>1180</v>
      </c>
      <c r="K590" t="s">
        <v>1181</v>
      </c>
      <c r="L590">
        <v>1368</v>
      </c>
      <c r="N590">
        <v>1011</v>
      </c>
      <c r="O590" t="s">
        <v>780</v>
      </c>
      <c r="P590" t="s">
        <v>780</v>
      </c>
      <c r="Q590">
        <v>1</v>
      </c>
      <c r="X590">
        <v>1.62</v>
      </c>
      <c r="Y590">
        <v>0</v>
      </c>
      <c r="Z590">
        <v>8.1</v>
      </c>
      <c r="AA590">
        <v>0</v>
      </c>
      <c r="AB590">
        <v>0</v>
      </c>
      <c r="AC590">
        <v>0</v>
      </c>
      <c r="AD590">
        <v>1</v>
      </c>
      <c r="AE590">
        <v>0</v>
      </c>
      <c r="AF590" t="s">
        <v>126</v>
      </c>
      <c r="AG590">
        <v>2.3287500000000003</v>
      </c>
      <c r="AH590">
        <v>2</v>
      </c>
      <c r="AI590">
        <v>31029943</v>
      </c>
      <c r="AJ590">
        <v>564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</row>
    <row r="591" spans="1:44">
      <c r="A591">
        <f>ROW(Source!A247)</f>
        <v>247</v>
      </c>
      <c r="B591">
        <v>31029952</v>
      </c>
      <c r="C591">
        <v>31029939</v>
      </c>
      <c r="D591">
        <v>29149520</v>
      </c>
      <c r="E591">
        <v>1</v>
      </c>
      <c r="F591">
        <v>1</v>
      </c>
      <c r="G591">
        <v>1</v>
      </c>
      <c r="H591">
        <v>2</v>
      </c>
      <c r="I591" t="s">
        <v>790</v>
      </c>
      <c r="J591" t="s">
        <v>791</v>
      </c>
      <c r="K591" t="s">
        <v>792</v>
      </c>
      <c r="L591">
        <v>1368</v>
      </c>
      <c r="N591">
        <v>1011</v>
      </c>
      <c r="O591" t="s">
        <v>780</v>
      </c>
      <c r="P591" t="s">
        <v>780</v>
      </c>
      <c r="Q591">
        <v>1</v>
      </c>
      <c r="X591">
        <v>0.26</v>
      </c>
      <c r="Y591">
        <v>0</v>
      </c>
      <c r="Z591">
        <v>91.62</v>
      </c>
      <c r="AA591">
        <v>0</v>
      </c>
      <c r="AB591">
        <v>0</v>
      </c>
      <c r="AC591">
        <v>0</v>
      </c>
      <c r="AD591">
        <v>1</v>
      </c>
      <c r="AE591">
        <v>0</v>
      </c>
      <c r="AF591" t="s">
        <v>126</v>
      </c>
      <c r="AG591">
        <v>0.37374999999999997</v>
      </c>
      <c r="AH591">
        <v>2</v>
      </c>
      <c r="AI591">
        <v>31029944</v>
      </c>
      <c r="AJ591">
        <v>565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</row>
    <row r="592" spans="1:44">
      <c r="A592">
        <f>ROW(Source!A247)</f>
        <v>247</v>
      </c>
      <c r="B592">
        <v>31029953</v>
      </c>
      <c r="C592">
        <v>31029939</v>
      </c>
      <c r="D592">
        <v>29151790</v>
      </c>
      <c r="E592">
        <v>1</v>
      </c>
      <c r="F592">
        <v>1</v>
      </c>
      <c r="G592">
        <v>1</v>
      </c>
      <c r="H592">
        <v>3</v>
      </c>
      <c r="I592" t="s">
        <v>1068</v>
      </c>
      <c r="J592" t="s">
        <v>1069</v>
      </c>
      <c r="K592" t="s">
        <v>1070</v>
      </c>
      <c r="L592">
        <v>1348</v>
      </c>
      <c r="N592">
        <v>1009</v>
      </c>
      <c r="O592" t="s">
        <v>137</v>
      </c>
      <c r="P592" t="s">
        <v>137</v>
      </c>
      <c r="Q592">
        <v>1000</v>
      </c>
      <c r="X592">
        <v>2E-3</v>
      </c>
      <c r="Y592">
        <v>11191.78</v>
      </c>
      <c r="Z592">
        <v>0</v>
      </c>
      <c r="AA592">
        <v>0</v>
      </c>
      <c r="AB592">
        <v>0</v>
      </c>
      <c r="AC592">
        <v>0</v>
      </c>
      <c r="AD592">
        <v>1</v>
      </c>
      <c r="AE592">
        <v>0</v>
      </c>
      <c r="AF592" t="s">
        <v>6</v>
      </c>
      <c r="AG592">
        <v>2E-3</v>
      </c>
      <c r="AH592">
        <v>2</v>
      </c>
      <c r="AI592">
        <v>31029945</v>
      </c>
      <c r="AJ592">
        <v>566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</row>
    <row r="593" spans="1:44">
      <c r="A593">
        <f>ROW(Source!A247)</f>
        <v>247</v>
      </c>
      <c r="B593">
        <v>31029954</v>
      </c>
      <c r="C593">
        <v>31029939</v>
      </c>
      <c r="D593">
        <v>29170404</v>
      </c>
      <c r="E593">
        <v>1</v>
      </c>
      <c r="F593">
        <v>1</v>
      </c>
      <c r="G593">
        <v>1</v>
      </c>
      <c r="H593">
        <v>3</v>
      </c>
      <c r="I593" t="s">
        <v>1182</v>
      </c>
      <c r="J593" t="s">
        <v>1183</v>
      </c>
      <c r="K593" t="s">
        <v>1184</v>
      </c>
      <c r="L593">
        <v>1354</v>
      </c>
      <c r="N593">
        <v>1010</v>
      </c>
      <c r="O593" t="s">
        <v>704</v>
      </c>
      <c r="P593" t="s">
        <v>704</v>
      </c>
      <c r="Q593">
        <v>1</v>
      </c>
      <c r="X593">
        <v>0.01</v>
      </c>
      <c r="Y593">
        <v>346</v>
      </c>
      <c r="Z593">
        <v>0</v>
      </c>
      <c r="AA593">
        <v>0</v>
      </c>
      <c r="AB593">
        <v>0</v>
      </c>
      <c r="AC593">
        <v>0</v>
      </c>
      <c r="AD593">
        <v>1</v>
      </c>
      <c r="AE593">
        <v>0</v>
      </c>
      <c r="AF593" t="s">
        <v>6</v>
      </c>
      <c r="AG593">
        <v>0.01</v>
      </c>
      <c r="AH593">
        <v>2</v>
      </c>
      <c r="AI593">
        <v>31029946</v>
      </c>
      <c r="AJ593">
        <v>567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</row>
    <row r="594" spans="1:44">
      <c r="A594">
        <f>ROW(Source!A247)</f>
        <v>247</v>
      </c>
      <c r="B594">
        <v>31029955</v>
      </c>
      <c r="C594">
        <v>31029939</v>
      </c>
      <c r="D594">
        <v>29173213</v>
      </c>
      <c r="E594">
        <v>1</v>
      </c>
      <c r="F594">
        <v>1</v>
      </c>
      <c r="G594">
        <v>1</v>
      </c>
      <c r="H594">
        <v>3</v>
      </c>
      <c r="I594" t="s">
        <v>1185</v>
      </c>
      <c r="J594" t="s">
        <v>1186</v>
      </c>
      <c r="K594" t="s">
        <v>1187</v>
      </c>
      <c r="L594">
        <v>1348</v>
      </c>
      <c r="N594">
        <v>1009</v>
      </c>
      <c r="O594" t="s">
        <v>137</v>
      </c>
      <c r="P594" t="s">
        <v>137</v>
      </c>
      <c r="Q594">
        <v>1000</v>
      </c>
      <c r="X594">
        <v>1</v>
      </c>
      <c r="Y594">
        <v>7665.9</v>
      </c>
      <c r="Z594">
        <v>0</v>
      </c>
      <c r="AA594">
        <v>0</v>
      </c>
      <c r="AB594">
        <v>0</v>
      </c>
      <c r="AC594">
        <v>0</v>
      </c>
      <c r="AD594">
        <v>1</v>
      </c>
      <c r="AE594">
        <v>0</v>
      </c>
      <c r="AF594" t="s">
        <v>6</v>
      </c>
      <c r="AG594">
        <v>1</v>
      </c>
      <c r="AH594">
        <v>2</v>
      </c>
      <c r="AI594">
        <v>31029947</v>
      </c>
      <c r="AJ594">
        <v>568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</row>
    <row r="595" spans="1:44">
      <c r="A595">
        <f>ROW(Source!A249)</f>
        <v>249</v>
      </c>
      <c r="B595">
        <v>31029963</v>
      </c>
      <c r="C595">
        <v>31029957</v>
      </c>
      <c r="D595">
        <v>29084581</v>
      </c>
      <c r="E595">
        <v>1</v>
      </c>
      <c r="F595">
        <v>1</v>
      </c>
      <c r="G595">
        <v>1</v>
      </c>
      <c r="H595">
        <v>1</v>
      </c>
      <c r="I595" t="s">
        <v>880</v>
      </c>
      <c r="J595" t="s">
        <v>6</v>
      </c>
      <c r="K595" t="s">
        <v>881</v>
      </c>
      <c r="L595">
        <v>1369</v>
      </c>
      <c r="N595">
        <v>1013</v>
      </c>
      <c r="O595" t="s">
        <v>773</v>
      </c>
      <c r="P595" t="s">
        <v>773</v>
      </c>
      <c r="Q595">
        <v>1</v>
      </c>
      <c r="X595">
        <v>5.21</v>
      </c>
      <c r="Y595">
        <v>0</v>
      </c>
      <c r="Z595">
        <v>0</v>
      </c>
      <c r="AA595">
        <v>0</v>
      </c>
      <c r="AB595">
        <v>8.02</v>
      </c>
      <c r="AC595">
        <v>0</v>
      </c>
      <c r="AD595">
        <v>1</v>
      </c>
      <c r="AE595">
        <v>1</v>
      </c>
      <c r="AF595" t="s">
        <v>127</v>
      </c>
      <c r="AG595">
        <v>6.8902249999999992</v>
      </c>
      <c r="AH595">
        <v>2</v>
      </c>
      <c r="AI595">
        <v>31029958</v>
      </c>
      <c r="AJ595">
        <v>569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</row>
    <row r="596" spans="1:44">
      <c r="A596">
        <f>ROW(Source!A249)</f>
        <v>249</v>
      </c>
      <c r="B596">
        <v>31029964</v>
      </c>
      <c r="C596">
        <v>31029957</v>
      </c>
      <c r="D596">
        <v>29084573</v>
      </c>
      <c r="E596">
        <v>1</v>
      </c>
      <c r="F596">
        <v>1</v>
      </c>
      <c r="G596">
        <v>1</v>
      </c>
      <c r="H596">
        <v>1</v>
      </c>
      <c r="I596" t="s">
        <v>774</v>
      </c>
      <c r="J596" t="s">
        <v>6</v>
      </c>
      <c r="K596" t="s">
        <v>775</v>
      </c>
      <c r="L596">
        <v>608254</v>
      </c>
      <c r="N596">
        <v>1013</v>
      </c>
      <c r="O596" t="s">
        <v>776</v>
      </c>
      <c r="P596" t="s">
        <v>776</v>
      </c>
      <c r="Q596">
        <v>1</v>
      </c>
      <c r="X596">
        <v>0.4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1</v>
      </c>
      <c r="AE596">
        <v>2</v>
      </c>
      <c r="AF596" t="s">
        <v>126</v>
      </c>
      <c r="AG596">
        <v>0.57499999999999996</v>
      </c>
      <c r="AH596">
        <v>2</v>
      </c>
      <c r="AI596">
        <v>31029959</v>
      </c>
      <c r="AJ596">
        <v>570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</row>
    <row r="597" spans="1:44">
      <c r="A597">
        <f>ROW(Source!A249)</f>
        <v>249</v>
      </c>
      <c r="B597">
        <v>31029965</v>
      </c>
      <c r="C597">
        <v>31029957</v>
      </c>
      <c r="D597">
        <v>29147520</v>
      </c>
      <c r="E597">
        <v>1</v>
      </c>
      <c r="F597">
        <v>1</v>
      </c>
      <c r="G597">
        <v>1</v>
      </c>
      <c r="H597">
        <v>2</v>
      </c>
      <c r="I597" t="s">
        <v>777</v>
      </c>
      <c r="J597" t="s">
        <v>778</v>
      </c>
      <c r="K597" t="s">
        <v>779</v>
      </c>
      <c r="L597">
        <v>1368</v>
      </c>
      <c r="N597">
        <v>1011</v>
      </c>
      <c r="O597" t="s">
        <v>780</v>
      </c>
      <c r="P597" t="s">
        <v>780</v>
      </c>
      <c r="Q597">
        <v>1</v>
      </c>
      <c r="X597">
        <v>0.4</v>
      </c>
      <c r="Y597">
        <v>0</v>
      </c>
      <c r="Z597">
        <v>85.93</v>
      </c>
      <c r="AA597">
        <v>13.03</v>
      </c>
      <c r="AB597">
        <v>0</v>
      </c>
      <c r="AC597">
        <v>0</v>
      </c>
      <c r="AD597">
        <v>1</v>
      </c>
      <c r="AE597">
        <v>0</v>
      </c>
      <c r="AF597" t="s">
        <v>126</v>
      </c>
      <c r="AG597">
        <v>0.57499999999999996</v>
      </c>
      <c r="AH597">
        <v>2</v>
      </c>
      <c r="AI597">
        <v>31029960</v>
      </c>
      <c r="AJ597">
        <v>571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</row>
    <row r="598" spans="1:44">
      <c r="A598">
        <f>ROW(Source!A249)</f>
        <v>249</v>
      </c>
      <c r="B598">
        <v>31029966</v>
      </c>
      <c r="C598">
        <v>31029957</v>
      </c>
      <c r="D598">
        <v>29158138</v>
      </c>
      <c r="E598">
        <v>1</v>
      </c>
      <c r="F598">
        <v>1</v>
      </c>
      <c r="G598">
        <v>1</v>
      </c>
      <c r="H598">
        <v>3</v>
      </c>
      <c r="I598" t="s">
        <v>882</v>
      </c>
      <c r="J598" t="s">
        <v>883</v>
      </c>
      <c r="K598" t="s">
        <v>884</v>
      </c>
      <c r="L598">
        <v>1339</v>
      </c>
      <c r="N598">
        <v>1007</v>
      </c>
      <c r="O598" t="s">
        <v>109</v>
      </c>
      <c r="P598" t="s">
        <v>109</v>
      </c>
      <c r="Q598">
        <v>1</v>
      </c>
      <c r="X598">
        <v>5.0000000000000001E-4</v>
      </c>
      <c r="Y598">
        <v>803.98</v>
      </c>
      <c r="Z598">
        <v>0</v>
      </c>
      <c r="AA598">
        <v>0</v>
      </c>
      <c r="AB598">
        <v>0</v>
      </c>
      <c r="AC598">
        <v>0</v>
      </c>
      <c r="AD598">
        <v>1</v>
      </c>
      <c r="AE598">
        <v>0</v>
      </c>
      <c r="AF598" t="s">
        <v>6</v>
      </c>
      <c r="AG598">
        <v>5.0000000000000001E-4</v>
      </c>
      <c r="AH598">
        <v>2</v>
      </c>
      <c r="AI598">
        <v>31029961</v>
      </c>
      <c r="AJ598">
        <v>572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</row>
    <row r="599" spans="1:44">
      <c r="A599">
        <f>ROW(Source!A249)</f>
        <v>249</v>
      </c>
      <c r="B599">
        <v>31029967</v>
      </c>
      <c r="C599">
        <v>31029957</v>
      </c>
      <c r="D599">
        <v>29186497</v>
      </c>
      <c r="E599">
        <v>1</v>
      </c>
      <c r="F599">
        <v>1</v>
      </c>
      <c r="G599">
        <v>1</v>
      </c>
      <c r="H599">
        <v>3</v>
      </c>
      <c r="I599" t="s">
        <v>158</v>
      </c>
      <c r="J599" t="s">
        <v>160</v>
      </c>
      <c r="K599" t="s">
        <v>159</v>
      </c>
      <c r="L599">
        <v>1339</v>
      </c>
      <c r="N599">
        <v>1007</v>
      </c>
      <c r="O599" t="s">
        <v>109</v>
      </c>
      <c r="P599" t="s">
        <v>109</v>
      </c>
      <c r="Q599">
        <v>1</v>
      </c>
      <c r="X599">
        <v>0.23400000000000001</v>
      </c>
      <c r="Y599">
        <v>428.17</v>
      </c>
      <c r="Z599">
        <v>0</v>
      </c>
      <c r="AA599">
        <v>0</v>
      </c>
      <c r="AB599">
        <v>0</v>
      </c>
      <c r="AC599">
        <v>0</v>
      </c>
      <c r="AD599">
        <v>1</v>
      </c>
      <c r="AE599">
        <v>0</v>
      </c>
      <c r="AF599" t="s">
        <v>6</v>
      </c>
      <c r="AG599">
        <v>0.23400000000000001</v>
      </c>
      <c r="AH599">
        <v>3</v>
      </c>
      <c r="AI599">
        <v>-1</v>
      </c>
      <c r="AJ599" t="s">
        <v>6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</row>
    <row r="600" spans="1:44">
      <c r="A600">
        <f>ROW(Source!A249)</f>
        <v>249</v>
      </c>
      <c r="B600">
        <v>31029968</v>
      </c>
      <c r="C600">
        <v>31029957</v>
      </c>
      <c r="D600">
        <v>29194116</v>
      </c>
      <c r="E600">
        <v>1</v>
      </c>
      <c r="F600">
        <v>1</v>
      </c>
      <c r="G600">
        <v>1</v>
      </c>
      <c r="H600">
        <v>3</v>
      </c>
      <c r="I600" t="s">
        <v>153</v>
      </c>
      <c r="J600" t="s">
        <v>156</v>
      </c>
      <c r="K600" t="s">
        <v>154</v>
      </c>
      <c r="L600">
        <v>1356</v>
      </c>
      <c r="N600">
        <v>1010</v>
      </c>
      <c r="O600" t="s">
        <v>155</v>
      </c>
      <c r="P600" t="s">
        <v>155</v>
      </c>
      <c r="Q600">
        <v>1000</v>
      </c>
      <c r="X600">
        <v>0.39500000000000002</v>
      </c>
      <c r="Y600">
        <v>1662.7</v>
      </c>
      <c r="Z600">
        <v>0</v>
      </c>
      <c r="AA600">
        <v>0</v>
      </c>
      <c r="AB600">
        <v>0</v>
      </c>
      <c r="AC600">
        <v>0</v>
      </c>
      <c r="AD600">
        <v>1</v>
      </c>
      <c r="AE600">
        <v>0</v>
      </c>
      <c r="AF600" t="s">
        <v>6</v>
      </c>
      <c r="AG600">
        <v>0.39500000000000002</v>
      </c>
      <c r="AH600">
        <v>3</v>
      </c>
      <c r="AI600">
        <v>-1</v>
      </c>
      <c r="AJ600" t="s">
        <v>6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</row>
    <row r="601" spans="1:44">
      <c r="A601">
        <f>ROW(Source!A249)</f>
        <v>249</v>
      </c>
      <c r="B601">
        <v>31029969</v>
      </c>
      <c r="C601">
        <v>31029957</v>
      </c>
      <c r="D601">
        <v>29195171</v>
      </c>
      <c r="E601">
        <v>1</v>
      </c>
      <c r="F601">
        <v>1</v>
      </c>
      <c r="G601">
        <v>1</v>
      </c>
      <c r="H601">
        <v>3</v>
      </c>
      <c r="I601" t="s">
        <v>830</v>
      </c>
      <c r="J601" t="s">
        <v>831</v>
      </c>
      <c r="K601" t="s">
        <v>832</v>
      </c>
      <c r="L601">
        <v>1339</v>
      </c>
      <c r="N601">
        <v>1007</v>
      </c>
      <c r="O601" t="s">
        <v>109</v>
      </c>
      <c r="P601" t="s">
        <v>109</v>
      </c>
      <c r="Q601">
        <v>1</v>
      </c>
      <c r="X601">
        <v>0.44</v>
      </c>
      <c r="Y601">
        <v>2.4500000000000002</v>
      </c>
      <c r="Z601">
        <v>0</v>
      </c>
      <c r="AA601">
        <v>0</v>
      </c>
      <c r="AB601">
        <v>0</v>
      </c>
      <c r="AC601">
        <v>0</v>
      </c>
      <c r="AD601">
        <v>1</v>
      </c>
      <c r="AE601">
        <v>0</v>
      </c>
      <c r="AF601" t="s">
        <v>6</v>
      </c>
      <c r="AG601">
        <v>0.44</v>
      </c>
      <c r="AH601">
        <v>2</v>
      </c>
      <c r="AI601">
        <v>31029962</v>
      </c>
      <c r="AJ601">
        <v>573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</row>
    <row r="602" spans="1:44">
      <c r="A602">
        <f>ROW(Source!A254)</f>
        <v>254</v>
      </c>
      <c r="B602">
        <v>31029980</v>
      </c>
      <c r="C602">
        <v>31029974</v>
      </c>
      <c r="D602">
        <v>30853534</v>
      </c>
      <c r="E602">
        <v>1</v>
      </c>
      <c r="F602">
        <v>1</v>
      </c>
      <c r="G602">
        <v>1</v>
      </c>
      <c r="H602">
        <v>1</v>
      </c>
      <c r="I602" t="s">
        <v>1188</v>
      </c>
      <c r="J602" t="s">
        <v>6</v>
      </c>
      <c r="K602" t="s">
        <v>1189</v>
      </c>
      <c r="L602">
        <v>1369</v>
      </c>
      <c r="N602">
        <v>1013</v>
      </c>
      <c r="O602" t="s">
        <v>773</v>
      </c>
      <c r="P602" t="s">
        <v>773</v>
      </c>
      <c r="Q602">
        <v>1</v>
      </c>
      <c r="X602">
        <v>63.73</v>
      </c>
      <c r="Y602">
        <v>0</v>
      </c>
      <c r="Z602">
        <v>0</v>
      </c>
      <c r="AA602">
        <v>0</v>
      </c>
      <c r="AB602">
        <v>7.67</v>
      </c>
      <c r="AC602">
        <v>0</v>
      </c>
      <c r="AD602">
        <v>1</v>
      </c>
      <c r="AE602">
        <v>1</v>
      </c>
      <c r="AF602" t="s">
        <v>127</v>
      </c>
      <c r="AG602">
        <v>84.282924999999977</v>
      </c>
      <c r="AH602">
        <v>2</v>
      </c>
      <c r="AI602">
        <v>31029975</v>
      </c>
      <c r="AJ602">
        <v>574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</row>
    <row r="603" spans="1:44">
      <c r="A603">
        <f>ROW(Source!A254)</f>
        <v>254</v>
      </c>
      <c r="B603">
        <v>31029981</v>
      </c>
      <c r="C603">
        <v>31029974</v>
      </c>
      <c r="D603">
        <v>29084573</v>
      </c>
      <c r="E603">
        <v>1</v>
      </c>
      <c r="F603">
        <v>1</v>
      </c>
      <c r="G603">
        <v>1</v>
      </c>
      <c r="H603">
        <v>1</v>
      </c>
      <c r="I603" t="s">
        <v>774</v>
      </c>
      <c r="J603" t="s">
        <v>6</v>
      </c>
      <c r="K603" t="s">
        <v>775</v>
      </c>
      <c r="L603">
        <v>608254</v>
      </c>
      <c r="N603">
        <v>1013</v>
      </c>
      <c r="O603" t="s">
        <v>776</v>
      </c>
      <c r="P603" t="s">
        <v>776</v>
      </c>
      <c r="Q603">
        <v>1</v>
      </c>
      <c r="X603">
        <v>0.23</v>
      </c>
      <c r="Y603">
        <v>0</v>
      </c>
      <c r="Z603">
        <v>0</v>
      </c>
      <c r="AA603">
        <v>0</v>
      </c>
      <c r="AB603">
        <v>0</v>
      </c>
      <c r="AC603">
        <v>0</v>
      </c>
      <c r="AD603">
        <v>1</v>
      </c>
      <c r="AE603">
        <v>2</v>
      </c>
      <c r="AF603" t="s">
        <v>126</v>
      </c>
      <c r="AG603">
        <v>0.330625</v>
      </c>
      <c r="AH603">
        <v>2</v>
      </c>
      <c r="AI603">
        <v>31029976</v>
      </c>
      <c r="AJ603">
        <v>575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</row>
    <row r="604" spans="1:44">
      <c r="A604">
        <f>ROW(Source!A254)</f>
        <v>254</v>
      </c>
      <c r="B604">
        <v>31029982</v>
      </c>
      <c r="C604">
        <v>31029974</v>
      </c>
      <c r="D604">
        <v>29147520</v>
      </c>
      <c r="E604">
        <v>1</v>
      </c>
      <c r="F604">
        <v>1</v>
      </c>
      <c r="G604">
        <v>1</v>
      </c>
      <c r="H604">
        <v>2</v>
      </c>
      <c r="I604" t="s">
        <v>777</v>
      </c>
      <c r="J604" t="s">
        <v>778</v>
      </c>
      <c r="K604" t="s">
        <v>779</v>
      </c>
      <c r="L604">
        <v>1368</v>
      </c>
      <c r="N604">
        <v>1011</v>
      </c>
      <c r="O604" t="s">
        <v>780</v>
      </c>
      <c r="P604" t="s">
        <v>780</v>
      </c>
      <c r="Q604">
        <v>1</v>
      </c>
      <c r="X604">
        <v>0.23</v>
      </c>
      <c r="Y604">
        <v>0</v>
      </c>
      <c r="Z604">
        <v>85.93</v>
      </c>
      <c r="AA604">
        <v>13.03</v>
      </c>
      <c r="AB604">
        <v>0</v>
      </c>
      <c r="AC604">
        <v>0</v>
      </c>
      <c r="AD604">
        <v>1</v>
      </c>
      <c r="AE604">
        <v>0</v>
      </c>
      <c r="AF604" t="s">
        <v>126</v>
      </c>
      <c r="AG604">
        <v>0.330625</v>
      </c>
      <c r="AH604">
        <v>2</v>
      </c>
      <c r="AI604">
        <v>31029977</v>
      </c>
      <c r="AJ604">
        <v>576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</row>
    <row r="605" spans="1:44">
      <c r="A605">
        <f>ROW(Source!A254)</f>
        <v>254</v>
      </c>
      <c r="B605">
        <v>31029983</v>
      </c>
      <c r="C605">
        <v>31029974</v>
      </c>
      <c r="D605">
        <v>29149520</v>
      </c>
      <c r="E605">
        <v>1</v>
      </c>
      <c r="F605">
        <v>1</v>
      </c>
      <c r="G605">
        <v>1</v>
      </c>
      <c r="H605">
        <v>2</v>
      </c>
      <c r="I605" t="s">
        <v>790</v>
      </c>
      <c r="J605" t="s">
        <v>791</v>
      </c>
      <c r="K605" t="s">
        <v>792</v>
      </c>
      <c r="L605">
        <v>1368</v>
      </c>
      <c r="N605">
        <v>1011</v>
      </c>
      <c r="O605" t="s">
        <v>780</v>
      </c>
      <c r="P605" t="s">
        <v>780</v>
      </c>
      <c r="Q605">
        <v>1</v>
      </c>
      <c r="X605">
        <v>0.31</v>
      </c>
      <c r="Y605">
        <v>0</v>
      </c>
      <c r="Z605">
        <v>91.62</v>
      </c>
      <c r="AA605">
        <v>0</v>
      </c>
      <c r="AB605">
        <v>0</v>
      </c>
      <c r="AC605">
        <v>0</v>
      </c>
      <c r="AD605">
        <v>1</v>
      </c>
      <c r="AE605">
        <v>0</v>
      </c>
      <c r="AF605" t="s">
        <v>126</v>
      </c>
      <c r="AG605">
        <v>0.44562499999999999</v>
      </c>
      <c r="AH605">
        <v>2</v>
      </c>
      <c r="AI605">
        <v>31029978</v>
      </c>
      <c r="AJ605">
        <v>577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</row>
    <row r="606" spans="1:44">
      <c r="A606">
        <f>ROW(Source!A254)</f>
        <v>254</v>
      </c>
      <c r="B606">
        <v>31029984</v>
      </c>
      <c r="C606">
        <v>31029974</v>
      </c>
      <c r="D606">
        <v>29173222</v>
      </c>
      <c r="E606">
        <v>1</v>
      </c>
      <c r="F606">
        <v>1</v>
      </c>
      <c r="G606">
        <v>1</v>
      </c>
      <c r="H606">
        <v>3</v>
      </c>
      <c r="I606" t="s">
        <v>1190</v>
      </c>
      <c r="J606" t="s">
        <v>1191</v>
      </c>
      <c r="K606" t="s">
        <v>1192</v>
      </c>
      <c r="L606">
        <v>1348</v>
      </c>
      <c r="N606">
        <v>1009</v>
      </c>
      <c r="O606" t="s">
        <v>137</v>
      </c>
      <c r="P606" t="s">
        <v>137</v>
      </c>
      <c r="Q606">
        <v>1000</v>
      </c>
      <c r="X606">
        <v>1</v>
      </c>
      <c r="Y606">
        <v>7925.9</v>
      </c>
      <c r="Z606">
        <v>0</v>
      </c>
      <c r="AA606">
        <v>0</v>
      </c>
      <c r="AB606">
        <v>0</v>
      </c>
      <c r="AC606">
        <v>0</v>
      </c>
      <c r="AD606">
        <v>1</v>
      </c>
      <c r="AE606">
        <v>0</v>
      </c>
      <c r="AF606" t="s">
        <v>6</v>
      </c>
      <c r="AG606">
        <v>1</v>
      </c>
      <c r="AH606">
        <v>2</v>
      </c>
      <c r="AI606">
        <v>31029979</v>
      </c>
      <c r="AJ606">
        <v>578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</row>
    <row r="607" spans="1:44">
      <c r="A607">
        <f>ROW(Source!A255)</f>
        <v>255</v>
      </c>
      <c r="B607">
        <v>31029987</v>
      </c>
      <c r="C607">
        <v>31029985</v>
      </c>
      <c r="D607">
        <v>29084583</v>
      </c>
      <c r="E607">
        <v>1</v>
      </c>
      <c r="F607">
        <v>1</v>
      </c>
      <c r="G607">
        <v>1</v>
      </c>
      <c r="H607">
        <v>1</v>
      </c>
      <c r="I607" t="s">
        <v>857</v>
      </c>
      <c r="J607" t="s">
        <v>6</v>
      </c>
      <c r="K607" t="s">
        <v>858</v>
      </c>
      <c r="L607">
        <v>1369</v>
      </c>
      <c r="N607">
        <v>1013</v>
      </c>
      <c r="O607" t="s">
        <v>773</v>
      </c>
      <c r="P607" t="s">
        <v>773</v>
      </c>
      <c r="Q607">
        <v>1</v>
      </c>
      <c r="X607">
        <v>0.9</v>
      </c>
      <c r="Y607">
        <v>0</v>
      </c>
      <c r="Z607">
        <v>0</v>
      </c>
      <c r="AA607">
        <v>0</v>
      </c>
      <c r="AB607">
        <v>8.23</v>
      </c>
      <c r="AC607">
        <v>0</v>
      </c>
      <c r="AD607">
        <v>1</v>
      </c>
      <c r="AE607">
        <v>1</v>
      </c>
      <c r="AF607" t="s">
        <v>127</v>
      </c>
      <c r="AG607">
        <v>1.1902499999999998</v>
      </c>
      <c r="AH607">
        <v>2</v>
      </c>
      <c r="AI607">
        <v>31029986</v>
      </c>
      <c r="AJ607">
        <v>579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</row>
    <row r="608" spans="1:44">
      <c r="A608">
        <f>ROW(Source!A256)</f>
        <v>256</v>
      </c>
      <c r="B608">
        <v>31029996</v>
      </c>
      <c r="C608">
        <v>31029988</v>
      </c>
      <c r="D608">
        <v>29084583</v>
      </c>
      <c r="E608">
        <v>1</v>
      </c>
      <c r="F608">
        <v>1</v>
      </c>
      <c r="G608">
        <v>1</v>
      </c>
      <c r="H608">
        <v>1</v>
      </c>
      <c r="I608" t="s">
        <v>857</v>
      </c>
      <c r="J608" t="s">
        <v>6</v>
      </c>
      <c r="K608" t="s">
        <v>858</v>
      </c>
      <c r="L608">
        <v>1369</v>
      </c>
      <c r="N608">
        <v>1013</v>
      </c>
      <c r="O608" t="s">
        <v>773</v>
      </c>
      <c r="P608" t="s">
        <v>773</v>
      </c>
      <c r="Q608">
        <v>1</v>
      </c>
      <c r="X608">
        <v>40.729999999999997</v>
      </c>
      <c r="Y608">
        <v>0</v>
      </c>
      <c r="Z608">
        <v>0</v>
      </c>
      <c r="AA608">
        <v>0</v>
      </c>
      <c r="AB608">
        <v>8.23</v>
      </c>
      <c r="AC608">
        <v>0</v>
      </c>
      <c r="AD608">
        <v>1</v>
      </c>
      <c r="AE608">
        <v>1</v>
      </c>
      <c r="AF608" t="s">
        <v>36</v>
      </c>
      <c r="AG608">
        <v>46.839499999999994</v>
      </c>
      <c r="AH608">
        <v>2</v>
      </c>
      <c r="AI608">
        <v>31029989</v>
      </c>
      <c r="AJ608">
        <v>580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</row>
    <row r="609" spans="1:44">
      <c r="A609">
        <f>ROW(Source!A256)</f>
        <v>256</v>
      </c>
      <c r="B609">
        <v>31029997</v>
      </c>
      <c r="C609">
        <v>31029988</v>
      </c>
      <c r="D609">
        <v>29084573</v>
      </c>
      <c r="E609">
        <v>1</v>
      </c>
      <c r="F609">
        <v>1</v>
      </c>
      <c r="G609">
        <v>1</v>
      </c>
      <c r="H609">
        <v>1</v>
      </c>
      <c r="I609" t="s">
        <v>774</v>
      </c>
      <c r="J609" t="s">
        <v>6</v>
      </c>
      <c r="K609" t="s">
        <v>775</v>
      </c>
      <c r="L609">
        <v>608254</v>
      </c>
      <c r="N609">
        <v>1013</v>
      </c>
      <c r="O609" t="s">
        <v>776</v>
      </c>
      <c r="P609" t="s">
        <v>776</v>
      </c>
      <c r="Q609">
        <v>1</v>
      </c>
      <c r="X609">
        <v>0.32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1</v>
      </c>
      <c r="AE609">
        <v>2</v>
      </c>
      <c r="AF609" t="s">
        <v>36</v>
      </c>
      <c r="AG609">
        <v>0.36799999999999999</v>
      </c>
      <c r="AH609">
        <v>2</v>
      </c>
      <c r="AI609">
        <v>31029990</v>
      </c>
      <c r="AJ609">
        <v>581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</row>
    <row r="610" spans="1:44">
      <c r="A610">
        <f>ROW(Source!A256)</f>
        <v>256</v>
      </c>
      <c r="B610">
        <v>31029998</v>
      </c>
      <c r="C610">
        <v>31029988</v>
      </c>
      <c r="D610">
        <v>29147843</v>
      </c>
      <c r="E610">
        <v>1</v>
      </c>
      <c r="F610">
        <v>1</v>
      </c>
      <c r="G610">
        <v>1</v>
      </c>
      <c r="H610">
        <v>2</v>
      </c>
      <c r="I610" t="s">
        <v>874</v>
      </c>
      <c r="J610" t="s">
        <v>875</v>
      </c>
      <c r="K610" t="s">
        <v>876</v>
      </c>
      <c r="L610">
        <v>1368</v>
      </c>
      <c r="N610">
        <v>1011</v>
      </c>
      <c r="O610" t="s">
        <v>780</v>
      </c>
      <c r="P610" t="s">
        <v>780</v>
      </c>
      <c r="Q610">
        <v>1</v>
      </c>
      <c r="X610">
        <v>0.32</v>
      </c>
      <c r="Y610">
        <v>0</v>
      </c>
      <c r="Z610">
        <v>87.11</v>
      </c>
      <c r="AA610">
        <v>9.7100000000000009</v>
      </c>
      <c r="AB610">
        <v>0</v>
      </c>
      <c r="AC610">
        <v>0</v>
      </c>
      <c r="AD610">
        <v>1</v>
      </c>
      <c r="AE610">
        <v>0</v>
      </c>
      <c r="AF610" t="s">
        <v>36</v>
      </c>
      <c r="AG610">
        <v>0.36799999999999999</v>
      </c>
      <c r="AH610">
        <v>2</v>
      </c>
      <c r="AI610">
        <v>31029991</v>
      </c>
      <c r="AJ610">
        <v>582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</row>
    <row r="611" spans="1:44">
      <c r="A611">
        <f>ROW(Source!A256)</f>
        <v>256</v>
      </c>
      <c r="B611">
        <v>31029999</v>
      </c>
      <c r="C611">
        <v>31029988</v>
      </c>
      <c r="D611">
        <v>29149208</v>
      </c>
      <c r="E611">
        <v>1</v>
      </c>
      <c r="F611">
        <v>1</v>
      </c>
      <c r="G611">
        <v>1</v>
      </c>
      <c r="H611">
        <v>2</v>
      </c>
      <c r="I611" t="s">
        <v>877</v>
      </c>
      <c r="J611" t="s">
        <v>878</v>
      </c>
      <c r="K611" t="s">
        <v>879</v>
      </c>
      <c r="L611">
        <v>1368</v>
      </c>
      <c r="N611">
        <v>1011</v>
      </c>
      <c r="O611" t="s">
        <v>780</v>
      </c>
      <c r="P611" t="s">
        <v>780</v>
      </c>
      <c r="Q611">
        <v>1</v>
      </c>
      <c r="X611">
        <v>0.32</v>
      </c>
      <c r="Y611">
        <v>0</v>
      </c>
      <c r="Z611">
        <v>1.53</v>
      </c>
      <c r="AA611">
        <v>0</v>
      </c>
      <c r="AB611">
        <v>0</v>
      </c>
      <c r="AC611">
        <v>0</v>
      </c>
      <c r="AD611">
        <v>1</v>
      </c>
      <c r="AE611">
        <v>0</v>
      </c>
      <c r="AF611" t="s">
        <v>36</v>
      </c>
      <c r="AG611">
        <v>0.36799999999999999</v>
      </c>
      <c r="AH611">
        <v>2</v>
      </c>
      <c r="AI611">
        <v>31029992</v>
      </c>
      <c r="AJ611">
        <v>583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</row>
    <row r="612" spans="1:44">
      <c r="A612">
        <f>ROW(Source!A256)</f>
        <v>256</v>
      </c>
      <c r="B612">
        <v>31030000</v>
      </c>
      <c r="C612">
        <v>31029988</v>
      </c>
      <c r="D612">
        <v>29151587</v>
      </c>
      <c r="E612">
        <v>1</v>
      </c>
      <c r="F612">
        <v>1</v>
      </c>
      <c r="G612">
        <v>1</v>
      </c>
      <c r="H612">
        <v>3</v>
      </c>
      <c r="I612" t="s">
        <v>933</v>
      </c>
      <c r="J612" t="s">
        <v>934</v>
      </c>
      <c r="K612" t="s">
        <v>935</v>
      </c>
      <c r="L612">
        <v>1348</v>
      </c>
      <c r="N612">
        <v>1009</v>
      </c>
      <c r="O612" t="s">
        <v>137</v>
      </c>
      <c r="P612" t="s">
        <v>137</v>
      </c>
      <c r="Q612">
        <v>1000</v>
      </c>
      <c r="X612">
        <v>0.01</v>
      </c>
      <c r="Y612">
        <v>418.43</v>
      </c>
      <c r="Z612">
        <v>0</v>
      </c>
      <c r="AA612">
        <v>0</v>
      </c>
      <c r="AB612">
        <v>0</v>
      </c>
      <c r="AC612">
        <v>0</v>
      </c>
      <c r="AD612">
        <v>1</v>
      </c>
      <c r="AE612">
        <v>0</v>
      </c>
      <c r="AF612" t="s">
        <v>6</v>
      </c>
      <c r="AG612">
        <v>0.01</v>
      </c>
      <c r="AH612">
        <v>2</v>
      </c>
      <c r="AI612">
        <v>31029993</v>
      </c>
      <c r="AJ612">
        <v>584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</row>
    <row r="613" spans="1:44">
      <c r="A613">
        <f>ROW(Source!A256)</f>
        <v>256</v>
      </c>
      <c r="B613">
        <v>31030001</v>
      </c>
      <c r="C613">
        <v>31029988</v>
      </c>
      <c r="D613">
        <v>29186489</v>
      </c>
      <c r="E613">
        <v>1</v>
      </c>
      <c r="F613">
        <v>1</v>
      </c>
      <c r="G613">
        <v>1</v>
      </c>
      <c r="H613">
        <v>3</v>
      </c>
      <c r="I613" t="s">
        <v>582</v>
      </c>
      <c r="J613" t="s">
        <v>584</v>
      </c>
      <c r="K613" t="s">
        <v>583</v>
      </c>
      <c r="L613">
        <v>1339</v>
      </c>
      <c r="N613">
        <v>1007</v>
      </c>
      <c r="O613" t="s">
        <v>109</v>
      </c>
      <c r="P613" t="s">
        <v>109</v>
      </c>
      <c r="Q613">
        <v>1</v>
      </c>
      <c r="X613">
        <v>0.43</v>
      </c>
      <c r="Y613">
        <v>589.03</v>
      </c>
      <c r="Z613">
        <v>0</v>
      </c>
      <c r="AA613">
        <v>0</v>
      </c>
      <c r="AB613">
        <v>0</v>
      </c>
      <c r="AC613">
        <v>0</v>
      </c>
      <c r="AD613">
        <v>1</v>
      </c>
      <c r="AE613">
        <v>0</v>
      </c>
      <c r="AF613" t="s">
        <v>6</v>
      </c>
      <c r="AG613">
        <v>0.43</v>
      </c>
      <c r="AH613">
        <v>3</v>
      </c>
      <c r="AI613">
        <v>-1</v>
      </c>
      <c r="AJ613" t="s">
        <v>6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</row>
    <row r="614" spans="1:44">
      <c r="A614">
        <f>ROW(Source!A256)</f>
        <v>256</v>
      </c>
      <c r="B614">
        <v>31030002</v>
      </c>
      <c r="C614">
        <v>31029988</v>
      </c>
      <c r="D614">
        <v>29195171</v>
      </c>
      <c r="E614">
        <v>1</v>
      </c>
      <c r="F614">
        <v>1</v>
      </c>
      <c r="G614">
        <v>1</v>
      </c>
      <c r="H614">
        <v>3</v>
      </c>
      <c r="I614" t="s">
        <v>830</v>
      </c>
      <c r="J614" t="s">
        <v>831</v>
      </c>
      <c r="K614" t="s">
        <v>832</v>
      </c>
      <c r="L614">
        <v>1339</v>
      </c>
      <c r="N614">
        <v>1007</v>
      </c>
      <c r="O614" t="s">
        <v>109</v>
      </c>
      <c r="P614" t="s">
        <v>109</v>
      </c>
      <c r="Q614">
        <v>1</v>
      </c>
      <c r="X614">
        <v>0.05</v>
      </c>
      <c r="Y614">
        <v>2.4500000000000002</v>
      </c>
      <c r="Z614">
        <v>0</v>
      </c>
      <c r="AA614">
        <v>0</v>
      </c>
      <c r="AB614">
        <v>0</v>
      </c>
      <c r="AC614">
        <v>0</v>
      </c>
      <c r="AD614">
        <v>1</v>
      </c>
      <c r="AE614">
        <v>0</v>
      </c>
      <c r="AF614" t="s">
        <v>6</v>
      </c>
      <c r="AG614">
        <v>0.05</v>
      </c>
      <c r="AH614">
        <v>2</v>
      </c>
      <c r="AI614">
        <v>31029994</v>
      </c>
      <c r="AJ614">
        <v>585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</row>
    <row r="615" spans="1:44">
      <c r="A615">
        <f>ROW(Source!A256)</f>
        <v>256</v>
      </c>
      <c r="B615">
        <v>31030003</v>
      </c>
      <c r="C615">
        <v>31029988</v>
      </c>
      <c r="D615">
        <v>29215982</v>
      </c>
      <c r="E615">
        <v>1</v>
      </c>
      <c r="F615">
        <v>1</v>
      </c>
      <c r="G615">
        <v>1</v>
      </c>
      <c r="H615">
        <v>3</v>
      </c>
      <c r="I615" t="s">
        <v>825</v>
      </c>
      <c r="J615" t="s">
        <v>826</v>
      </c>
      <c r="K615" t="s">
        <v>827</v>
      </c>
      <c r="L615">
        <v>1348</v>
      </c>
      <c r="N615">
        <v>1009</v>
      </c>
      <c r="O615" t="s">
        <v>137</v>
      </c>
      <c r="P615" t="s">
        <v>137</v>
      </c>
      <c r="Q615">
        <v>1000</v>
      </c>
      <c r="X615">
        <v>0.3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0</v>
      </c>
      <c r="AE615">
        <v>0</v>
      </c>
      <c r="AF615" t="s">
        <v>6</v>
      </c>
      <c r="AG615">
        <v>0.3</v>
      </c>
      <c r="AH615">
        <v>2</v>
      </c>
      <c r="AI615">
        <v>31029995</v>
      </c>
      <c r="AJ615">
        <v>586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</row>
    <row r="616" spans="1:44">
      <c r="A616">
        <f>ROW(Source!A259)</f>
        <v>259</v>
      </c>
      <c r="B616">
        <v>31030013</v>
      </c>
      <c r="C616">
        <v>31030006</v>
      </c>
      <c r="D616">
        <v>30853534</v>
      </c>
      <c r="E616">
        <v>1</v>
      </c>
      <c r="F616">
        <v>1</v>
      </c>
      <c r="G616">
        <v>1</v>
      </c>
      <c r="H616">
        <v>1</v>
      </c>
      <c r="I616" t="s">
        <v>1188</v>
      </c>
      <c r="J616" t="s">
        <v>6</v>
      </c>
      <c r="K616" t="s">
        <v>1189</v>
      </c>
      <c r="L616">
        <v>1369</v>
      </c>
      <c r="N616">
        <v>1013</v>
      </c>
      <c r="O616" t="s">
        <v>773</v>
      </c>
      <c r="P616" t="s">
        <v>773</v>
      </c>
      <c r="Q616">
        <v>1</v>
      </c>
      <c r="X616">
        <v>39.51</v>
      </c>
      <c r="Y616">
        <v>0</v>
      </c>
      <c r="Z616">
        <v>0</v>
      </c>
      <c r="AA616">
        <v>0</v>
      </c>
      <c r="AB616">
        <v>7.67</v>
      </c>
      <c r="AC616">
        <v>0</v>
      </c>
      <c r="AD616">
        <v>1</v>
      </c>
      <c r="AE616">
        <v>1</v>
      </c>
      <c r="AF616" t="s">
        <v>127</v>
      </c>
      <c r="AG616">
        <v>52.251974999999987</v>
      </c>
      <c r="AH616">
        <v>2</v>
      </c>
      <c r="AI616">
        <v>31030007</v>
      </c>
      <c r="AJ616">
        <v>587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</row>
    <row r="617" spans="1:44">
      <c r="A617">
        <f>ROW(Source!A259)</f>
        <v>259</v>
      </c>
      <c r="B617">
        <v>31030014</v>
      </c>
      <c r="C617">
        <v>31030006</v>
      </c>
      <c r="D617">
        <v>29084573</v>
      </c>
      <c r="E617">
        <v>1</v>
      </c>
      <c r="F617">
        <v>1</v>
      </c>
      <c r="G617">
        <v>1</v>
      </c>
      <c r="H617">
        <v>1</v>
      </c>
      <c r="I617" t="s">
        <v>774</v>
      </c>
      <c r="J617" t="s">
        <v>6</v>
      </c>
      <c r="K617" t="s">
        <v>775</v>
      </c>
      <c r="L617">
        <v>608254</v>
      </c>
      <c r="N617">
        <v>1013</v>
      </c>
      <c r="O617" t="s">
        <v>776</v>
      </c>
      <c r="P617" t="s">
        <v>776</v>
      </c>
      <c r="Q617">
        <v>1</v>
      </c>
      <c r="X617">
        <v>1.27</v>
      </c>
      <c r="Y617">
        <v>0</v>
      </c>
      <c r="Z617">
        <v>0</v>
      </c>
      <c r="AA617">
        <v>0</v>
      </c>
      <c r="AB617">
        <v>0</v>
      </c>
      <c r="AC617">
        <v>0</v>
      </c>
      <c r="AD617">
        <v>1</v>
      </c>
      <c r="AE617">
        <v>2</v>
      </c>
      <c r="AF617" t="s">
        <v>126</v>
      </c>
      <c r="AG617">
        <v>1.8256249999999998</v>
      </c>
      <c r="AH617">
        <v>2</v>
      </c>
      <c r="AI617">
        <v>31030008</v>
      </c>
      <c r="AJ617">
        <v>588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</row>
    <row r="618" spans="1:44">
      <c r="A618">
        <f>ROW(Source!A259)</f>
        <v>259</v>
      </c>
      <c r="B618">
        <v>31030015</v>
      </c>
      <c r="C618">
        <v>31030006</v>
      </c>
      <c r="D618">
        <v>29147732</v>
      </c>
      <c r="E618">
        <v>1</v>
      </c>
      <c r="F618">
        <v>1</v>
      </c>
      <c r="G618">
        <v>1</v>
      </c>
      <c r="H618">
        <v>2</v>
      </c>
      <c r="I618" t="s">
        <v>846</v>
      </c>
      <c r="J618" t="s">
        <v>847</v>
      </c>
      <c r="K618" t="s">
        <v>848</v>
      </c>
      <c r="L618">
        <v>1368</v>
      </c>
      <c r="N618">
        <v>1011</v>
      </c>
      <c r="O618" t="s">
        <v>780</v>
      </c>
      <c r="P618" t="s">
        <v>780</v>
      </c>
      <c r="Q618">
        <v>1</v>
      </c>
      <c r="X618">
        <v>1.27</v>
      </c>
      <c r="Y618">
        <v>0</v>
      </c>
      <c r="Z618">
        <v>30.85</v>
      </c>
      <c r="AA618">
        <v>13.03</v>
      </c>
      <c r="AB618">
        <v>0</v>
      </c>
      <c r="AC618">
        <v>0</v>
      </c>
      <c r="AD618">
        <v>1</v>
      </c>
      <c r="AE618">
        <v>0</v>
      </c>
      <c r="AF618" t="s">
        <v>126</v>
      </c>
      <c r="AG618">
        <v>1.8256249999999998</v>
      </c>
      <c r="AH618">
        <v>2</v>
      </c>
      <c r="AI618">
        <v>31030009</v>
      </c>
      <c r="AJ618">
        <v>589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</row>
    <row r="619" spans="1:44">
      <c r="A619">
        <f>ROW(Source!A259)</f>
        <v>259</v>
      </c>
      <c r="B619">
        <v>31030016</v>
      </c>
      <c r="C619">
        <v>31030006</v>
      </c>
      <c r="D619">
        <v>29148144</v>
      </c>
      <c r="E619">
        <v>1</v>
      </c>
      <c r="F619">
        <v>1</v>
      </c>
      <c r="G619">
        <v>1</v>
      </c>
      <c r="H619">
        <v>2</v>
      </c>
      <c r="I619" t="s">
        <v>1193</v>
      </c>
      <c r="J619" t="s">
        <v>1194</v>
      </c>
      <c r="K619" t="s">
        <v>1195</v>
      </c>
      <c r="L619">
        <v>1368</v>
      </c>
      <c r="N619">
        <v>1011</v>
      </c>
      <c r="O619" t="s">
        <v>780</v>
      </c>
      <c r="P619" t="s">
        <v>780</v>
      </c>
      <c r="Q619">
        <v>1</v>
      </c>
      <c r="X619">
        <v>9.07</v>
      </c>
      <c r="Y619">
        <v>0</v>
      </c>
      <c r="Z619">
        <v>0.5</v>
      </c>
      <c r="AA619">
        <v>0</v>
      </c>
      <c r="AB619">
        <v>0</v>
      </c>
      <c r="AC619">
        <v>0</v>
      </c>
      <c r="AD619">
        <v>1</v>
      </c>
      <c r="AE619">
        <v>0</v>
      </c>
      <c r="AF619" t="s">
        <v>126</v>
      </c>
      <c r="AG619">
        <v>13.038124999999999</v>
      </c>
      <c r="AH619">
        <v>2</v>
      </c>
      <c r="AI619">
        <v>31030010</v>
      </c>
      <c r="AJ619">
        <v>590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</row>
    <row r="620" spans="1:44">
      <c r="A620">
        <f>ROW(Source!A259)</f>
        <v>259</v>
      </c>
      <c r="B620">
        <v>31030017</v>
      </c>
      <c r="C620">
        <v>31030006</v>
      </c>
      <c r="D620">
        <v>29186490</v>
      </c>
      <c r="E620">
        <v>1</v>
      </c>
      <c r="F620">
        <v>1</v>
      </c>
      <c r="G620">
        <v>1</v>
      </c>
      <c r="H620">
        <v>3</v>
      </c>
      <c r="I620" t="s">
        <v>1196</v>
      </c>
      <c r="J620" t="s">
        <v>1197</v>
      </c>
      <c r="K620" t="s">
        <v>1198</v>
      </c>
      <c r="L620">
        <v>1339</v>
      </c>
      <c r="N620">
        <v>1007</v>
      </c>
      <c r="O620" t="s">
        <v>109</v>
      </c>
      <c r="P620" t="s">
        <v>109</v>
      </c>
      <c r="Q620">
        <v>1</v>
      </c>
      <c r="X620">
        <v>2.04</v>
      </c>
      <c r="Y620">
        <v>647.4</v>
      </c>
      <c r="Z620">
        <v>0</v>
      </c>
      <c r="AA620">
        <v>0</v>
      </c>
      <c r="AB620">
        <v>0</v>
      </c>
      <c r="AC620">
        <v>0</v>
      </c>
      <c r="AD620">
        <v>1</v>
      </c>
      <c r="AE620">
        <v>0</v>
      </c>
      <c r="AF620" t="s">
        <v>6</v>
      </c>
      <c r="AG620">
        <v>2.04</v>
      </c>
      <c r="AH620">
        <v>2</v>
      </c>
      <c r="AI620">
        <v>31030011</v>
      </c>
      <c r="AJ620">
        <v>591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</row>
    <row r="621" spans="1:44">
      <c r="A621">
        <f>ROW(Source!A259)</f>
        <v>259</v>
      </c>
      <c r="B621">
        <v>31030018</v>
      </c>
      <c r="C621">
        <v>31030006</v>
      </c>
      <c r="D621">
        <v>29195171</v>
      </c>
      <c r="E621">
        <v>1</v>
      </c>
      <c r="F621">
        <v>1</v>
      </c>
      <c r="G621">
        <v>1</v>
      </c>
      <c r="H621">
        <v>3</v>
      </c>
      <c r="I621" t="s">
        <v>830</v>
      </c>
      <c r="J621" t="s">
        <v>831</v>
      </c>
      <c r="K621" t="s">
        <v>832</v>
      </c>
      <c r="L621">
        <v>1339</v>
      </c>
      <c r="N621">
        <v>1007</v>
      </c>
      <c r="O621" t="s">
        <v>109</v>
      </c>
      <c r="P621" t="s">
        <v>109</v>
      </c>
      <c r="Q621">
        <v>1</v>
      </c>
      <c r="X621">
        <v>3.5</v>
      </c>
      <c r="Y621">
        <v>2.4500000000000002</v>
      </c>
      <c r="Z621">
        <v>0</v>
      </c>
      <c r="AA621">
        <v>0</v>
      </c>
      <c r="AB621">
        <v>0</v>
      </c>
      <c r="AC621">
        <v>0</v>
      </c>
      <c r="AD621">
        <v>1</v>
      </c>
      <c r="AE621">
        <v>0</v>
      </c>
      <c r="AF621" t="s">
        <v>6</v>
      </c>
      <c r="AG621">
        <v>3.5</v>
      </c>
      <c r="AH621">
        <v>2</v>
      </c>
      <c r="AI621">
        <v>31030012</v>
      </c>
      <c r="AJ621">
        <v>592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</row>
    <row r="622" spans="1:44">
      <c r="A622">
        <f>ROW(Source!A260)</f>
        <v>260</v>
      </c>
      <c r="B622">
        <v>31030025</v>
      </c>
      <c r="C622">
        <v>31030019</v>
      </c>
      <c r="D622">
        <v>30853534</v>
      </c>
      <c r="E622">
        <v>1</v>
      </c>
      <c r="F622">
        <v>1</v>
      </c>
      <c r="G622">
        <v>1</v>
      </c>
      <c r="H622">
        <v>1</v>
      </c>
      <c r="I622" t="s">
        <v>1188</v>
      </c>
      <c r="J622" t="s">
        <v>6</v>
      </c>
      <c r="K622" t="s">
        <v>1189</v>
      </c>
      <c r="L622">
        <v>1369</v>
      </c>
      <c r="N622">
        <v>1013</v>
      </c>
      <c r="O622" t="s">
        <v>773</v>
      </c>
      <c r="P622" t="s">
        <v>773</v>
      </c>
      <c r="Q622">
        <v>1</v>
      </c>
      <c r="X622">
        <v>0.5</v>
      </c>
      <c r="Y622">
        <v>0</v>
      </c>
      <c r="Z622">
        <v>0</v>
      </c>
      <c r="AA622">
        <v>0</v>
      </c>
      <c r="AB622">
        <v>7.67</v>
      </c>
      <c r="AC622">
        <v>0</v>
      </c>
      <c r="AD622">
        <v>1</v>
      </c>
      <c r="AE622">
        <v>1</v>
      </c>
      <c r="AF622" t="s">
        <v>127</v>
      </c>
      <c r="AG622">
        <v>0.66124999999999989</v>
      </c>
      <c r="AH622">
        <v>2</v>
      </c>
      <c r="AI622">
        <v>31030020</v>
      </c>
      <c r="AJ622">
        <v>593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</row>
    <row r="623" spans="1:44">
      <c r="A623">
        <f>ROW(Source!A260)</f>
        <v>260</v>
      </c>
      <c r="B623">
        <v>31030026</v>
      </c>
      <c r="C623">
        <v>31030019</v>
      </c>
      <c r="D623">
        <v>29084573</v>
      </c>
      <c r="E623">
        <v>1</v>
      </c>
      <c r="F623">
        <v>1</v>
      </c>
      <c r="G623">
        <v>1</v>
      </c>
      <c r="H623">
        <v>1</v>
      </c>
      <c r="I623" t="s">
        <v>774</v>
      </c>
      <c r="J623" t="s">
        <v>6</v>
      </c>
      <c r="K623" t="s">
        <v>775</v>
      </c>
      <c r="L623">
        <v>608254</v>
      </c>
      <c r="N623">
        <v>1013</v>
      </c>
      <c r="O623" t="s">
        <v>776</v>
      </c>
      <c r="P623" t="s">
        <v>776</v>
      </c>
      <c r="Q623">
        <v>1</v>
      </c>
      <c r="X623">
        <v>0.21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1</v>
      </c>
      <c r="AE623">
        <v>2</v>
      </c>
      <c r="AF623" t="s">
        <v>126</v>
      </c>
      <c r="AG623">
        <v>0.301875</v>
      </c>
      <c r="AH623">
        <v>2</v>
      </c>
      <c r="AI623">
        <v>31030021</v>
      </c>
      <c r="AJ623">
        <v>594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</row>
    <row r="624" spans="1:44">
      <c r="A624">
        <f>ROW(Source!A260)</f>
        <v>260</v>
      </c>
      <c r="B624">
        <v>31030027</v>
      </c>
      <c r="C624">
        <v>31030019</v>
      </c>
      <c r="D624">
        <v>29147732</v>
      </c>
      <c r="E624">
        <v>1</v>
      </c>
      <c r="F624">
        <v>1</v>
      </c>
      <c r="G624">
        <v>1</v>
      </c>
      <c r="H624">
        <v>2</v>
      </c>
      <c r="I624" t="s">
        <v>846</v>
      </c>
      <c r="J624" t="s">
        <v>847</v>
      </c>
      <c r="K624" t="s">
        <v>848</v>
      </c>
      <c r="L624">
        <v>1368</v>
      </c>
      <c r="N624">
        <v>1011</v>
      </c>
      <c r="O624" t="s">
        <v>780</v>
      </c>
      <c r="P624" t="s">
        <v>780</v>
      </c>
      <c r="Q624">
        <v>1</v>
      </c>
      <c r="X624">
        <v>0.21</v>
      </c>
      <c r="Y624">
        <v>0</v>
      </c>
      <c r="Z624">
        <v>30.85</v>
      </c>
      <c r="AA624">
        <v>13.03</v>
      </c>
      <c r="AB624">
        <v>0</v>
      </c>
      <c r="AC624">
        <v>0</v>
      </c>
      <c r="AD624">
        <v>1</v>
      </c>
      <c r="AE624">
        <v>0</v>
      </c>
      <c r="AF624" t="s">
        <v>126</v>
      </c>
      <c r="AG624">
        <v>0.301875</v>
      </c>
      <c r="AH624">
        <v>2</v>
      </c>
      <c r="AI624">
        <v>31030022</v>
      </c>
      <c r="AJ624">
        <v>595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</row>
    <row r="625" spans="1:44">
      <c r="A625">
        <f>ROW(Source!A260)</f>
        <v>260</v>
      </c>
      <c r="B625">
        <v>31030028</v>
      </c>
      <c r="C625">
        <v>31030019</v>
      </c>
      <c r="D625">
        <v>29148144</v>
      </c>
      <c r="E625">
        <v>1</v>
      </c>
      <c r="F625">
        <v>1</v>
      </c>
      <c r="G625">
        <v>1</v>
      </c>
      <c r="H625">
        <v>2</v>
      </c>
      <c r="I625" t="s">
        <v>1193</v>
      </c>
      <c r="J625" t="s">
        <v>1194</v>
      </c>
      <c r="K625" t="s">
        <v>1195</v>
      </c>
      <c r="L625">
        <v>1368</v>
      </c>
      <c r="N625">
        <v>1011</v>
      </c>
      <c r="O625" t="s">
        <v>780</v>
      </c>
      <c r="P625" t="s">
        <v>780</v>
      </c>
      <c r="Q625">
        <v>1</v>
      </c>
      <c r="X625">
        <v>2.3199999999999998</v>
      </c>
      <c r="Y625">
        <v>0</v>
      </c>
      <c r="Z625">
        <v>0.5</v>
      </c>
      <c r="AA625">
        <v>0</v>
      </c>
      <c r="AB625">
        <v>0</v>
      </c>
      <c r="AC625">
        <v>0</v>
      </c>
      <c r="AD625">
        <v>1</v>
      </c>
      <c r="AE625">
        <v>0</v>
      </c>
      <c r="AF625" t="s">
        <v>126</v>
      </c>
      <c r="AG625">
        <v>3.3349999999999995</v>
      </c>
      <c r="AH625">
        <v>2</v>
      </c>
      <c r="AI625">
        <v>31030023</v>
      </c>
      <c r="AJ625">
        <v>596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</row>
    <row r="626" spans="1:44">
      <c r="A626">
        <f>ROW(Source!A260)</f>
        <v>260</v>
      </c>
      <c r="B626">
        <v>31030029</v>
      </c>
      <c r="C626">
        <v>31030019</v>
      </c>
      <c r="D626">
        <v>29186490</v>
      </c>
      <c r="E626">
        <v>1</v>
      </c>
      <c r="F626">
        <v>1</v>
      </c>
      <c r="G626">
        <v>1</v>
      </c>
      <c r="H626">
        <v>3</v>
      </c>
      <c r="I626" t="s">
        <v>1196</v>
      </c>
      <c r="J626" t="s">
        <v>1197</v>
      </c>
      <c r="K626" t="s">
        <v>1198</v>
      </c>
      <c r="L626">
        <v>1339</v>
      </c>
      <c r="N626">
        <v>1007</v>
      </c>
      <c r="O626" t="s">
        <v>109</v>
      </c>
      <c r="P626" t="s">
        <v>109</v>
      </c>
      <c r="Q626">
        <v>1</v>
      </c>
      <c r="X626">
        <v>0.51</v>
      </c>
      <c r="Y626">
        <v>647.4</v>
      </c>
      <c r="Z626">
        <v>0</v>
      </c>
      <c r="AA626">
        <v>0</v>
      </c>
      <c r="AB626">
        <v>0</v>
      </c>
      <c r="AC626">
        <v>0</v>
      </c>
      <c r="AD626">
        <v>1</v>
      </c>
      <c r="AE626">
        <v>0</v>
      </c>
      <c r="AF626" t="s">
        <v>6</v>
      </c>
      <c r="AG626">
        <v>0.51</v>
      </c>
      <c r="AH626">
        <v>2</v>
      </c>
      <c r="AI626">
        <v>31030024</v>
      </c>
      <c r="AJ626">
        <v>597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</row>
    <row r="627" spans="1:44">
      <c r="A627">
        <f>ROW(Source!A261)</f>
        <v>261</v>
      </c>
      <c r="B627">
        <v>31030042</v>
      </c>
      <c r="C627">
        <v>31030030</v>
      </c>
      <c r="D627">
        <v>29084600</v>
      </c>
      <c r="E627">
        <v>1</v>
      </c>
      <c r="F627">
        <v>1</v>
      </c>
      <c r="G627">
        <v>1</v>
      </c>
      <c r="H627">
        <v>1</v>
      </c>
      <c r="I627" t="s">
        <v>1199</v>
      </c>
      <c r="J627" t="s">
        <v>6</v>
      </c>
      <c r="K627" t="s">
        <v>1200</v>
      </c>
      <c r="L627">
        <v>1369</v>
      </c>
      <c r="N627">
        <v>1013</v>
      </c>
      <c r="O627" t="s">
        <v>773</v>
      </c>
      <c r="P627" t="s">
        <v>773</v>
      </c>
      <c r="Q627">
        <v>1</v>
      </c>
      <c r="X627">
        <v>32.86</v>
      </c>
      <c r="Y627">
        <v>0</v>
      </c>
      <c r="Z627">
        <v>0</v>
      </c>
      <c r="AA627">
        <v>0</v>
      </c>
      <c r="AB627">
        <v>9.7100000000000009</v>
      </c>
      <c r="AC627">
        <v>0</v>
      </c>
      <c r="AD627">
        <v>1</v>
      </c>
      <c r="AE627">
        <v>1</v>
      </c>
      <c r="AF627" t="s">
        <v>127</v>
      </c>
      <c r="AG627">
        <v>43.457349999999991</v>
      </c>
      <c r="AH627">
        <v>2</v>
      </c>
      <c r="AI627">
        <v>31030031</v>
      </c>
      <c r="AJ627">
        <v>598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</row>
    <row r="628" spans="1:44">
      <c r="A628">
        <f>ROW(Source!A261)</f>
        <v>261</v>
      </c>
      <c r="B628">
        <v>31030043</v>
      </c>
      <c r="C628">
        <v>31030030</v>
      </c>
      <c r="D628">
        <v>29084573</v>
      </c>
      <c r="E628">
        <v>1</v>
      </c>
      <c r="F628">
        <v>1</v>
      </c>
      <c r="G628">
        <v>1</v>
      </c>
      <c r="H628">
        <v>1</v>
      </c>
      <c r="I628" t="s">
        <v>774</v>
      </c>
      <c r="J628" t="s">
        <v>6</v>
      </c>
      <c r="K628" t="s">
        <v>775</v>
      </c>
      <c r="L628">
        <v>608254</v>
      </c>
      <c r="N628">
        <v>1013</v>
      </c>
      <c r="O628" t="s">
        <v>776</v>
      </c>
      <c r="P628" t="s">
        <v>776</v>
      </c>
      <c r="Q628">
        <v>1</v>
      </c>
      <c r="X628">
        <v>0.23</v>
      </c>
      <c r="Y628">
        <v>0</v>
      </c>
      <c r="Z628">
        <v>0</v>
      </c>
      <c r="AA628">
        <v>0</v>
      </c>
      <c r="AB628">
        <v>0</v>
      </c>
      <c r="AC628">
        <v>0</v>
      </c>
      <c r="AD628">
        <v>1</v>
      </c>
      <c r="AE628">
        <v>2</v>
      </c>
      <c r="AF628" t="s">
        <v>126</v>
      </c>
      <c r="AG628">
        <v>0.330625</v>
      </c>
      <c r="AH628">
        <v>2</v>
      </c>
      <c r="AI628">
        <v>31030032</v>
      </c>
      <c r="AJ628">
        <v>599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</row>
    <row r="629" spans="1:44">
      <c r="A629">
        <f>ROW(Source!A261)</f>
        <v>261</v>
      </c>
      <c r="B629">
        <v>31030044</v>
      </c>
      <c r="C629">
        <v>31030030</v>
      </c>
      <c r="D629">
        <v>29147732</v>
      </c>
      <c r="E629">
        <v>1</v>
      </c>
      <c r="F629">
        <v>1</v>
      </c>
      <c r="G629">
        <v>1</v>
      </c>
      <c r="H629">
        <v>2</v>
      </c>
      <c r="I629" t="s">
        <v>846</v>
      </c>
      <c r="J629" t="s">
        <v>847</v>
      </c>
      <c r="K629" t="s">
        <v>848</v>
      </c>
      <c r="L629">
        <v>1368</v>
      </c>
      <c r="N629">
        <v>1011</v>
      </c>
      <c r="O629" t="s">
        <v>780</v>
      </c>
      <c r="P629" t="s">
        <v>780</v>
      </c>
      <c r="Q629">
        <v>1</v>
      </c>
      <c r="X629">
        <v>0.23</v>
      </c>
      <c r="Y629">
        <v>0</v>
      </c>
      <c r="Z629">
        <v>30.85</v>
      </c>
      <c r="AA629">
        <v>13.03</v>
      </c>
      <c r="AB629">
        <v>0</v>
      </c>
      <c r="AC629">
        <v>0</v>
      </c>
      <c r="AD629">
        <v>1</v>
      </c>
      <c r="AE629">
        <v>0</v>
      </c>
      <c r="AF629" t="s">
        <v>126</v>
      </c>
      <c r="AG629">
        <v>0.330625</v>
      </c>
      <c r="AH629">
        <v>2</v>
      </c>
      <c r="AI629">
        <v>31030033</v>
      </c>
      <c r="AJ629">
        <v>600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</row>
    <row r="630" spans="1:44">
      <c r="A630">
        <f>ROW(Source!A261)</f>
        <v>261</v>
      </c>
      <c r="B630">
        <v>31030045</v>
      </c>
      <c r="C630">
        <v>31030030</v>
      </c>
      <c r="D630">
        <v>29149371</v>
      </c>
      <c r="E630">
        <v>1</v>
      </c>
      <c r="F630">
        <v>1</v>
      </c>
      <c r="G630">
        <v>1</v>
      </c>
      <c r="H630">
        <v>2</v>
      </c>
      <c r="I630" t="s">
        <v>1201</v>
      </c>
      <c r="J630" t="s">
        <v>1202</v>
      </c>
      <c r="K630" t="s">
        <v>1203</v>
      </c>
      <c r="L630">
        <v>1368</v>
      </c>
      <c r="N630">
        <v>1011</v>
      </c>
      <c r="O630" t="s">
        <v>780</v>
      </c>
      <c r="P630" t="s">
        <v>780</v>
      </c>
      <c r="Q630">
        <v>1</v>
      </c>
      <c r="X630">
        <v>7</v>
      </c>
      <c r="Y630">
        <v>0</v>
      </c>
      <c r="Z630">
        <v>2.7</v>
      </c>
      <c r="AA630">
        <v>0</v>
      </c>
      <c r="AB630">
        <v>0</v>
      </c>
      <c r="AC630">
        <v>0</v>
      </c>
      <c r="AD630">
        <v>1</v>
      </c>
      <c r="AE630">
        <v>0</v>
      </c>
      <c r="AF630" t="s">
        <v>126</v>
      </c>
      <c r="AG630">
        <v>10.0625</v>
      </c>
      <c r="AH630">
        <v>2</v>
      </c>
      <c r="AI630">
        <v>31030034</v>
      </c>
      <c r="AJ630">
        <v>601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</row>
    <row r="631" spans="1:44">
      <c r="A631">
        <f>ROW(Source!A261)</f>
        <v>261</v>
      </c>
      <c r="B631">
        <v>31030046</v>
      </c>
      <c r="C631">
        <v>31030030</v>
      </c>
      <c r="D631">
        <v>29149520</v>
      </c>
      <c r="E631">
        <v>1</v>
      </c>
      <c r="F631">
        <v>1</v>
      </c>
      <c r="G631">
        <v>1</v>
      </c>
      <c r="H631">
        <v>2</v>
      </c>
      <c r="I631" t="s">
        <v>790</v>
      </c>
      <c r="J631" t="s">
        <v>791</v>
      </c>
      <c r="K631" t="s">
        <v>792</v>
      </c>
      <c r="L631">
        <v>1368</v>
      </c>
      <c r="N631">
        <v>1011</v>
      </c>
      <c r="O631" t="s">
        <v>780</v>
      </c>
      <c r="P631" t="s">
        <v>780</v>
      </c>
      <c r="Q631">
        <v>1</v>
      </c>
      <c r="X631">
        <v>0.33</v>
      </c>
      <c r="Y631">
        <v>0</v>
      </c>
      <c r="Z631">
        <v>91.62</v>
      </c>
      <c r="AA631">
        <v>0</v>
      </c>
      <c r="AB631">
        <v>0</v>
      </c>
      <c r="AC631">
        <v>0</v>
      </c>
      <c r="AD631">
        <v>1</v>
      </c>
      <c r="AE631">
        <v>0</v>
      </c>
      <c r="AF631" t="s">
        <v>126</v>
      </c>
      <c r="AG631">
        <v>0.47437499999999999</v>
      </c>
      <c r="AH631">
        <v>2</v>
      </c>
      <c r="AI631">
        <v>31030035</v>
      </c>
      <c r="AJ631">
        <v>602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</row>
    <row r="632" spans="1:44">
      <c r="A632">
        <f>ROW(Source!A261)</f>
        <v>261</v>
      </c>
      <c r="B632">
        <v>31030047</v>
      </c>
      <c r="C632">
        <v>31030030</v>
      </c>
      <c r="D632">
        <v>29150440</v>
      </c>
      <c r="E632">
        <v>1</v>
      </c>
      <c r="F632">
        <v>1</v>
      </c>
      <c r="G632">
        <v>1</v>
      </c>
      <c r="H632">
        <v>3</v>
      </c>
      <c r="I632" t="s">
        <v>1010</v>
      </c>
      <c r="J632" t="s">
        <v>1011</v>
      </c>
      <c r="K632" t="s">
        <v>1012</v>
      </c>
      <c r="L632">
        <v>1348</v>
      </c>
      <c r="N632">
        <v>1009</v>
      </c>
      <c r="O632" t="s">
        <v>137</v>
      </c>
      <c r="P632" t="s">
        <v>137</v>
      </c>
      <c r="Q632">
        <v>1000</v>
      </c>
      <c r="X632">
        <v>2.3E-2</v>
      </c>
      <c r="Y632">
        <v>1511.91</v>
      </c>
      <c r="Z632">
        <v>0</v>
      </c>
      <c r="AA632">
        <v>0</v>
      </c>
      <c r="AB632">
        <v>0</v>
      </c>
      <c r="AC632">
        <v>0</v>
      </c>
      <c r="AD632">
        <v>1</v>
      </c>
      <c r="AE632">
        <v>0</v>
      </c>
      <c r="AF632" t="s">
        <v>6</v>
      </c>
      <c r="AG632">
        <v>2.3E-2</v>
      </c>
      <c r="AH632">
        <v>2</v>
      </c>
      <c r="AI632">
        <v>31030036</v>
      </c>
      <c r="AJ632">
        <v>603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</row>
    <row r="633" spans="1:44">
      <c r="A633">
        <f>ROW(Source!A261)</f>
        <v>261</v>
      </c>
      <c r="B633">
        <v>31030048</v>
      </c>
      <c r="C633">
        <v>31030030</v>
      </c>
      <c r="D633">
        <v>29150584</v>
      </c>
      <c r="E633">
        <v>1</v>
      </c>
      <c r="F633">
        <v>1</v>
      </c>
      <c r="G633">
        <v>1</v>
      </c>
      <c r="H633">
        <v>3</v>
      </c>
      <c r="I633" t="s">
        <v>1204</v>
      </c>
      <c r="J633" t="s">
        <v>1205</v>
      </c>
      <c r="K633" t="s">
        <v>1206</v>
      </c>
      <c r="L633">
        <v>1327</v>
      </c>
      <c r="N633">
        <v>1005</v>
      </c>
      <c r="O633" t="s">
        <v>284</v>
      </c>
      <c r="P633" t="s">
        <v>284</v>
      </c>
      <c r="Q633">
        <v>1</v>
      </c>
      <c r="X633">
        <v>116</v>
      </c>
      <c r="Y633">
        <v>17.7</v>
      </c>
      <c r="Z633">
        <v>0</v>
      </c>
      <c r="AA633">
        <v>0</v>
      </c>
      <c r="AB633">
        <v>0</v>
      </c>
      <c r="AC633">
        <v>0</v>
      </c>
      <c r="AD633">
        <v>1</v>
      </c>
      <c r="AE633">
        <v>0</v>
      </c>
      <c r="AF633" t="s">
        <v>6</v>
      </c>
      <c r="AG633">
        <v>116</v>
      </c>
      <c r="AH633">
        <v>2</v>
      </c>
      <c r="AI633">
        <v>31030037</v>
      </c>
      <c r="AJ633">
        <v>604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</row>
    <row r="634" spans="1:44">
      <c r="A634">
        <f>ROW(Source!A261)</f>
        <v>261</v>
      </c>
      <c r="B634">
        <v>31030049</v>
      </c>
      <c r="C634">
        <v>31030030</v>
      </c>
      <c r="D634">
        <v>29152000</v>
      </c>
      <c r="E634">
        <v>1</v>
      </c>
      <c r="F634">
        <v>1</v>
      </c>
      <c r="G634">
        <v>1</v>
      </c>
      <c r="H634">
        <v>3</v>
      </c>
      <c r="I634" t="s">
        <v>1207</v>
      </c>
      <c r="J634" t="s">
        <v>1208</v>
      </c>
      <c r="K634" t="s">
        <v>1209</v>
      </c>
      <c r="L634">
        <v>1348</v>
      </c>
      <c r="N634">
        <v>1009</v>
      </c>
      <c r="O634" t="s">
        <v>137</v>
      </c>
      <c r="P634" t="s">
        <v>137</v>
      </c>
      <c r="Q634">
        <v>1000</v>
      </c>
      <c r="X634">
        <v>0.246</v>
      </c>
      <c r="Y634">
        <v>4490.6000000000004</v>
      </c>
      <c r="Z634">
        <v>0</v>
      </c>
      <c r="AA634">
        <v>0</v>
      </c>
      <c r="AB634">
        <v>0</v>
      </c>
      <c r="AC634">
        <v>0</v>
      </c>
      <c r="AD634">
        <v>1</v>
      </c>
      <c r="AE634">
        <v>0</v>
      </c>
      <c r="AF634" t="s">
        <v>6</v>
      </c>
      <c r="AG634">
        <v>0.246</v>
      </c>
      <c r="AH634">
        <v>2</v>
      </c>
      <c r="AI634">
        <v>31030038</v>
      </c>
      <c r="AJ634">
        <v>605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</row>
    <row r="635" spans="1:44">
      <c r="A635">
        <f>ROW(Source!A261)</f>
        <v>261</v>
      </c>
      <c r="B635">
        <v>31030050</v>
      </c>
      <c r="C635">
        <v>31030030</v>
      </c>
      <c r="D635">
        <v>29152001</v>
      </c>
      <c r="E635">
        <v>1</v>
      </c>
      <c r="F635">
        <v>1</v>
      </c>
      <c r="G635">
        <v>1</v>
      </c>
      <c r="H635">
        <v>3</v>
      </c>
      <c r="I635" t="s">
        <v>1210</v>
      </c>
      <c r="J635" t="s">
        <v>1211</v>
      </c>
      <c r="K635" t="s">
        <v>1212</v>
      </c>
      <c r="L635">
        <v>1348</v>
      </c>
      <c r="N635">
        <v>1009</v>
      </c>
      <c r="O635" t="s">
        <v>137</v>
      </c>
      <c r="P635" t="s">
        <v>137</v>
      </c>
      <c r="Q635">
        <v>1000</v>
      </c>
      <c r="X635">
        <v>5.3999999999999999E-2</v>
      </c>
      <c r="Y635">
        <v>6143.8</v>
      </c>
      <c r="Z635">
        <v>0</v>
      </c>
      <c r="AA635">
        <v>0</v>
      </c>
      <c r="AB635">
        <v>0</v>
      </c>
      <c r="AC635">
        <v>0</v>
      </c>
      <c r="AD635">
        <v>1</v>
      </c>
      <c r="AE635">
        <v>0</v>
      </c>
      <c r="AF635" t="s">
        <v>6</v>
      </c>
      <c r="AG635">
        <v>5.3999999999999999E-2</v>
      </c>
      <c r="AH635">
        <v>2</v>
      </c>
      <c r="AI635">
        <v>31030039</v>
      </c>
      <c r="AJ635">
        <v>606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</row>
    <row r="636" spans="1:44">
      <c r="A636">
        <f>ROW(Source!A261)</f>
        <v>261</v>
      </c>
      <c r="B636">
        <v>31030051</v>
      </c>
      <c r="C636">
        <v>31030030</v>
      </c>
      <c r="D636">
        <v>29152014</v>
      </c>
      <c r="E636">
        <v>1</v>
      </c>
      <c r="F636">
        <v>1</v>
      </c>
      <c r="G636">
        <v>1</v>
      </c>
      <c r="H636">
        <v>3</v>
      </c>
      <c r="I636" t="s">
        <v>838</v>
      </c>
      <c r="J636" t="s">
        <v>839</v>
      </c>
      <c r="K636" t="s">
        <v>840</v>
      </c>
      <c r="L636">
        <v>1346</v>
      </c>
      <c r="N636">
        <v>1009</v>
      </c>
      <c r="O636" t="s">
        <v>118</v>
      </c>
      <c r="P636" t="s">
        <v>118</v>
      </c>
      <c r="Q636">
        <v>1</v>
      </c>
      <c r="X636">
        <v>0.5</v>
      </c>
      <c r="Y636">
        <v>1.94</v>
      </c>
      <c r="Z636">
        <v>0</v>
      </c>
      <c r="AA636">
        <v>0</v>
      </c>
      <c r="AB636">
        <v>0</v>
      </c>
      <c r="AC636">
        <v>0</v>
      </c>
      <c r="AD636">
        <v>1</v>
      </c>
      <c r="AE636">
        <v>0</v>
      </c>
      <c r="AF636" t="s">
        <v>6</v>
      </c>
      <c r="AG636">
        <v>0.5</v>
      </c>
      <c r="AH636">
        <v>2</v>
      </c>
      <c r="AI636">
        <v>31030040</v>
      </c>
      <c r="AJ636">
        <v>607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</row>
    <row r="637" spans="1:44">
      <c r="A637">
        <f>ROW(Source!A261)</f>
        <v>261</v>
      </c>
      <c r="B637">
        <v>31030052</v>
      </c>
      <c r="C637">
        <v>31030030</v>
      </c>
      <c r="D637">
        <v>29164748</v>
      </c>
      <c r="E637">
        <v>1</v>
      </c>
      <c r="F637">
        <v>1</v>
      </c>
      <c r="G637">
        <v>1</v>
      </c>
      <c r="H637">
        <v>3</v>
      </c>
      <c r="I637" t="s">
        <v>1213</v>
      </c>
      <c r="J637" t="s">
        <v>1214</v>
      </c>
      <c r="K637" t="s">
        <v>1215</v>
      </c>
      <c r="L637">
        <v>1348</v>
      </c>
      <c r="N637">
        <v>1009</v>
      </c>
      <c r="O637" t="s">
        <v>137</v>
      </c>
      <c r="P637" t="s">
        <v>137</v>
      </c>
      <c r="Q637">
        <v>1000</v>
      </c>
      <c r="X637">
        <v>4.0000000000000001E-3</v>
      </c>
      <c r="Y637">
        <v>37870</v>
      </c>
      <c r="Z637">
        <v>0</v>
      </c>
      <c r="AA637">
        <v>0</v>
      </c>
      <c r="AB637">
        <v>0</v>
      </c>
      <c r="AC637">
        <v>0</v>
      </c>
      <c r="AD637">
        <v>1</v>
      </c>
      <c r="AE637">
        <v>0</v>
      </c>
      <c r="AF637" t="s">
        <v>6</v>
      </c>
      <c r="AG637">
        <v>4.0000000000000001E-3</v>
      </c>
      <c r="AH637">
        <v>2</v>
      </c>
      <c r="AI637">
        <v>31030041</v>
      </c>
      <c r="AJ637">
        <v>608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</row>
    <row r="638" spans="1:44">
      <c r="A638">
        <f>ROW(Source!A262)</f>
        <v>262</v>
      </c>
      <c r="B638">
        <v>31030060</v>
      </c>
      <c r="C638">
        <v>31030053</v>
      </c>
      <c r="D638">
        <v>30853534</v>
      </c>
      <c r="E638">
        <v>1</v>
      </c>
      <c r="F638">
        <v>1</v>
      </c>
      <c r="G638">
        <v>1</v>
      </c>
      <c r="H638">
        <v>1</v>
      </c>
      <c r="I638" t="s">
        <v>1188</v>
      </c>
      <c r="J638" t="s">
        <v>6</v>
      </c>
      <c r="K638" t="s">
        <v>1189</v>
      </c>
      <c r="L638">
        <v>1369</v>
      </c>
      <c r="N638">
        <v>1013</v>
      </c>
      <c r="O638" t="s">
        <v>773</v>
      </c>
      <c r="P638" t="s">
        <v>773</v>
      </c>
      <c r="Q638">
        <v>1</v>
      </c>
      <c r="X638">
        <v>39.51</v>
      </c>
      <c r="Y638">
        <v>0</v>
      </c>
      <c r="Z638">
        <v>0</v>
      </c>
      <c r="AA638">
        <v>0</v>
      </c>
      <c r="AB638">
        <v>7.67</v>
      </c>
      <c r="AC638">
        <v>0</v>
      </c>
      <c r="AD638">
        <v>1</v>
      </c>
      <c r="AE638">
        <v>1</v>
      </c>
      <c r="AF638" t="s">
        <v>127</v>
      </c>
      <c r="AG638">
        <v>52.251974999999987</v>
      </c>
      <c r="AH638">
        <v>2</v>
      </c>
      <c r="AI638">
        <v>31030054</v>
      </c>
      <c r="AJ638">
        <v>609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</row>
    <row r="639" spans="1:44">
      <c r="A639">
        <f>ROW(Source!A262)</f>
        <v>262</v>
      </c>
      <c r="B639">
        <v>31030061</v>
      </c>
      <c r="C639">
        <v>31030053</v>
      </c>
      <c r="D639">
        <v>29084573</v>
      </c>
      <c r="E639">
        <v>1</v>
      </c>
      <c r="F639">
        <v>1</v>
      </c>
      <c r="G639">
        <v>1</v>
      </c>
      <c r="H639">
        <v>1</v>
      </c>
      <c r="I639" t="s">
        <v>774</v>
      </c>
      <c r="J639" t="s">
        <v>6</v>
      </c>
      <c r="K639" t="s">
        <v>775</v>
      </c>
      <c r="L639">
        <v>608254</v>
      </c>
      <c r="N639">
        <v>1013</v>
      </c>
      <c r="O639" t="s">
        <v>776</v>
      </c>
      <c r="P639" t="s">
        <v>776</v>
      </c>
      <c r="Q639">
        <v>1</v>
      </c>
      <c r="X639">
        <v>1.27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1</v>
      </c>
      <c r="AE639">
        <v>2</v>
      </c>
      <c r="AF639" t="s">
        <v>126</v>
      </c>
      <c r="AG639">
        <v>1.8256249999999998</v>
      </c>
      <c r="AH639">
        <v>2</v>
      </c>
      <c r="AI639">
        <v>31030055</v>
      </c>
      <c r="AJ639">
        <v>610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</row>
    <row r="640" spans="1:44">
      <c r="A640">
        <f>ROW(Source!A262)</f>
        <v>262</v>
      </c>
      <c r="B640">
        <v>31030062</v>
      </c>
      <c r="C640">
        <v>31030053</v>
      </c>
      <c r="D640">
        <v>29147732</v>
      </c>
      <c r="E640">
        <v>1</v>
      </c>
      <c r="F640">
        <v>1</v>
      </c>
      <c r="G640">
        <v>1</v>
      </c>
      <c r="H640">
        <v>2</v>
      </c>
      <c r="I640" t="s">
        <v>846</v>
      </c>
      <c r="J640" t="s">
        <v>847</v>
      </c>
      <c r="K640" t="s">
        <v>848</v>
      </c>
      <c r="L640">
        <v>1368</v>
      </c>
      <c r="N640">
        <v>1011</v>
      </c>
      <c r="O640" t="s">
        <v>780</v>
      </c>
      <c r="P640" t="s">
        <v>780</v>
      </c>
      <c r="Q640">
        <v>1</v>
      </c>
      <c r="X640">
        <v>1.27</v>
      </c>
      <c r="Y640">
        <v>0</v>
      </c>
      <c r="Z640">
        <v>30.85</v>
      </c>
      <c r="AA640">
        <v>13.03</v>
      </c>
      <c r="AB640">
        <v>0</v>
      </c>
      <c r="AC640">
        <v>0</v>
      </c>
      <c r="AD640">
        <v>1</v>
      </c>
      <c r="AE640">
        <v>0</v>
      </c>
      <c r="AF640" t="s">
        <v>126</v>
      </c>
      <c r="AG640">
        <v>1.8256249999999998</v>
      </c>
      <c r="AH640">
        <v>2</v>
      </c>
      <c r="AI640">
        <v>31030056</v>
      </c>
      <c r="AJ640">
        <v>611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</row>
    <row r="641" spans="1:44">
      <c r="A641">
        <f>ROW(Source!A262)</f>
        <v>262</v>
      </c>
      <c r="B641">
        <v>31030063</v>
      </c>
      <c r="C641">
        <v>31030053</v>
      </c>
      <c r="D641">
        <v>29148144</v>
      </c>
      <c r="E641">
        <v>1</v>
      </c>
      <c r="F641">
        <v>1</v>
      </c>
      <c r="G641">
        <v>1</v>
      </c>
      <c r="H641">
        <v>2</v>
      </c>
      <c r="I641" t="s">
        <v>1193</v>
      </c>
      <c r="J641" t="s">
        <v>1194</v>
      </c>
      <c r="K641" t="s">
        <v>1195</v>
      </c>
      <c r="L641">
        <v>1368</v>
      </c>
      <c r="N641">
        <v>1011</v>
      </c>
      <c r="O641" t="s">
        <v>780</v>
      </c>
      <c r="P641" t="s">
        <v>780</v>
      </c>
      <c r="Q641">
        <v>1</v>
      </c>
      <c r="X641">
        <v>9.07</v>
      </c>
      <c r="Y641">
        <v>0</v>
      </c>
      <c r="Z641">
        <v>0.5</v>
      </c>
      <c r="AA641">
        <v>0</v>
      </c>
      <c r="AB641">
        <v>0</v>
      </c>
      <c r="AC641">
        <v>0</v>
      </c>
      <c r="AD641">
        <v>1</v>
      </c>
      <c r="AE641">
        <v>0</v>
      </c>
      <c r="AF641" t="s">
        <v>126</v>
      </c>
      <c r="AG641">
        <v>13.038124999999999</v>
      </c>
      <c r="AH641">
        <v>2</v>
      </c>
      <c r="AI641">
        <v>31030057</v>
      </c>
      <c r="AJ641">
        <v>612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</row>
    <row r="642" spans="1:44">
      <c r="A642">
        <f>ROW(Source!A262)</f>
        <v>262</v>
      </c>
      <c r="B642">
        <v>31030064</v>
      </c>
      <c r="C642">
        <v>31030053</v>
      </c>
      <c r="D642">
        <v>29186490</v>
      </c>
      <c r="E642">
        <v>1</v>
      </c>
      <c r="F642">
        <v>1</v>
      </c>
      <c r="G642">
        <v>1</v>
      </c>
      <c r="H642">
        <v>3</v>
      </c>
      <c r="I642" t="s">
        <v>1196</v>
      </c>
      <c r="J642" t="s">
        <v>1197</v>
      </c>
      <c r="K642" t="s">
        <v>1198</v>
      </c>
      <c r="L642">
        <v>1339</v>
      </c>
      <c r="N642">
        <v>1007</v>
      </c>
      <c r="O642" t="s">
        <v>109</v>
      </c>
      <c r="P642" t="s">
        <v>109</v>
      </c>
      <c r="Q642">
        <v>1</v>
      </c>
      <c r="X642">
        <v>2.04</v>
      </c>
      <c r="Y642">
        <v>647.4</v>
      </c>
      <c r="Z642">
        <v>0</v>
      </c>
      <c r="AA642">
        <v>0</v>
      </c>
      <c r="AB642">
        <v>0</v>
      </c>
      <c r="AC642">
        <v>0</v>
      </c>
      <c r="AD642">
        <v>1</v>
      </c>
      <c r="AE642">
        <v>0</v>
      </c>
      <c r="AF642" t="s">
        <v>6</v>
      </c>
      <c r="AG642">
        <v>2.04</v>
      </c>
      <c r="AH642">
        <v>2</v>
      </c>
      <c r="AI642">
        <v>31030058</v>
      </c>
      <c r="AJ642">
        <v>613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</row>
    <row r="643" spans="1:44">
      <c r="A643">
        <f>ROW(Source!A262)</f>
        <v>262</v>
      </c>
      <c r="B643">
        <v>31030065</v>
      </c>
      <c r="C643">
        <v>31030053</v>
      </c>
      <c r="D643">
        <v>29195171</v>
      </c>
      <c r="E643">
        <v>1</v>
      </c>
      <c r="F643">
        <v>1</v>
      </c>
      <c r="G643">
        <v>1</v>
      </c>
      <c r="H643">
        <v>3</v>
      </c>
      <c r="I643" t="s">
        <v>830</v>
      </c>
      <c r="J643" t="s">
        <v>831</v>
      </c>
      <c r="K643" t="s">
        <v>832</v>
      </c>
      <c r="L643">
        <v>1339</v>
      </c>
      <c r="N643">
        <v>1007</v>
      </c>
      <c r="O643" t="s">
        <v>109</v>
      </c>
      <c r="P643" t="s">
        <v>109</v>
      </c>
      <c r="Q643">
        <v>1</v>
      </c>
      <c r="X643">
        <v>3.5</v>
      </c>
      <c r="Y643">
        <v>2.4500000000000002</v>
      </c>
      <c r="Z643">
        <v>0</v>
      </c>
      <c r="AA643">
        <v>0</v>
      </c>
      <c r="AB643">
        <v>0</v>
      </c>
      <c r="AC643">
        <v>0</v>
      </c>
      <c r="AD643">
        <v>1</v>
      </c>
      <c r="AE643">
        <v>0</v>
      </c>
      <c r="AF643" t="s">
        <v>6</v>
      </c>
      <c r="AG643">
        <v>3.5</v>
      </c>
      <c r="AH643">
        <v>2</v>
      </c>
      <c r="AI643">
        <v>31030059</v>
      </c>
      <c r="AJ643">
        <v>614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</row>
    <row r="644" spans="1:44">
      <c r="A644">
        <f>ROW(Source!A263)</f>
        <v>263</v>
      </c>
      <c r="B644">
        <v>31030072</v>
      </c>
      <c r="C644">
        <v>31030066</v>
      </c>
      <c r="D644">
        <v>30853534</v>
      </c>
      <c r="E644">
        <v>1</v>
      </c>
      <c r="F644">
        <v>1</v>
      </c>
      <c r="G644">
        <v>1</v>
      </c>
      <c r="H644">
        <v>1</v>
      </c>
      <c r="I644" t="s">
        <v>1188</v>
      </c>
      <c r="J644" t="s">
        <v>6</v>
      </c>
      <c r="K644" t="s">
        <v>1189</v>
      </c>
      <c r="L644">
        <v>1369</v>
      </c>
      <c r="N644">
        <v>1013</v>
      </c>
      <c r="O644" t="s">
        <v>773</v>
      </c>
      <c r="P644" t="s">
        <v>773</v>
      </c>
      <c r="Q644">
        <v>1</v>
      </c>
      <c r="X644">
        <v>0.5</v>
      </c>
      <c r="Y644">
        <v>0</v>
      </c>
      <c r="Z644">
        <v>0</v>
      </c>
      <c r="AA644">
        <v>0</v>
      </c>
      <c r="AB644">
        <v>7.67</v>
      </c>
      <c r="AC644">
        <v>0</v>
      </c>
      <c r="AD644">
        <v>1</v>
      </c>
      <c r="AE644">
        <v>1</v>
      </c>
      <c r="AF644" t="s">
        <v>127</v>
      </c>
      <c r="AG644">
        <v>0.66124999999999989</v>
      </c>
      <c r="AH644">
        <v>2</v>
      </c>
      <c r="AI644">
        <v>31030067</v>
      </c>
      <c r="AJ644">
        <v>615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</row>
    <row r="645" spans="1:44">
      <c r="A645">
        <f>ROW(Source!A263)</f>
        <v>263</v>
      </c>
      <c r="B645">
        <v>31030073</v>
      </c>
      <c r="C645">
        <v>31030066</v>
      </c>
      <c r="D645">
        <v>29084573</v>
      </c>
      <c r="E645">
        <v>1</v>
      </c>
      <c r="F645">
        <v>1</v>
      </c>
      <c r="G645">
        <v>1</v>
      </c>
      <c r="H645">
        <v>1</v>
      </c>
      <c r="I645" t="s">
        <v>774</v>
      </c>
      <c r="J645" t="s">
        <v>6</v>
      </c>
      <c r="K645" t="s">
        <v>775</v>
      </c>
      <c r="L645">
        <v>608254</v>
      </c>
      <c r="N645">
        <v>1013</v>
      </c>
      <c r="O645" t="s">
        <v>776</v>
      </c>
      <c r="P645" t="s">
        <v>776</v>
      </c>
      <c r="Q645">
        <v>1</v>
      </c>
      <c r="X645">
        <v>0.21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1</v>
      </c>
      <c r="AE645">
        <v>2</v>
      </c>
      <c r="AF645" t="s">
        <v>126</v>
      </c>
      <c r="AG645">
        <v>0.301875</v>
      </c>
      <c r="AH645">
        <v>2</v>
      </c>
      <c r="AI645">
        <v>31030068</v>
      </c>
      <c r="AJ645">
        <v>616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</row>
    <row r="646" spans="1:44">
      <c r="A646">
        <f>ROW(Source!A263)</f>
        <v>263</v>
      </c>
      <c r="B646">
        <v>31030074</v>
      </c>
      <c r="C646">
        <v>31030066</v>
      </c>
      <c r="D646">
        <v>29147732</v>
      </c>
      <c r="E646">
        <v>1</v>
      </c>
      <c r="F646">
        <v>1</v>
      </c>
      <c r="G646">
        <v>1</v>
      </c>
      <c r="H646">
        <v>2</v>
      </c>
      <c r="I646" t="s">
        <v>846</v>
      </c>
      <c r="J646" t="s">
        <v>847</v>
      </c>
      <c r="K646" t="s">
        <v>848</v>
      </c>
      <c r="L646">
        <v>1368</v>
      </c>
      <c r="N646">
        <v>1011</v>
      </c>
      <c r="O646" t="s">
        <v>780</v>
      </c>
      <c r="P646" t="s">
        <v>780</v>
      </c>
      <c r="Q646">
        <v>1</v>
      </c>
      <c r="X646">
        <v>0.21</v>
      </c>
      <c r="Y646">
        <v>0</v>
      </c>
      <c r="Z646">
        <v>30.85</v>
      </c>
      <c r="AA646">
        <v>13.03</v>
      </c>
      <c r="AB646">
        <v>0</v>
      </c>
      <c r="AC646">
        <v>0</v>
      </c>
      <c r="AD646">
        <v>1</v>
      </c>
      <c r="AE646">
        <v>0</v>
      </c>
      <c r="AF646" t="s">
        <v>126</v>
      </c>
      <c r="AG646">
        <v>0.301875</v>
      </c>
      <c r="AH646">
        <v>2</v>
      </c>
      <c r="AI646">
        <v>31030069</v>
      </c>
      <c r="AJ646">
        <v>617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</row>
    <row r="647" spans="1:44">
      <c r="A647">
        <f>ROW(Source!A263)</f>
        <v>263</v>
      </c>
      <c r="B647">
        <v>31030075</v>
      </c>
      <c r="C647">
        <v>31030066</v>
      </c>
      <c r="D647">
        <v>29148144</v>
      </c>
      <c r="E647">
        <v>1</v>
      </c>
      <c r="F647">
        <v>1</v>
      </c>
      <c r="G647">
        <v>1</v>
      </c>
      <c r="H647">
        <v>2</v>
      </c>
      <c r="I647" t="s">
        <v>1193</v>
      </c>
      <c r="J647" t="s">
        <v>1194</v>
      </c>
      <c r="K647" t="s">
        <v>1195</v>
      </c>
      <c r="L647">
        <v>1368</v>
      </c>
      <c r="N647">
        <v>1011</v>
      </c>
      <c r="O647" t="s">
        <v>780</v>
      </c>
      <c r="P647" t="s">
        <v>780</v>
      </c>
      <c r="Q647">
        <v>1</v>
      </c>
      <c r="X647">
        <v>2.3199999999999998</v>
      </c>
      <c r="Y647">
        <v>0</v>
      </c>
      <c r="Z647">
        <v>0.5</v>
      </c>
      <c r="AA647">
        <v>0</v>
      </c>
      <c r="AB647">
        <v>0</v>
      </c>
      <c r="AC647">
        <v>0</v>
      </c>
      <c r="AD647">
        <v>1</v>
      </c>
      <c r="AE647">
        <v>0</v>
      </c>
      <c r="AF647" t="s">
        <v>126</v>
      </c>
      <c r="AG647">
        <v>3.3349999999999995</v>
      </c>
      <c r="AH647">
        <v>2</v>
      </c>
      <c r="AI647">
        <v>31030070</v>
      </c>
      <c r="AJ647">
        <v>618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</row>
    <row r="648" spans="1:44">
      <c r="A648">
        <f>ROW(Source!A263)</f>
        <v>263</v>
      </c>
      <c r="B648">
        <v>31030076</v>
      </c>
      <c r="C648">
        <v>31030066</v>
      </c>
      <c r="D648">
        <v>29186490</v>
      </c>
      <c r="E648">
        <v>1</v>
      </c>
      <c r="F648">
        <v>1</v>
      </c>
      <c r="G648">
        <v>1</v>
      </c>
      <c r="H648">
        <v>3</v>
      </c>
      <c r="I648" t="s">
        <v>1196</v>
      </c>
      <c r="J648" t="s">
        <v>1197</v>
      </c>
      <c r="K648" t="s">
        <v>1198</v>
      </c>
      <c r="L648">
        <v>1339</v>
      </c>
      <c r="N648">
        <v>1007</v>
      </c>
      <c r="O648" t="s">
        <v>109</v>
      </c>
      <c r="P648" t="s">
        <v>109</v>
      </c>
      <c r="Q648">
        <v>1</v>
      </c>
      <c r="X648">
        <v>0.51</v>
      </c>
      <c r="Y648">
        <v>647.4</v>
      </c>
      <c r="Z648">
        <v>0</v>
      </c>
      <c r="AA648">
        <v>0</v>
      </c>
      <c r="AB648">
        <v>0</v>
      </c>
      <c r="AC648">
        <v>0</v>
      </c>
      <c r="AD648">
        <v>1</v>
      </c>
      <c r="AE648">
        <v>0</v>
      </c>
      <c r="AF648" t="s">
        <v>6</v>
      </c>
      <c r="AG648">
        <v>0.51</v>
      </c>
      <c r="AH648">
        <v>2</v>
      </c>
      <c r="AI648">
        <v>31030071</v>
      </c>
      <c r="AJ648">
        <v>619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</row>
    <row r="649" spans="1:44">
      <c r="A649">
        <f>ROW(Source!A264)</f>
        <v>264</v>
      </c>
      <c r="B649">
        <v>31030088</v>
      </c>
      <c r="C649">
        <v>31030077</v>
      </c>
      <c r="D649">
        <v>29084586</v>
      </c>
      <c r="E649">
        <v>1</v>
      </c>
      <c r="F649">
        <v>1</v>
      </c>
      <c r="G649">
        <v>1</v>
      </c>
      <c r="H649">
        <v>1</v>
      </c>
      <c r="I649" t="s">
        <v>828</v>
      </c>
      <c r="J649" t="s">
        <v>6</v>
      </c>
      <c r="K649" t="s">
        <v>829</v>
      </c>
      <c r="L649">
        <v>1369</v>
      </c>
      <c r="N649">
        <v>1013</v>
      </c>
      <c r="O649" t="s">
        <v>773</v>
      </c>
      <c r="P649" t="s">
        <v>773</v>
      </c>
      <c r="Q649">
        <v>1</v>
      </c>
      <c r="X649">
        <v>119.78</v>
      </c>
      <c r="Y649">
        <v>0</v>
      </c>
      <c r="Z649">
        <v>0</v>
      </c>
      <c r="AA649">
        <v>0</v>
      </c>
      <c r="AB649">
        <v>8.44</v>
      </c>
      <c r="AC649">
        <v>0</v>
      </c>
      <c r="AD649">
        <v>1</v>
      </c>
      <c r="AE649">
        <v>1</v>
      </c>
      <c r="AF649" t="s">
        <v>127</v>
      </c>
      <c r="AG649">
        <v>158.40904999999998</v>
      </c>
      <c r="AH649">
        <v>2</v>
      </c>
      <c r="AI649">
        <v>31030078</v>
      </c>
      <c r="AJ649">
        <v>620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</row>
    <row r="650" spans="1:44">
      <c r="A650">
        <f>ROW(Source!A264)</f>
        <v>264</v>
      </c>
      <c r="B650">
        <v>31030089</v>
      </c>
      <c r="C650">
        <v>31030077</v>
      </c>
      <c r="D650">
        <v>29084573</v>
      </c>
      <c r="E650">
        <v>1</v>
      </c>
      <c r="F650">
        <v>1</v>
      </c>
      <c r="G650">
        <v>1</v>
      </c>
      <c r="H650">
        <v>1</v>
      </c>
      <c r="I650" t="s">
        <v>774</v>
      </c>
      <c r="J650" t="s">
        <v>6</v>
      </c>
      <c r="K650" t="s">
        <v>775</v>
      </c>
      <c r="L650">
        <v>608254</v>
      </c>
      <c r="N650">
        <v>1013</v>
      </c>
      <c r="O650" t="s">
        <v>776</v>
      </c>
      <c r="P650" t="s">
        <v>776</v>
      </c>
      <c r="Q650">
        <v>1</v>
      </c>
      <c r="X650">
        <v>4.22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1</v>
      </c>
      <c r="AE650">
        <v>2</v>
      </c>
      <c r="AF650" t="s">
        <v>126</v>
      </c>
      <c r="AG650">
        <v>6.0662499999999993</v>
      </c>
      <c r="AH650">
        <v>2</v>
      </c>
      <c r="AI650">
        <v>31030079</v>
      </c>
      <c r="AJ650">
        <v>621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</row>
    <row r="651" spans="1:44">
      <c r="A651">
        <f>ROW(Source!A264)</f>
        <v>264</v>
      </c>
      <c r="B651">
        <v>31030090</v>
      </c>
      <c r="C651">
        <v>31030077</v>
      </c>
      <c r="D651">
        <v>29147673</v>
      </c>
      <c r="E651">
        <v>1</v>
      </c>
      <c r="F651">
        <v>1</v>
      </c>
      <c r="G651">
        <v>1</v>
      </c>
      <c r="H651">
        <v>2</v>
      </c>
      <c r="I651" t="s">
        <v>924</v>
      </c>
      <c r="J651" t="s">
        <v>925</v>
      </c>
      <c r="K651" t="s">
        <v>926</v>
      </c>
      <c r="L651">
        <v>1368</v>
      </c>
      <c r="N651">
        <v>1011</v>
      </c>
      <c r="O651" t="s">
        <v>780</v>
      </c>
      <c r="P651" t="s">
        <v>780</v>
      </c>
      <c r="Q651">
        <v>1</v>
      </c>
      <c r="X651">
        <v>0.36</v>
      </c>
      <c r="Y651">
        <v>0</v>
      </c>
      <c r="Z651">
        <v>97.95</v>
      </c>
      <c r="AA651">
        <v>9.7100000000000009</v>
      </c>
      <c r="AB651">
        <v>0</v>
      </c>
      <c r="AC651">
        <v>0</v>
      </c>
      <c r="AD651">
        <v>1</v>
      </c>
      <c r="AE651">
        <v>0</v>
      </c>
      <c r="AF651" t="s">
        <v>126</v>
      </c>
      <c r="AG651">
        <v>0.51749999999999996</v>
      </c>
      <c r="AH651">
        <v>2</v>
      </c>
      <c r="AI651">
        <v>31030080</v>
      </c>
      <c r="AJ651">
        <v>622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</row>
    <row r="652" spans="1:44">
      <c r="A652">
        <f>ROW(Source!A264)</f>
        <v>264</v>
      </c>
      <c r="B652">
        <v>31030091</v>
      </c>
      <c r="C652">
        <v>31030077</v>
      </c>
      <c r="D652">
        <v>29147732</v>
      </c>
      <c r="E652">
        <v>1</v>
      </c>
      <c r="F652">
        <v>1</v>
      </c>
      <c r="G652">
        <v>1</v>
      </c>
      <c r="H652">
        <v>2</v>
      </c>
      <c r="I652" t="s">
        <v>846</v>
      </c>
      <c r="J652" t="s">
        <v>847</v>
      </c>
      <c r="K652" t="s">
        <v>848</v>
      </c>
      <c r="L652">
        <v>1368</v>
      </c>
      <c r="N652">
        <v>1011</v>
      </c>
      <c r="O652" t="s">
        <v>780</v>
      </c>
      <c r="P652" t="s">
        <v>780</v>
      </c>
      <c r="Q652">
        <v>1</v>
      </c>
      <c r="X652">
        <v>2.2999999999999998</v>
      </c>
      <c r="Y652">
        <v>0</v>
      </c>
      <c r="Z652">
        <v>30.85</v>
      </c>
      <c r="AA652">
        <v>13.03</v>
      </c>
      <c r="AB652">
        <v>0</v>
      </c>
      <c r="AC652">
        <v>0</v>
      </c>
      <c r="AD652">
        <v>1</v>
      </c>
      <c r="AE652">
        <v>0</v>
      </c>
      <c r="AF652" t="s">
        <v>126</v>
      </c>
      <c r="AG652">
        <v>3.3062499999999999</v>
      </c>
      <c r="AH652">
        <v>2</v>
      </c>
      <c r="AI652">
        <v>31030081</v>
      </c>
      <c r="AJ652">
        <v>623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</row>
    <row r="653" spans="1:44">
      <c r="A653">
        <f>ROW(Source!A264)</f>
        <v>264</v>
      </c>
      <c r="B653">
        <v>31030092</v>
      </c>
      <c r="C653">
        <v>31030077</v>
      </c>
      <c r="D653">
        <v>29148135</v>
      </c>
      <c r="E653">
        <v>1</v>
      </c>
      <c r="F653">
        <v>1</v>
      </c>
      <c r="G653">
        <v>1</v>
      </c>
      <c r="H653">
        <v>2</v>
      </c>
      <c r="I653" t="s">
        <v>948</v>
      </c>
      <c r="J653" t="s">
        <v>949</v>
      </c>
      <c r="K653" t="s">
        <v>950</v>
      </c>
      <c r="L653">
        <v>1368</v>
      </c>
      <c r="N653">
        <v>1011</v>
      </c>
      <c r="O653" t="s">
        <v>780</v>
      </c>
      <c r="P653" t="s">
        <v>780</v>
      </c>
      <c r="Q653">
        <v>1</v>
      </c>
      <c r="X653">
        <v>1.56</v>
      </c>
      <c r="Y653">
        <v>0</v>
      </c>
      <c r="Z653">
        <v>12.04</v>
      </c>
      <c r="AA653">
        <v>9.7100000000000009</v>
      </c>
      <c r="AB653">
        <v>0</v>
      </c>
      <c r="AC653">
        <v>0</v>
      </c>
      <c r="AD653">
        <v>1</v>
      </c>
      <c r="AE653">
        <v>0</v>
      </c>
      <c r="AF653" t="s">
        <v>126</v>
      </c>
      <c r="AG653">
        <v>2.2425000000000002</v>
      </c>
      <c r="AH653">
        <v>2</v>
      </c>
      <c r="AI653">
        <v>31030082</v>
      </c>
      <c r="AJ653">
        <v>624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</row>
    <row r="654" spans="1:44">
      <c r="A654">
        <f>ROW(Source!A264)</f>
        <v>264</v>
      </c>
      <c r="B654">
        <v>31030093</v>
      </c>
      <c r="C654">
        <v>31030077</v>
      </c>
      <c r="D654">
        <v>29149520</v>
      </c>
      <c r="E654">
        <v>1</v>
      </c>
      <c r="F654">
        <v>1</v>
      </c>
      <c r="G654">
        <v>1</v>
      </c>
      <c r="H654">
        <v>2</v>
      </c>
      <c r="I654" t="s">
        <v>790</v>
      </c>
      <c r="J654" t="s">
        <v>791</v>
      </c>
      <c r="K654" t="s">
        <v>792</v>
      </c>
      <c r="L654">
        <v>1368</v>
      </c>
      <c r="N654">
        <v>1011</v>
      </c>
      <c r="O654" t="s">
        <v>780</v>
      </c>
      <c r="P654" t="s">
        <v>780</v>
      </c>
      <c r="Q654">
        <v>1</v>
      </c>
      <c r="X654">
        <v>0.28000000000000003</v>
      </c>
      <c r="Y654">
        <v>0</v>
      </c>
      <c r="Z654">
        <v>91.62</v>
      </c>
      <c r="AA654">
        <v>0</v>
      </c>
      <c r="AB654">
        <v>0</v>
      </c>
      <c r="AC654">
        <v>0</v>
      </c>
      <c r="AD654">
        <v>1</v>
      </c>
      <c r="AE654">
        <v>0</v>
      </c>
      <c r="AF654" t="s">
        <v>126</v>
      </c>
      <c r="AG654">
        <v>0.40250000000000002</v>
      </c>
      <c r="AH654">
        <v>2</v>
      </c>
      <c r="AI654">
        <v>31030083</v>
      </c>
      <c r="AJ654">
        <v>625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</row>
    <row r="655" spans="1:44">
      <c r="A655">
        <f>ROW(Source!A264)</f>
        <v>264</v>
      </c>
      <c r="B655">
        <v>31030094</v>
      </c>
      <c r="C655">
        <v>31030077</v>
      </c>
      <c r="D655">
        <v>29150646</v>
      </c>
      <c r="E655">
        <v>1</v>
      </c>
      <c r="F655">
        <v>1</v>
      </c>
      <c r="G655">
        <v>1</v>
      </c>
      <c r="H655">
        <v>3</v>
      </c>
      <c r="I655" t="s">
        <v>610</v>
      </c>
      <c r="J655" t="s">
        <v>612</v>
      </c>
      <c r="K655" t="s">
        <v>611</v>
      </c>
      <c r="L655">
        <v>1327</v>
      </c>
      <c r="N655">
        <v>1005</v>
      </c>
      <c r="O655" t="s">
        <v>284</v>
      </c>
      <c r="P655" t="s">
        <v>284</v>
      </c>
      <c r="Q655">
        <v>1</v>
      </c>
      <c r="X655">
        <v>102</v>
      </c>
      <c r="Y655">
        <v>97.53</v>
      </c>
      <c r="Z655">
        <v>0</v>
      </c>
      <c r="AA655">
        <v>0</v>
      </c>
      <c r="AB655">
        <v>0</v>
      </c>
      <c r="AC655">
        <v>0</v>
      </c>
      <c r="AD655">
        <v>1</v>
      </c>
      <c r="AE655">
        <v>0</v>
      </c>
      <c r="AF655" t="s">
        <v>6</v>
      </c>
      <c r="AG655">
        <v>102</v>
      </c>
      <c r="AH655">
        <v>3</v>
      </c>
      <c r="AI655">
        <v>-1</v>
      </c>
      <c r="AJ655" t="s">
        <v>6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</row>
    <row r="656" spans="1:44">
      <c r="A656">
        <f>ROW(Source!A264)</f>
        <v>264</v>
      </c>
      <c r="B656">
        <v>31030095</v>
      </c>
      <c r="C656">
        <v>31030077</v>
      </c>
      <c r="D656">
        <v>29152014</v>
      </c>
      <c r="E656">
        <v>1</v>
      </c>
      <c r="F656">
        <v>1</v>
      </c>
      <c r="G656">
        <v>1</v>
      </c>
      <c r="H656">
        <v>3</v>
      </c>
      <c r="I656" t="s">
        <v>838</v>
      </c>
      <c r="J656" t="s">
        <v>839</v>
      </c>
      <c r="K656" t="s">
        <v>840</v>
      </c>
      <c r="L656">
        <v>1346</v>
      </c>
      <c r="N656">
        <v>1009</v>
      </c>
      <c r="O656" t="s">
        <v>118</v>
      </c>
      <c r="P656" t="s">
        <v>118</v>
      </c>
      <c r="Q656">
        <v>1</v>
      </c>
      <c r="X656">
        <v>0.5</v>
      </c>
      <c r="Y656">
        <v>1.94</v>
      </c>
      <c r="Z656">
        <v>0</v>
      </c>
      <c r="AA656">
        <v>0</v>
      </c>
      <c r="AB656">
        <v>0</v>
      </c>
      <c r="AC656">
        <v>0</v>
      </c>
      <c r="AD656">
        <v>1</v>
      </c>
      <c r="AE656">
        <v>0</v>
      </c>
      <c r="AF656" t="s">
        <v>6</v>
      </c>
      <c r="AG656">
        <v>0.5</v>
      </c>
      <c r="AH656">
        <v>2</v>
      </c>
      <c r="AI656">
        <v>31030084</v>
      </c>
      <c r="AJ656">
        <v>626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</row>
    <row r="657" spans="1:44">
      <c r="A657">
        <f>ROW(Source!A264)</f>
        <v>264</v>
      </c>
      <c r="B657">
        <v>31030096</v>
      </c>
      <c r="C657">
        <v>31030077</v>
      </c>
      <c r="D657">
        <v>29152177</v>
      </c>
      <c r="E657">
        <v>1</v>
      </c>
      <c r="F657">
        <v>1</v>
      </c>
      <c r="G657">
        <v>1</v>
      </c>
      <c r="H657">
        <v>3</v>
      </c>
      <c r="I657" t="s">
        <v>1216</v>
      </c>
      <c r="J657" t="s">
        <v>1217</v>
      </c>
      <c r="K657" t="s">
        <v>1218</v>
      </c>
      <c r="L657">
        <v>1346</v>
      </c>
      <c r="N657">
        <v>1009</v>
      </c>
      <c r="O657" t="s">
        <v>118</v>
      </c>
      <c r="P657" t="s">
        <v>118</v>
      </c>
      <c r="Q657">
        <v>1</v>
      </c>
      <c r="X657">
        <v>450</v>
      </c>
      <c r="Y657">
        <v>1.48</v>
      </c>
      <c r="Z657">
        <v>0</v>
      </c>
      <c r="AA657">
        <v>0</v>
      </c>
      <c r="AB657">
        <v>0</v>
      </c>
      <c r="AC657">
        <v>0</v>
      </c>
      <c r="AD657">
        <v>1</v>
      </c>
      <c r="AE657">
        <v>0</v>
      </c>
      <c r="AF657" t="s">
        <v>6</v>
      </c>
      <c r="AG657">
        <v>450</v>
      </c>
      <c r="AH657">
        <v>2</v>
      </c>
      <c r="AI657">
        <v>31030085</v>
      </c>
      <c r="AJ657">
        <v>627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</row>
    <row r="658" spans="1:44">
      <c r="A658">
        <f>ROW(Source!A264)</f>
        <v>264</v>
      </c>
      <c r="B658">
        <v>31030097</v>
      </c>
      <c r="C658">
        <v>31030077</v>
      </c>
      <c r="D658">
        <v>29152197</v>
      </c>
      <c r="E658">
        <v>1</v>
      </c>
      <c r="F658">
        <v>1</v>
      </c>
      <c r="G658">
        <v>1</v>
      </c>
      <c r="H658">
        <v>3</v>
      </c>
      <c r="I658" t="s">
        <v>1219</v>
      </c>
      <c r="J658" t="s">
        <v>1220</v>
      </c>
      <c r="K658" t="s">
        <v>1221</v>
      </c>
      <c r="L658">
        <v>1348</v>
      </c>
      <c r="N658">
        <v>1009</v>
      </c>
      <c r="O658" t="s">
        <v>137</v>
      </c>
      <c r="P658" t="s">
        <v>137</v>
      </c>
      <c r="Q658">
        <v>1000</v>
      </c>
      <c r="X658">
        <v>0.05</v>
      </c>
      <c r="Y658">
        <v>7057.66</v>
      </c>
      <c r="Z658">
        <v>0</v>
      </c>
      <c r="AA658">
        <v>0</v>
      </c>
      <c r="AB658">
        <v>0</v>
      </c>
      <c r="AC658">
        <v>0</v>
      </c>
      <c r="AD658">
        <v>1</v>
      </c>
      <c r="AE658">
        <v>0</v>
      </c>
      <c r="AF658" t="s">
        <v>6</v>
      </c>
      <c r="AG658">
        <v>0.05</v>
      </c>
      <c r="AH658">
        <v>2</v>
      </c>
      <c r="AI658">
        <v>31030086</v>
      </c>
      <c r="AJ658">
        <v>628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</row>
    <row r="659" spans="1:44">
      <c r="A659">
        <f>ROW(Source!A264)</f>
        <v>264</v>
      </c>
      <c r="B659">
        <v>31030098</v>
      </c>
      <c r="C659">
        <v>31030077</v>
      </c>
      <c r="D659">
        <v>29195171</v>
      </c>
      <c r="E659">
        <v>1</v>
      </c>
      <c r="F659">
        <v>1</v>
      </c>
      <c r="G659">
        <v>1</v>
      </c>
      <c r="H659">
        <v>3</v>
      </c>
      <c r="I659" t="s">
        <v>830</v>
      </c>
      <c r="J659" t="s">
        <v>831</v>
      </c>
      <c r="K659" t="s">
        <v>832</v>
      </c>
      <c r="L659">
        <v>1339</v>
      </c>
      <c r="N659">
        <v>1007</v>
      </c>
      <c r="O659" t="s">
        <v>109</v>
      </c>
      <c r="P659" t="s">
        <v>109</v>
      </c>
      <c r="Q659">
        <v>1</v>
      </c>
      <c r="X659">
        <v>0.1</v>
      </c>
      <c r="Y659">
        <v>2.4500000000000002</v>
      </c>
      <c r="Z659">
        <v>0</v>
      </c>
      <c r="AA659">
        <v>0</v>
      </c>
      <c r="AB659">
        <v>0</v>
      </c>
      <c r="AC659">
        <v>0</v>
      </c>
      <c r="AD659">
        <v>1</v>
      </c>
      <c r="AE659">
        <v>0</v>
      </c>
      <c r="AF659" t="s">
        <v>6</v>
      </c>
      <c r="AG659">
        <v>0.1</v>
      </c>
      <c r="AH659">
        <v>2</v>
      </c>
      <c r="AI659">
        <v>31030087</v>
      </c>
      <c r="AJ659">
        <v>629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</row>
    <row r="660" spans="1:44">
      <c r="A660">
        <f>ROW(Source!A267)</f>
        <v>267</v>
      </c>
      <c r="B660">
        <v>31030116</v>
      </c>
      <c r="C660">
        <v>31030101</v>
      </c>
      <c r="D660">
        <v>29084588</v>
      </c>
      <c r="E660">
        <v>1</v>
      </c>
      <c r="F660">
        <v>1</v>
      </c>
      <c r="G660">
        <v>1</v>
      </c>
      <c r="H660">
        <v>1</v>
      </c>
      <c r="I660" t="s">
        <v>909</v>
      </c>
      <c r="J660" t="s">
        <v>6</v>
      </c>
      <c r="K660" t="s">
        <v>910</v>
      </c>
      <c r="L660">
        <v>1369</v>
      </c>
      <c r="N660">
        <v>1013</v>
      </c>
      <c r="O660" t="s">
        <v>773</v>
      </c>
      <c r="P660" t="s">
        <v>773</v>
      </c>
      <c r="Q660">
        <v>1</v>
      </c>
      <c r="X660">
        <v>16.239999999999998</v>
      </c>
      <c r="Y660">
        <v>0</v>
      </c>
      <c r="Z660">
        <v>0</v>
      </c>
      <c r="AA660">
        <v>0</v>
      </c>
      <c r="AB660">
        <v>8.76</v>
      </c>
      <c r="AC660">
        <v>0</v>
      </c>
      <c r="AD660">
        <v>1</v>
      </c>
      <c r="AE660">
        <v>1</v>
      </c>
      <c r="AF660" t="s">
        <v>127</v>
      </c>
      <c r="AG660">
        <v>21.477399999999996</v>
      </c>
      <c r="AH660">
        <v>2</v>
      </c>
      <c r="AI660">
        <v>31030102</v>
      </c>
      <c r="AJ660">
        <v>630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</row>
    <row r="661" spans="1:44">
      <c r="A661">
        <f>ROW(Source!A267)</f>
        <v>267</v>
      </c>
      <c r="B661">
        <v>31030117</v>
      </c>
      <c r="C661">
        <v>31030101</v>
      </c>
      <c r="D661">
        <v>29084573</v>
      </c>
      <c r="E661">
        <v>1</v>
      </c>
      <c r="F661">
        <v>1</v>
      </c>
      <c r="G661">
        <v>1</v>
      </c>
      <c r="H661">
        <v>1</v>
      </c>
      <c r="I661" t="s">
        <v>774</v>
      </c>
      <c r="J661" t="s">
        <v>6</v>
      </c>
      <c r="K661" t="s">
        <v>775</v>
      </c>
      <c r="L661">
        <v>608254</v>
      </c>
      <c r="N661">
        <v>1013</v>
      </c>
      <c r="O661" t="s">
        <v>776</v>
      </c>
      <c r="P661" t="s">
        <v>776</v>
      </c>
      <c r="Q661">
        <v>1</v>
      </c>
      <c r="X661">
        <v>0.11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1</v>
      </c>
      <c r="AE661">
        <v>2</v>
      </c>
      <c r="AF661" t="s">
        <v>126</v>
      </c>
      <c r="AG661">
        <v>0.15812499999999999</v>
      </c>
      <c r="AH661">
        <v>2</v>
      </c>
      <c r="AI661">
        <v>31030103</v>
      </c>
      <c r="AJ661">
        <v>631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</row>
    <row r="662" spans="1:44">
      <c r="A662">
        <f>ROW(Source!A267)</f>
        <v>267</v>
      </c>
      <c r="B662">
        <v>31030118</v>
      </c>
      <c r="C662">
        <v>31030101</v>
      </c>
      <c r="D662">
        <v>29147520</v>
      </c>
      <c r="E662">
        <v>1</v>
      </c>
      <c r="F662">
        <v>1</v>
      </c>
      <c r="G662">
        <v>1</v>
      </c>
      <c r="H662">
        <v>2</v>
      </c>
      <c r="I662" t="s">
        <v>777</v>
      </c>
      <c r="J662" t="s">
        <v>778</v>
      </c>
      <c r="K662" t="s">
        <v>779</v>
      </c>
      <c r="L662">
        <v>1368</v>
      </c>
      <c r="N662">
        <v>1011</v>
      </c>
      <c r="O662" t="s">
        <v>780</v>
      </c>
      <c r="P662" t="s">
        <v>780</v>
      </c>
      <c r="Q662">
        <v>1</v>
      </c>
      <c r="X662">
        <v>0.01</v>
      </c>
      <c r="Y662">
        <v>0</v>
      </c>
      <c r="Z662">
        <v>85.93</v>
      </c>
      <c r="AA662">
        <v>13.03</v>
      </c>
      <c r="AB662">
        <v>0</v>
      </c>
      <c r="AC662">
        <v>0</v>
      </c>
      <c r="AD662">
        <v>1</v>
      </c>
      <c r="AE662">
        <v>0</v>
      </c>
      <c r="AF662" t="s">
        <v>126</v>
      </c>
      <c r="AG662">
        <v>1.4374999999999999E-2</v>
      </c>
      <c r="AH662">
        <v>2</v>
      </c>
      <c r="AI662">
        <v>31030104</v>
      </c>
      <c r="AJ662">
        <v>632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</row>
    <row r="663" spans="1:44">
      <c r="A663">
        <f>ROW(Source!A267)</f>
        <v>267</v>
      </c>
      <c r="B663">
        <v>31030119</v>
      </c>
      <c r="C663">
        <v>31030101</v>
      </c>
      <c r="D663">
        <v>29147601</v>
      </c>
      <c r="E663">
        <v>1</v>
      </c>
      <c r="F663">
        <v>1</v>
      </c>
      <c r="G663">
        <v>1</v>
      </c>
      <c r="H663">
        <v>2</v>
      </c>
      <c r="I663" t="s">
        <v>781</v>
      </c>
      <c r="J663" t="s">
        <v>782</v>
      </c>
      <c r="K663" t="s">
        <v>783</v>
      </c>
      <c r="L663">
        <v>1368</v>
      </c>
      <c r="N663">
        <v>1011</v>
      </c>
      <c r="O663" t="s">
        <v>780</v>
      </c>
      <c r="P663" t="s">
        <v>780</v>
      </c>
      <c r="Q663">
        <v>1</v>
      </c>
      <c r="X663">
        <v>0.1</v>
      </c>
      <c r="Y663">
        <v>0</v>
      </c>
      <c r="Z663">
        <v>108.45</v>
      </c>
      <c r="AA663">
        <v>13.03</v>
      </c>
      <c r="AB663">
        <v>0</v>
      </c>
      <c r="AC663">
        <v>0</v>
      </c>
      <c r="AD663">
        <v>1</v>
      </c>
      <c r="AE663">
        <v>0</v>
      </c>
      <c r="AF663" t="s">
        <v>126</v>
      </c>
      <c r="AG663">
        <v>0.14374999999999999</v>
      </c>
      <c r="AH663">
        <v>2</v>
      </c>
      <c r="AI663">
        <v>31030105</v>
      </c>
      <c r="AJ663">
        <v>633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</row>
    <row r="664" spans="1:44">
      <c r="A664">
        <f>ROW(Source!A267)</f>
        <v>267</v>
      </c>
      <c r="B664">
        <v>31030120</v>
      </c>
      <c r="C664">
        <v>31030101</v>
      </c>
      <c r="D664">
        <v>29149183</v>
      </c>
      <c r="E664">
        <v>1</v>
      </c>
      <c r="F664">
        <v>1</v>
      </c>
      <c r="G664">
        <v>1</v>
      </c>
      <c r="H664">
        <v>2</v>
      </c>
      <c r="I664" t="s">
        <v>983</v>
      </c>
      <c r="J664" t="s">
        <v>984</v>
      </c>
      <c r="K664" t="s">
        <v>985</v>
      </c>
      <c r="L664">
        <v>1368</v>
      </c>
      <c r="N664">
        <v>1011</v>
      </c>
      <c r="O664" t="s">
        <v>780</v>
      </c>
      <c r="P664" t="s">
        <v>780</v>
      </c>
      <c r="Q664">
        <v>1</v>
      </c>
      <c r="X664">
        <v>0.67</v>
      </c>
      <c r="Y664">
        <v>0</v>
      </c>
      <c r="Z664">
        <v>1.95</v>
      </c>
      <c r="AA664">
        <v>0</v>
      </c>
      <c r="AB664">
        <v>0</v>
      </c>
      <c r="AC664">
        <v>0</v>
      </c>
      <c r="AD664">
        <v>1</v>
      </c>
      <c r="AE664">
        <v>0</v>
      </c>
      <c r="AF664" t="s">
        <v>126</v>
      </c>
      <c r="AG664">
        <v>0.9631249999999999</v>
      </c>
      <c r="AH664">
        <v>2</v>
      </c>
      <c r="AI664">
        <v>31030106</v>
      </c>
      <c r="AJ664">
        <v>634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</row>
    <row r="665" spans="1:44">
      <c r="A665">
        <f>ROW(Source!A267)</f>
        <v>267</v>
      </c>
      <c r="B665">
        <v>31030121</v>
      </c>
      <c r="C665">
        <v>31030101</v>
      </c>
      <c r="D665">
        <v>29149520</v>
      </c>
      <c r="E665">
        <v>1</v>
      </c>
      <c r="F665">
        <v>1</v>
      </c>
      <c r="G665">
        <v>1</v>
      </c>
      <c r="H665">
        <v>2</v>
      </c>
      <c r="I665" t="s">
        <v>790</v>
      </c>
      <c r="J665" t="s">
        <v>791</v>
      </c>
      <c r="K665" t="s">
        <v>792</v>
      </c>
      <c r="L665">
        <v>1368</v>
      </c>
      <c r="N665">
        <v>1011</v>
      </c>
      <c r="O665" t="s">
        <v>780</v>
      </c>
      <c r="P665" t="s">
        <v>780</v>
      </c>
      <c r="Q665">
        <v>1</v>
      </c>
      <c r="X665">
        <v>0.4</v>
      </c>
      <c r="Y665">
        <v>0</v>
      </c>
      <c r="Z665">
        <v>91.62</v>
      </c>
      <c r="AA665">
        <v>0</v>
      </c>
      <c r="AB665">
        <v>0</v>
      </c>
      <c r="AC665">
        <v>0</v>
      </c>
      <c r="AD665">
        <v>1</v>
      </c>
      <c r="AE665">
        <v>0</v>
      </c>
      <c r="AF665" t="s">
        <v>126</v>
      </c>
      <c r="AG665">
        <v>0.57499999999999996</v>
      </c>
      <c r="AH665">
        <v>2</v>
      </c>
      <c r="AI665">
        <v>31030107</v>
      </c>
      <c r="AJ665">
        <v>635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</row>
    <row r="666" spans="1:44">
      <c r="A666">
        <f>ROW(Source!A267)</f>
        <v>267</v>
      </c>
      <c r="B666">
        <v>31030122</v>
      </c>
      <c r="C666">
        <v>31030101</v>
      </c>
      <c r="D666">
        <v>29150514</v>
      </c>
      <c r="E666">
        <v>1</v>
      </c>
      <c r="F666">
        <v>1</v>
      </c>
      <c r="G666">
        <v>1</v>
      </c>
      <c r="H666">
        <v>3</v>
      </c>
      <c r="I666" t="s">
        <v>1222</v>
      </c>
      <c r="J666" t="s">
        <v>1223</v>
      </c>
      <c r="K666" t="s">
        <v>1224</v>
      </c>
      <c r="L666">
        <v>1348</v>
      </c>
      <c r="N666">
        <v>1009</v>
      </c>
      <c r="O666" t="s">
        <v>137</v>
      </c>
      <c r="P666" t="s">
        <v>137</v>
      </c>
      <c r="Q666">
        <v>1000</v>
      </c>
      <c r="X666">
        <v>2.7499999999999998E-3</v>
      </c>
      <c r="Y666">
        <v>10489</v>
      </c>
      <c r="Z666">
        <v>0</v>
      </c>
      <c r="AA666">
        <v>0</v>
      </c>
      <c r="AB666">
        <v>0</v>
      </c>
      <c r="AC666">
        <v>0</v>
      </c>
      <c r="AD666">
        <v>1</v>
      </c>
      <c r="AE666">
        <v>0</v>
      </c>
      <c r="AF666" t="s">
        <v>6</v>
      </c>
      <c r="AG666">
        <v>2.7499999999999998E-3</v>
      </c>
      <c r="AH666">
        <v>2</v>
      </c>
      <c r="AI666">
        <v>31030108</v>
      </c>
      <c r="AJ666">
        <v>636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</row>
    <row r="667" spans="1:44">
      <c r="A667">
        <f>ROW(Source!A267)</f>
        <v>267</v>
      </c>
      <c r="B667">
        <v>31030123</v>
      </c>
      <c r="C667">
        <v>31030101</v>
      </c>
      <c r="D667">
        <v>29150746</v>
      </c>
      <c r="E667">
        <v>1</v>
      </c>
      <c r="F667">
        <v>1</v>
      </c>
      <c r="G667">
        <v>1</v>
      </c>
      <c r="H667">
        <v>3</v>
      </c>
      <c r="I667" t="s">
        <v>1225</v>
      </c>
      <c r="J667" t="s">
        <v>1226</v>
      </c>
      <c r="K667" t="s">
        <v>1227</v>
      </c>
      <c r="L667">
        <v>1348</v>
      </c>
      <c r="N667">
        <v>1009</v>
      </c>
      <c r="O667" t="s">
        <v>137</v>
      </c>
      <c r="P667" t="s">
        <v>137</v>
      </c>
      <c r="Q667">
        <v>1000</v>
      </c>
      <c r="X667">
        <v>2.2000000000000001E-4</v>
      </c>
      <c r="Y667">
        <v>10600</v>
      </c>
      <c r="Z667">
        <v>0</v>
      </c>
      <c r="AA667">
        <v>0</v>
      </c>
      <c r="AB667">
        <v>0</v>
      </c>
      <c r="AC667">
        <v>0</v>
      </c>
      <c r="AD667">
        <v>1</v>
      </c>
      <c r="AE667">
        <v>0</v>
      </c>
      <c r="AF667" t="s">
        <v>6</v>
      </c>
      <c r="AG667">
        <v>2.2000000000000001E-4</v>
      </c>
      <c r="AH667">
        <v>2</v>
      </c>
      <c r="AI667">
        <v>31030109</v>
      </c>
      <c r="AJ667">
        <v>637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</row>
    <row r="668" spans="1:44">
      <c r="A668">
        <f>ROW(Source!A267)</f>
        <v>267</v>
      </c>
      <c r="B668">
        <v>31030124</v>
      </c>
      <c r="C668">
        <v>31030101</v>
      </c>
      <c r="D668">
        <v>29150988</v>
      </c>
      <c r="E668">
        <v>1</v>
      </c>
      <c r="F668">
        <v>1</v>
      </c>
      <c r="G668">
        <v>1</v>
      </c>
      <c r="H668">
        <v>3</v>
      </c>
      <c r="I668" t="s">
        <v>1228</v>
      </c>
      <c r="J668" t="s">
        <v>1229</v>
      </c>
      <c r="K668" t="s">
        <v>1230</v>
      </c>
      <c r="L668">
        <v>1348</v>
      </c>
      <c r="N668">
        <v>1009</v>
      </c>
      <c r="O668" t="s">
        <v>137</v>
      </c>
      <c r="P668" t="s">
        <v>137</v>
      </c>
      <c r="Q668">
        <v>1000</v>
      </c>
      <c r="X668">
        <v>1.1E-4</v>
      </c>
      <c r="Y668">
        <v>18685</v>
      </c>
      <c r="Z668">
        <v>0</v>
      </c>
      <c r="AA668">
        <v>0</v>
      </c>
      <c r="AB668">
        <v>0</v>
      </c>
      <c r="AC668">
        <v>0</v>
      </c>
      <c r="AD668">
        <v>1</v>
      </c>
      <c r="AE668">
        <v>0</v>
      </c>
      <c r="AF668" t="s">
        <v>6</v>
      </c>
      <c r="AG668">
        <v>1.1E-4</v>
      </c>
      <c r="AH668">
        <v>2</v>
      </c>
      <c r="AI668">
        <v>31030110</v>
      </c>
      <c r="AJ668">
        <v>638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</row>
    <row r="669" spans="1:44">
      <c r="A669">
        <f>ROW(Source!A267)</f>
        <v>267</v>
      </c>
      <c r="B669">
        <v>31030125</v>
      </c>
      <c r="C669">
        <v>31030101</v>
      </c>
      <c r="D669">
        <v>29151931</v>
      </c>
      <c r="E669">
        <v>1</v>
      </c>
      <c r="F669">
        <v>1</v>
      </c>
      <c r="G669">
        <v>1</v>
      </c>
      <c r="H669">
        <v>3</v>
      </c>
      <c r="I669" t="s">
        <v>1231</v>
      </c>
      <c r="J669" t="s">
        <v>1232</v>
      </c>
      <c r="K669" t="s">
        <v>1233</v>
      </c>
      <c r="L669">
        <v>1346</v>
      </c>
      <c r="N669">
        <v>1009</v>
      </c>
      <c r="O669" t="s">
        <v>118</v>
      </c>
      <c r="P669" t="s">
        <v>118</v>
      </c>
      <c r="Q669">
        <v>1</v>
      </c>
      <c r="X669">
        <v>0.11</v>
      </c>
      <c r="Y669">
        <v>37.29</v>
      </c>
      <c r="Z669">
        <v>0</v>
      </c>
      <c r="AA669">
        <v>0</v>
      </c>
      <c r="AB669">
        <v>0</v>
      </c>
      <c r="AC669">
        <v>0</v>
      </c>
      <c r="AD669">
        <v>1</v>
      </c>
      <c r="AE669">
        <v>0</v>
      </c>
      <c r="AF669" t="s">
        <v>6</v>
      </c>
      <c r="AG669">
        <v>0.11</v>
      </c>
      <c r="AH669">
        <v>2</v>
      </c>
      <c r="AI669">
        <v>31030111</v>
      </c>
      <c r="AJ669">
        <v>639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</row>
    <row r="670" spans="1:44">
      <c r="A670">
        <f>ROW(Source!A267)</f>
        <v>267</v>
      </c>
      <c r="B670">
        <v>31030126</v>
      </c>
      <c r="C670">
        <v>31030101</v>
      </c>
      <c r="D670">
        <v>29175457</v>
      </c>
      <c r="E670">
        <v>1</v>
      </c>
      <c r="F670">
        <v>1</v>
      </c>
      <c r="G670">
        <v>1</v>
      </c>
      <c r="H670">
        <v>3</v>
      </c>
      <c r="I670" t="s">
        <v>1234</v>
      </c>
      <c r="J670" t="s">
        <v>1235</v>
      </c>
      <c r="K670" t="s">
        <v>1236</v>
      </c>
      <c r="L670">
        <v>1301</v>
      </c>
      <c r="N670">
        <v>1003</v>
      </c>
      <c r="O670" t="s">
        <v>315</v>
      </c>
      <c r="P670" t="s">
        <v>315</v>
      </c>
      <c r="Q670">
        <v>1</v>
      </c>
      <c r="X670">
        <v>100</v>
      </c>
      <c r="Y670">
        <v>19.72</v>
      </c>
      <c r="Z670">
        <v>0</v>
      </c>
      <c r="AA670">
        <v>0</v>
      </c>
      <c r="AB670">
        <v>0</v>
      </c>
      <c r="AC670">
        <v>0</v>
      </c>
      <c r="AD670">
        <v>1</v>
      </c>
      <c r="AE670">
        <v>0</v>
      </c>
      <c r="AF670" t="s">
        <v>6</v>
      </c>
      <c r="AG670">
        <v>100</v>
      </c>
      <c r="AH670">
        <v>2</v>
      </c>
      <c r="AI670">
        <v>31030112</v>
      </c>
      <c r="AJ670">
        <v>640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</row>
    <row r="671" spans="1:44">
      <c r="A671">
        <f>ROW(Source!A267)</f>
        <v>267</v>
      </c>
      <c r="B671">
        <v>31030127</v>
      </c>
      <c r="C671">
        <v>31030101</v>
      </c>
      <c r="D671">
        <v>29176105</v>
      </c>
      <c r="E671">
        <v>1</v>
      </c>
      <c r="F671">
        <v>1</v>
      </c>
      <c r="G671">
        <v>1</v>
      </c>
      <c r="H671">
        <v>3</v>
      </c>
      <c r="I671" t="s">
        <v>1237</v>
      </c>
      <c r="J671" t="s">
        <v>1238</v>
      </c>
      <c r="K671" t="s">
        <v>1239</v>
      </c>
      <c r="L671">
        <v>1355</v>
      </c>
      <c r="N671">
        <v>1010</v>
      </c>
      <c r="O671" t="s">
        <v>680</v>
      </c>
      <c r="P671" t="s">
        <v>680</v>
      </c>
      <c r="Q671">
        <v>100</v>
      </c>
      <c r="X671">
        <v>0.22</v>
      </c>
      <c r="Y671">
        <v>172.25</v>
      </c>
      <c r="Z671">
        <v>0</v>
      </c>
      <c r="AA671">
        <v>0</v>
      </c>
      <c r="AB671">
        <v>0</v>
      </c>
      <c r="AC671">
        <v>0</v>
      </c>
      <c r="AD671">
        <v>1</v>
      </c>
      <c r="AE671">
        <v>0</v>
      </c>
      <c r="AF671" t="s">
        <v>6</v>
      </c>
      <c r="AG671">
        <v>0.22</v>
      </c>
      <c r="AH671">
        <v>2</v>
      </c>
      <c r="AI671">
        <v>31030113</v>
      </c>
      <c r="AJ671">
        <v>641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</row>
    <row r="672" spans="1:44">
      <c r="A672">
        <f>ROW(Source!A267)</f>
        <v>267</v>
      </c>
      <c r="B672">
        <v>31030128</v>
      </c>
      <c r="C672">
        <v>31030101</v>
      </c>
      <c r="D672">
        <v>29176106</v>
      </c>
      <c r="E672">
        <v>1</v>
      </c>
      <c r="F672">
        <v>1</v>
      </c>
      <c r="G672">
        <v>1</v>
      </c>
      <c r="H672">
        <v>3</v>
      </c>
      <c r="I672" t="s">
        <v>1240</v>
      </c>
      <c r="J672" t="s">
        <v>1241</v>
      </c>
      <c r="K672" t="s">
        <v>1242</v>
      </c>
      <c r="L672">
        <v>1355</v>
      </c>
      <c r="N672">
        <v>1010</v>
      </c>
      <c r="O672" t="s">
        <v>680</v>
      </c>
      <c r="P672" t="s">
        <v>680</v>
      </c>
      <c r="Q672">
        <v>100</v>
      </c>
      <c r="X672">
        <v>0.22</v>
      </c>
      <c r="Y672">
        <v>202.88</v>
      </c>
      <c r="Z672">
        <v>0</v>
      </c>
      <c r="AA672">
        <v>0</v>
      </c>
      <c r="AB672">
        <v>0</v>
      </c>
      <c r="AC672">
        <v>0</v>
      </c>
      <c r="AD672">
        <v>1</v>
      </c>
      <c r="AE672">
        <v>0</v>
      </c>
      <c r="AF672" t="s">
        <v>6</v>
      </c>
      <c r="AG672">
        <v>0.22</v>
      </c>
      <c r="AH672">
        <v>2</v>
      </c>
      <c r="AI672">
        <v>31030114</v>
      </c>
      <c r="AJ672">
        <v>642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</row>
    <row r="673" spans="1:44">
      <c r="A673">
        <f>ROW(Source!A267)</f>
        <v>267</v>
      </c>
      <c r="B673">
        <v>31030129</v>
      </c>
      <c r="C673">
        <v>31030101</v>
      </c>
      <c r="D673">
        <v>29186487</v>
      </c>
      <c r="E673">
        <v>1</v>
      </c>
      <c r="F673">
        <v>1</v>
      </c>
      <c r="G673">
        <v>1</v>
      </c>
      <c r="H673">
        <v>3</v>
      </c>
      <c r="I673" t="s">
        <v>1243</v>
      </c>
      <c r="J673" t="s">
        <v>1244</v>
      </c>
      <c r="K673" t="s">
        <v>1245</v>
      </c>
      <c r="L673">
        <v>1339</v>
      </c>
      <c r="N673">
        <v>1007</v>
      </c>
      <c r="O673" t="s">
        <v>109</v>
      </c>
      <c r="P673" t="s">
        <v>109</v>
      </c>
      <c r="Q673">
        <v>1</v>
      </c>
      <c r="X673">
        <v>4.4000000000000003E-3</v>
      </c>
      <c r="Y673">
        <v>456.24</v>
      </c>
      <c r="Z673">
        <v>0</v>
      </c>
      <c r="AA673">
        <v>0</v>
      </c>
      <c r="AB673">
        <v>0</v>
      </c>
      <c r="AC673">
        <v>0</v>
      </c>
      <c r="AD673">
        <v>1</v>
      </c>
      <c r="AE673">
        <v>0</v>
      </c>
      <c r="AF673" t="s">
        <v>6</v>
      </c>
      <c r="AG673">
        <v>4.4000000000000003E-3</v>
      </c>
      <c r="AH673">
        <v>2</v>
      </c>
      <c r="AI673">
        <v>31030115</v>
      </c>
      <c r="AJ673">
        <v>643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</row>
    <row r="674" spans="1:44">
      <c r="A674">
        <f>ROW(Source!A268)</f>
        <v>268</v>
      </c>
      <c r="B674">
        <v>31030147</v>
      </c>
      <c r="C674">
        <v>31030130</v>
      </c>
      <c r="D674">
        <v>29084597</v>
      </c>
      <c r="E674">
        <v>1</v>
      </c>
      <c r="F674">
        <v>1</v>
      </c>
      <c r="G674">
        <v>1</v>
      </c>
      <c r="H674">
        <v>1</v>
      </c>
      <c r="I674" t="s">
        <v>1092</v>
      </c>
      <c r="J674" t="s">
        <v>6</v>
      </c>
      <c r="K674" t="s">
        <v>1093</v>
      </c>
      <c r="L674">
        <v>1369</v>
      </c>
      <c r="N674">
        <v>1013</v>
      </c>
      <c r="O674" t="s">
        <v>773</v>
      </c>
      <c r="P674" t="s">
        <v>773</v>
      </c>
      <c r="Q674">
        <v>1</v>
      </c>
      <c r="X674">
        <v>149.63999999999999</v>
      </c>
      <c r="Y674">
        <v>0</v>
      </c>
      <c r="Z674">
        <v>0</v>
      </c>
      <c r="AA674">
        <v>0</v>
      </c>
      <c r="AB674">
        <v>9.57</v>
      </c>
      <c r="AC674">
        <v>0</v>
      </c>
      <c r="AD674">
        <v>1</v>
      </c>
      <c r="AE674">
        <v>1</v>
      </c>
      <c r="AF674" t="s">
        <v>127</v>
      </c>
      <c r="AG674">
        <v>197.89889999999997</v>
      </c>
      <c r="AH674">
        <v>2</v>
      </c>
      <c r="AI674">
        <v>31030131</v>
      </c>
      <c r="AJ674">
        <v>644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</row>
    <row r="675" spans="1:44">
      <c r="A675">
        <f>ROW(Source!A268)</f>
        <v>268</v>
      </c>
      <c r="B675">
        <v>31030148</v>
      </c>
      <c r="C675">
        <v>31030130</v>
      </c>
      <c r="D675">
        <v>29084573</v>
      </c>
      <c r="E675">
        <v>1</v>
      </c>
      <c r="F675">
        <v>1</v>
      </c>
      <c r="G675">
        <v>1</v>
      </c>
      <c r="H675">
        <v>1</v>
      </c>
      <c r="I675" t="s">
        <v>774</v>
      </c>
      <c r="J675" t="s">
        <v>6</v>
      </c>
      <c r="K675" t="s">
        <v>775</v>
      </c>
      <c r="L675">
        <v>608254</v>
      </c>
      <c r="N675">
        <v>1013</v>
      </c>
      <c r="O675" t="s">
        <v>776</v>
      </c>
      <c r="P675" t="s">
        <v>776</v>
      </c>
      <c r="Q675">
        <v>1</v>
      </c>
      <c r="X675">
        <v>8.1999999999999993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1</v>
      </c>
      <c r="AE675">
        <v>2</v>
      </c>
      <c r="AF675" t="s">
        <v>126</v>
      </c>
      <c r="AG675">
        <v>11.7875</v>
      </c>
      <c r="AH675">
        <v>2</v>
      </c>
      <c r="AI675">
        <v>31030132</v>
      </c>
      <c r="AJ675">
        <v>645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</row>
    <row r="676" spans="1:44">
      <c r="A676">
        <f>ROW(Source!A268)</f>
        <v>268</v>
      </c>
      <c r="B676">
        <v>31030149</v>
      </c>
      <c r="C676">
        <v>31030130</v>
      </c>
      <c r="D676">
        <v>29147520</v>
      </c>
      <c r="E676">
        <v>1</v>
      </c>
      <c r="F676">
        <v>1</v>
      </c>
      <c r="G676">
        <v>1</v>
      </c>
      <c r="H676">
        <v>2</v>
      </c>
      <c r="I676" t="s">
        <v>777</v>
      </c>
      <c r="J676" t="s">
        <v>778</v>
      </c>
      <c r="K676" t="s">
        <v>779</v>
      </c>
      <c r="L676">
        <v>1368</v>
      </c>
      <c r="N676">
        <v>1011</v>
      </c>
      <c r="O676" t="s">
        <v>780</v>
      </c>
      <c r="P676" t="s">
        <v>780</v>
      </c>
      <c r="Q676">
        <v>1</v>
      </c>
      <c r="X676">
        <v>0.05</v>
      </c>
      <c r="Y676">
        <v>0</v>
      </c>
      <c r="Z676">
        <v>85.93</v>
      </c>
      <c r="AA676">
        <v>13.03</v>
      </c>
      <c r="AB676">
        <v>0</v>
      </c>
      <c r="AC676">
        <v>0</v>
      </c>
      <c r="AD676">
        <v>1</v>
      </c>
      <c r="AE676">
        <v>0</v>
      </c>
      <c r="AF676" t="s">
        <v>126</v>
      </c>
      <c r="AG676">
        <v>7.1874999999999994E-2</v>
      </c>
      <c r="AH676">
        <v>2</v>
      </c>
      <c r="AI676">
        <v>31030133</v>
      </c>
      <c r="AJ676">
        <v>646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</row>
    <row r="677" spans="1:44">
      <c r="A677">
        <f>ROW(Source!A268)</f>
        <v>268</v>
      </c>
      <c r="B677">
        <v>31030150</v>
      </c>
      <c r="C677">
        <v>31030130</v>
      </c>
      <c r="D677">
        <v>29147601</v>
      </c>
      <c r="E677">
        <v>1</v>
      </c>
      <c r="F677">
        <v>1</v>
      </c>
      <c r="G677">
        <v>1</v>
      </c>
      <c r="H677">
        <v>2</v>
      </c>
      <c r="I677" t="s">
        <v>781</v>
      </c>
      <c r="J677" t="s">
        <v>782</v>
      </c>
      <c r="K677" t="s">
        <v>783</v>
      </c>
      <c r="L677">
        <v>1368</v>
      </c>
      <c r="N677">
        <v>1011</v>
      </c>
      <c r="O677" t="s">
        <v>780</v>
      </c>
      <c r="P677" t="s">
        <v>780</v>
      </c>
      <c r="Q677">
        <v>1</v>
      </c>
      <c r="X677">
        <v>0.03</v>
      </c>
      <c r="Y677">
        <v>0</v>
      </c>
      <c r="Z677">
        <v>108.45</v>
      </c>
      <c r="AA677">
        <v>13.03</v>
      </c>
      <c r="AB677">
        <v>0</v>
      </c>
      <c r="AC677">
        <v>0</v>
      </c>
      <c r="AD677">
        <v>1</v>
      </c>
      <c r="AE677">
        <v>0</v>
      </c>
      <c r="AF677" t="s">
        <v>126</v>
      </c>
      <c r="AG677">
        <v>4.3124999999999997E-2</v>
      </c>
      <c r="AH677">
        <v>2</v>
      </c>
      <c r="AI677">
        <v>31030134</v>
      </c>
      <c r="AJ677">
        <v>647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</row>
    <row r="678" spans="1:44">
      <c r="A678">
        <f>ROW(Source!A268)</f>
        <v>268</v>
      </c>
      <c r="B678">
        <v>31030151</v>
      </c>
      <c r="C678">
        <v>31030130</v>
      </c>
      <c r="D678">
        <v>29148008</v>
      </c>
      <c r="E678">
        <v>1</v>
      </c>
      <c r="F678">
        <v>1</v>
      </c>
      <c r="G678">
        <v>1</v>
      </c>
      <c r="H678">
        <v>2</v>
      </c>
      <c r="I678" t="s">
        <v>1094</v>
      </c>
      <c r="J678" t="s">
        <v>1095</v>
      </c>
      <c r="K678" t="s">
        <v>1096</v>
      </c>
      <c r="L678">
        <v>1368</v>
      </c>
      <c r="N678">
        <v>1011</v>
      </c>
      <c r="O678" t="s">
        <v>780</v>
      </c>
      <c r="P678" t="s">
        <v>780</v>
      </c>
      <c r="Q678">
        <v>1</v>
      </c>
      <c r="X678">
        <v>8.1199999999999992</v>
      </c>
      <c r="Y678">
        <v>0</v>
      </c>
      <c r="Z678">
        <v>96.1</v>
      </c>
      <c r="AA678">
        <v>13.03</v>
      </c>
      <c r="AB678">
        <v>0</v>
      </c>
      <c r="AC678">
        <v>0</v>
      </c>
      <c r="AD678">
        <v>1</v>
      </c>
      <c r="AE678">
        <v>0</v>
      </c>
      <c r="AF678" t="s">
        <v>126</v>
      </c>
      <c r="AG678">
        <v>11.672499999999998</v>
      </c>
      <c r="AH678">
        <v>2</v>
      </c>
      <c r="AI678">
        <v>31030135</v>
      </c>
      <c r="AJ678">
        <v>648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</row>
    <row r="679" spans="1:44">
      <c r="A679">
        <f>ROW(Source!A268)</f>
        <v>268</v>
      </c>
      <c r="B679">
        <v>31030152</v>
      </c>
      <c r="C679">
        <v>31030130</v>
      </c>
      <c r="D679">
        <v>29149520</v>
      </c>
      <c r="E679">
        <v>1</v>
      </c>
      <c r="F679">
        <v>1</v>
      </c>
      <c r="G679">
        <v>1</v>
      </c>
      <c r="H679">
        <v>2</v>
      </c>
      <c r="I679" t="s">
        <v>790</v>
      </c>
      <c r="J679" t="s">
        <v>791</v>
      </c>
      <c r="K679" t="s">
        <v>792</v>
      </c>
      <c r="L679">
        <v>1368</v>
      </c>
      <c r="N679">
        <v>1011</v>
      </c>
      <c r="O679" t="s">
        <v>780</v>
      </c>
      <c r="P679" t="s">
        <v>780</v>
      </c>
      <c r="Q679">
        <v>1</v>
      </c>
      <c r="X679">
        <v>0.22</v>
      </c>
      <c r="Y679">
        <v>0</v>
      </c>
      <c r="Z679">
        <v>91.62</v>
      </c>
      <c r="AA679">
        <v>0</v>
      </c>
      <c r="AB679">
        <v>0</v>
      </c>
      <c r="AC679">
        <v>0</v>
      </c>
      <c r="AD679">
        <v>1</v>
      </c>
      <c r="AE679">
        <v>0</v>
      </c>
      <c r="AF679" t="s">
        <v>126</v>
      </c>
      <c r="AG679">
        <v>0.31624999999999998</v>
      </c>
      <c r="AH679">
        <v>2</v>
      </c>
      <c r="AI679">
        <v>31030136</v>
      </c>
      <c r="AJ679">
        <v>649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</row>
    <row r="680" spans="1:44">
      <c r="A680">
        <f>ROW(Source!A268)</f>
        <v>268</v>
      </c>
      <c r="B680">
        <v>31030153</v>
      </c>
      <c r="C680">
        <v>31030130</v>
      </c>
      <c r="D680">
        <v>29150503</v>
      </c>
      <c r="E680">
        <v>1</v>
      </c>
      <c r="F680">
        <v>1</v>
      </c>
      <c r="G680">
        <v>1</v>
      </c>
      <c r="H680">
        <v>3</v>
      </c>
      <c r="I680" t="s">
        <v>1097</v>
      </c>
      <c r="J680" t="s">
        <v>1098</v>
      </c>
      <c r="K680" t="s">
        <v>1099</v>
      </c>
      <c r="L680">
        <v>1348</v>
      </c>
      <c r="N680">
        <v>1009</v>
      </c>
      <c r="O680" t="s">
        <v>137</v>
      </c>
      <c r="P680" t="s">
        <v>137</v>
      </c>
      <c r="Q680">
        <v>1000</v>
      </c>
      <c r="X680">
        <v>5.9000000000000003E-4</v>
      </c>
      <c r="Y680">
        <v>13053</v>
      </c>
      <c r="Z680">
        <v>0</v>
      </c>
      <c r="AA680">
        <v>0</v>
      </c>
      <c r="AB680">
        <v>0</v>
      </c>
      <c r="AC680">
        <v>0</v>
      </c>
      <c r="AD680">
        <v>1</v>
      </c>
      <c r="AE680">
        <v>0</v>
      </c>
      <c r="AF680" t="s">
        <v>6</v>
      </c>
      <c r="AG680">
        <v>5.9000000000000003E-4</v>
      </c>
      <c r="AH680">
        <v>2</v>
      </c>
      <c r="AI680">
        <v>31030137</v>
      </c>
      <c r="AJ680">
        <v>650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</row>
    <row r="681" spans="1:44">
      <c r="A681">
        <f>ROW(Source!A268)</f>
        <v>268</v>
      </c>
      <c r="B681">
        <v>31030154</v>
      </c>
      <c r="C681">
        <v>31030130</v>
      </c>
      <c r="D681">
        <v>29150687</v>
      </c>
      <c r="E681">
        <v>1</v>
      </c>
      <c r="F681">
        <v>1</v>
      </c>
      <c r="G681">
        <v>1</v>
      </c>
      <c r="H681">
        <v>3</v>
      </c>
      <c r="I681" t="s">
        <v>1100</v>
      </c>
      <c r="J681" t="s">
        <v>1101</v>
      </c>
      <c r="K681" t="s">
        <v>1102</v>
      </c>
      <c r="L681">
        <v>1346</v>
      </c>
      <c r="N681">
        <v>1009</v>
      </c>
      <c r="O681" t="s">
        <v>118</v>
      </c>
      <c r="P681" t="s">
        <v>118</v>
      </c>
      <c r="Q681">
        <v>1</v>
      </c>
      <c r="X681">
        <v>0.2</v>
      </c>
      <c r="Y681">
        <v>28.93</v>
      </c>
      <c r="Z681">
        <v>0</v>
      </c>
      <c r="AA681">
        <v>0</v>
      </c>
      <c r="AB681">
        <v>0</v>
      </c>
      <c r="AC681">
        <v>0</v>
      </c>
      <c r="AD681">
        <v>1</v>
      </c>
      <c r="AE681">
        <v>0</v>
      </c>
      <c r="AF681" t="s">
        <v>6</v>
      </c>
      <c r="AG681">
        <v>0.2</v>
      </c>
      <c r="AH681">
        <v>2</v>
      </c>
      <c r="AI681">
        <v>31030138</v>
      </c>
      <c r="AJ681">
        <v>651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</row>
    <row r="682" spans="1:44">
      <c r="A682">
        <f>ROW(Source!A268)</f>
        <v>268</v>
      </c>
      <c r="B682">
        <v>31030155</v>
      </c>
      <c r="C682">
        <v>31030130</v>
      </c>
      <c r="D682">
        <v>29151941</v>
      </c>
      <c r="E682">
        <v>1</v>
      </c>
      <c r="F682">
        <v>1</v>
      </c>
      <c r="G682">
        <v>1</v>
      </c>
      <c r="H682">
        <v>3</v>
      </c>
      <c r="I682" t="s">
        <v>1103</v>
      </c>
      <c r="J682" t="s">
        <v>1104</v>
      </c>
      <c r="K682" t="s">
        <v>1105</v>
      </c>
      <c r="L682">
        <v>1356</v>
      </c>
      <c r="N682">
        <v>1010</v>
      </c>
      <c r="O682" t="s">
        <v>155</v>
      </c>
      <c r="P682" t="s">
        <v>155</v>
      </c>
      <c r="Q682">
        <v>1000</v>
      </c>
      <c r="X682">
        <v>6.9000000000000006E-2</v>
      </c>
      <c r="Y682">
        <v>273.2</v>
      </c>
      <c r="Z682">
        <v>0</v>
      </c>
      <c r="AA682">
        <v>0</v>
      </c>
      <c r="AB682">
        <v>0</v>
      </c>
      <c r="AC682">
        <v>0</v>
      </c>
      <c r="AD682">
        <v>1</v>
      </c>
      <c r="AE682">
        <v>0</v>
      </c>
      <c r="AF682" t="s">
        <v>6</v>
      </c>
      <c r="AG682">
        <v>6.9000000000000006E-2</v>
      </c>
      <c r="AH682">
        <v>2</v>
      </c>
      <c r="AI682">
        <v>31030139</v>
      </c>
      <c r="AJ682">
        <v>652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</row>
    <row r="683" spans="1:44">
      <c r="A683">
        <f>ROW(Source!A268)</f>
        <v>268</v>
      </c>
      <c r="B683">
        <v>31030156</v>
      </c>
      <c r="C683">
        <v>31030130</v>
      </c>
      <c r="D683">
        <v>29151960</v>
      </c>
      <c r="E683">
        <v>1</v>
      </c>
      <c r="F683">
        <v>1</v>
      </c>
      <c r="G683">
        <v>1</v>
      </c>
      <c r="H683">
        <v>3</v>
      </c>
      <c r="I683" t="s">
        <v>1106</v>
      </c>
      <c r="J683" t="s">
        <v>1107</v>
      </c>
      <c r="K683" t="s">
        <v>1108</v>
      </c>
      <c r="L683">
        <v>1346</v>
      </c>
      <c r="N683">
        <v>1009</v>
      </c>
      <c r="O683" t="s">
        <v>118</v>
      </c>
      <c r="P683" t="s">
        <v>118</v>
      </c>
      <c r="Q683">
        <v>1</v>
      </c>
      <c r="X683">
        <v>0.38</v>
      </c>
      <c r="Y683">
        <v>27.11</v>
      </c>
      <c r="Z683">
        <v>0</v>
      </c>
      <c r="AA683">
        <v>0</v>
      </c>
      <c r="AB683">
        <v>0</v>
      </c>
      <c r="AC683">
        <v>0</v>
      </c>
      <c r="AD683">
        <v>1</v>
      </c>
      <c r="AE683">
        <v>0</v>
      </c>
      <c r="AF683" t="s">
        <v>6</v>
      </c>
      <c r="AG683">
        <v>0.38</v>
      </c>
      <c r="AH683">
        <v>2</v>
      </c>
      <c r="AI683">
        <v>31030140</v>
      </c>
      <c r="AJ683">
        <v>653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</row>
    <row r="684" spans="1:44">
      <c r="A684">
        <f>ROW(Source!A268)</f>
        <v>268</v>
      </c>
      <c r="B684">
        <v>31030157</v>
      </c>
      <c r="C684">
        <v>31030130</v>
      </c>
      <c r="D684">
        <v>29161321</v>
      </c>
      <c r="E684">
        <v>1</v>
      </c>
      <c r="F684">
        <v>1</v>
      </c>
      <c r="G684">
        <v>1</v>
      </c>
      <c r="H684">
        <v>3</v>
      </c>
      <c r="I684" t="s">
        <v>1109</v>
      </c>
      <c r="J684" t="s">
        <v>1110</v>
      </c>
      <c r="K684" t="s">
        <v>1111</v>
      </c>
      <c r="L684">
        <v>1354</v>
      </c>
      <c r="N684">
        <v>1010</v>
      </c>
      <c r="O684" t="s">
        <v>704</v>
      </c>
      <c r="P684" t="s">
        <v>704</v>
      </c>
      <c r="Q684">
        <v>1</v>
      </c>
      <c r="X684">
        <v>0</v>
      </c>
      <c r="Y684">
        <v>0</v>
      </c>
      <c r="Z684">
        <v>0</v>
      </c>
      <c r="AA684">
        <v>0</v>
      </c>
      <c r="AB684">
        <v>0</v>
      </c>
      <c r="AC684">
        <v>1</v>
      </c>
      <c r="AD684">
        <v>0</v>
      </c>
      <c r="AE684">
        <v>0</v>
      </c>
      <c r="AF684" t="s">
        <v>6</v>
      </c>
      <c r="AG684">
        <v>0</v>
      </c>
      <c r="AH684">
        <v>2</v>
      </c>
      <c r="AI684">
        <v>31030141</v>
      </c>
      <c r="AJ684">
        <v>654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</row>
    <row r="685" spans="1:44">
      <c r="A685">
        <f>ROW(Source!A268)</f>
        <v>268</v>
      </c>
      <c r="B685">
        <v>31030158</v>
      </c>
      <c r="C685">
        <v>31030130</v>
      </c>
      <c r="D685">
        <v>29165029</v>
      </c>
      <c r="E685">
        <v>1</v>
      </c>
      <c r="F685">
        <v>1</v>
      </c>
      <c r="G685">
        <v>1</v>
      </c>
      <c r="H685">
        <v>3</v>
      </c>
      <c r="I685" t="s">
        <v>1112</v>
      </c>
      <c r="J685" t="s">
        <v>1113</v>
      </c>
      <c r="K685" t="s">
        <v>1114</v>
      </c>
      <c r="L685">
        <v>1346</v>
      </c>
      <c r="N685">
        <v>1009</v>
      </c>
      <c r="O685" t="s">
        <v>118</v>
      </c>
      <c r="P685" t="s">
        <v>118</v>
      </c>
      <c r="Q685">
        <v>1</v>
      </c>
      <c r="X685">
        <v>0.25</v>
      </c>
      <c r="Y685">
        <v>11.8</v>
      </c>
      <c r="Z685">
        <v>0</v>
      </c>
      <c r="AA685">
        <v>0</v>
      </c>
      <c r="AB685">
        <v>0</v>
      </c>
      <c r="AC685">
        <v>0</v>
      </c>
      <c r="AD685">
        <v>1</v>
      </c>
      <c r="AE685">
        <v>0</v>
      </c>
      <c r="AF685" t="s">
        <v>6</v>
      </c>
      <c r="AG685">
        <v>0.25</v>
      </c>
      <c r="AH685">
        <v>2</v>
      </c>
      <c r="AI685">
        <v>31030142</v>
      </c>
      <c r="AJ685">
        <v>655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</row>
    <row r="686" spans="1:44">
      <c r="A686">
        <f>ROW(Source!A268)</f>
        <v>268</v>
      </c>
      <c r="B686">
        <v>31030159</v>
      </c>
      <c r="C686">
        <v>31030130</v>
      </c>
      <c r="D686">
        <v>29183872</v>
      </c>
      <c r="E686">
        <v>1</v>
      </c>
      <c r="F686">
        <v>1</v>
      </c>
      <c r="G686">
        <v>1</v>
      </c>
      <c r="H686">
        <v>3</v>
      </c>
      <c r="I686" t="s">
        <v>1115</v>
      </c>
      <c r="J686" t="s">
        <v>1116</v>
      </c>
      <c r="K686" t="s">
        <v>1117</v>
      </c>
      <c r="L686">
        <v>1346</v>
      </c>
      <c r="N686">
        <v>1009</v>
      </c>
      <c r="O686" t="s">
        <v>118</v>
      </c>
      <c r="P686" t="s">
        <v>118</v>
      </c>
      <c r="Q686">
        <v>1</v>
      </c>
      <c r="X686">
        <v>0</v>
      </c>
      <c r="Y686">
        <v>0</v>
      </c>
      <c r="Z686">
        <v>0</v>
      </c>
      <c r="AA686">
        <v>0</v>
      </c>
      <c r="AB686">
        <v>0</v>
      </c>
      <c r="AC686">
        <v>1</v>
      </c>
      <c r="AD686">
        <v>0</v>
      </c>
      <c r="AE686">
        <v>0</v>
      </c>
      <c r="AF686" t="s">
        <v>6</v>
      </c>
      <c r="AG686">
        <v>0</v>
      </c>
      <c r="AH686">
        <v>2</v>
      </c>
      <c r="AI686">
        <v>31030143</v>
      </c>
      <c r="AJ686">
        <v>656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</row>
    <row r="687" spans="1:44">
      <c r="A687">
        <f>ROW(Source!A268)</f>
        <v>268</v>
      </c>
      <c r="B687">
        <v>31030160</v>
      </c>
      <c r="C687">
        <v>31030130</v>
      </c>
      <c r="D687">
        <v>29185738</v>
      </c>
      <c r="E687">
        <v>1</v>
      </c>
      <c r="F687">
        <v>1</v>
      </c>
      <c r="G687">
        <v>1</v>
      </c>
      <c r="H687">
        <v>3</v>
      </c>
      <c r="I687" t="s">
        <v>1118</v>
      </c>
      <c r="J687" t="s">
        <v>1119</v>
      </c>
      <c r="K687" t="s">
        <v>1120</v>
      </c>
      <c r="L687">
        <v>1354</v>
      </c>
      <c r="N687">
        <v>1010</v>
      </c>
      <c r="O687" t="s">
        <v>704</v>
      </c>
      <c r="P687" t="s">
        <v>704</v>
      </c>
      <c r="Q687">
        <v>1</v>
      </c>
      <c r="X687">
        <v>0</v>
      </c>
      <c r="Y687">
        <v>0</v>
      </c>
      <c r="Z687">
        <v>0</v>
      </c>
      <c r="AA687">
        <v>0</v>
      </c>
      <c r="AB687">
        <v>0</v>
      </c>
      <c r="AC687">
        <v>1</v>
      </c>
      <c r="AD687">
        <v>0</v>
      </c>
      <c r="AE687">
        <v>0</v>
      </c>
      <c r="AF687" t="s">
        <v>6</v>
      </c>
      <c r="AG687">
        <v>0</v>
      </c>
      <c r="AH687">
        <v>2</v>
      </c>
      <c r="AI687">
        <v>31030144</v>
      </c>
      <c r="AJ687">
        <v>657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</row>
    <row r="688" spans="1:44">
      <c r="A688">
        <f>ROW(Source!A268)</f>
        <v>268</v>
      </c>
      <c r="B688">
        <v>31030161</v>
      </c>
      <c r="C688">
        <v>31030130</v>
      </c>
      <c r="D688">
        <v>29194456</v>
      </c>
      <c r="E688">
        <v>1</v>
      </c>
      <c r="F688">
        <v>1</v>
      </c>
      <c r="G688">
        <v>1</v>
      </c>
      <c r="H688">
        <v>3</v>
      </c>
      <c r="I688" t="s">
        <v>1121</v>
      </c>
      <c r="J688" t="s">
        <v>1122</v>
      </c>
      <c r="K688" t="s">
        <v>1123</v>
      </c>
      <c r="L688">
        <v>1346</v>
      </c>
      <c r="N688">
        <v>1009</v>
      </c>
      <c r="O688" t="s">
        <v>118</v>
      </c>
      <c r="P688" t="s">
        <v>118</v>
      </c>
      <c r="Q688">
        <v>1</v>
      </c>
      <c r="X688">
        <v>2.5000000000000001E-3</v>
      </c>
      <c r="Y688">
        <v>2.33</v>
      </c>
      <c r="Z688">
        <v>0</v>
      </c>
      <c r="AA688">
        <v>0</v>
      </c>
      <c r="AB688">
        <v>0</v>
      </c>
      <c r="AC688">
        <v>0</v>
      </c>
      <c r="AD688">
        <v>1</v>
      </c>
      <c r="AE688">
        <v>0</v>
      </c>
      <c r="AF688" t="s">
        <v>6</v>
      </c>
      <c r="AG688">
        <v>2.5000000000000001E-3</v>
      </c>
      <c r="AH688">
        <v>2</v>
      </c>
      <c r="AI688">
        <v>31030145</v>
      </c>
      <c r="AJ688">
        <v>658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</row>
    <row r="689" spans="1:44">
      <c r="A689">
        <f>ROW(Source!A268)</f>
        <v>268</v>
      </c>
      <c r="B689">
        <v>31030162</v>
      </c>
      <c r="C689">
        <v>31030130</v>
      </c>
      <c r="D689">
        <v>29195171</v>
      </c>
      <c r="E689">
        <v>1</v>
      </c>
      <c r="F689">
        <v>1</v>
      </c>
      <c r="G689">
        <v>1</v>
      </c>
      <c r="H689">
        <v>3</v>
      </c>
      <c r="I689" t="s">
        <v>830</v>
      </c>
      <c r="J689" t="s">
        <v>831</v>
      </c>
      <c r="K689" t="s">
        <v>832</v>
      </c>
      <c r="L689">
        <v>1339</v>
      </c>
      <c r="N689">
        <v>1007</v>
      </c>
      <c r="O689" t="s">
        <v>109</v>
      </c>
      <c r="P689" t="s">
        <v>109</v>
      </c>
      <c r="Q689">
        <v>1</v>
      </c>
      <c r="X689">
        <v>0.74</v>
      </c>
      <c r="Y689">
        <v>2.4500000000000002</v>
      </c>
      <c r="Z689">
        <v>0</v>
      </c>
      <c r="AA689">
        <v>0</v>
      </c>
      <c r="AB689">
        <v>0</v>
      </c>
      <c r="AC689">
        <v>0</v>
      </c>
      <c r="AD689">
        <v>1</v>
      </c>
      <c r="AE689">
        <v>0</v>
      </c>
      <c r="AF689" t="s">
        <v>6</v>
      </c>
      <c r="AG689">
        <v>0.74</v>
      </c>
      <c r="AH689">
        <v>2</v>
      </c>
      <c r="AI689">
        <v>31030146</v>
      </c>
      <c r="AJ689">
        <v>659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</row>
    <row r="690" spans="1:44">
      <c r="A690">
        <f>ROW(Source!A268)</f>
        <v>268</v>
      </c>
      <c r="B690">
        <v>31030163</v>
      </c>
      <c r="C690">
        <v>31030130</v>
      </c>
      <c r="D690">
        <v>29203016</v>
      </c>
      <c r="E690">
        <v>1</v>
      </c>
      <c r="F690">
        <v>1</v>
      </c>
      <c r="G690">
        <v>1</v>
      </c>
      <c r="H690">
        <v>3</v>
      </c>
      <c r="I690" t="s">
        <v>627</v>
      </c>
      <c r="J690" t="s">
        <v>630</v>
      </c>
      <c r="K690" t="s">
        <v>628</v>
      </c>
      <c r="L690">
        <v>1302</v>
      </c>
      <c r="N690">
        <v>1003</v>
      </c>
      <c r="O690" t="s">
        <v>629</v>
      </c>
      <c r="P690" t="s">
        <v>629</v>
      </c>
      <c r="Q690">
        <v>10</v>
      </c>
      <c r="X690">
        <v>9.2899999999999991</v>
      </c>
      <c r="Y690">
        <v>47.95</v>
      </c>
      <c r="Z690">
        <v>0</v>
      </c>
      <c r="AA690">
        <v>0</v>
      </c>
      <c r="AB690">
        <v>0</v>
      </c>
      <c r="AC690">
        <v>0</v>
      </c>
      <c r="AD690">
        <v>1</v>
      </c>
      <c r="AE690">
        <v>0</v>
      </c>
      <c r="AF690" t="s">
        <v>6</v>
      </c>
      <c r="AG690">
        <v>9.2899999999999991</v>
      </c>
      <c r="AH690">
        <v>3</v>
      </c>
      <c r="AI690">
        <v>-1</v>
      </c>
      <c r="AJ690" t="s">
        <v>6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</row>
    <row r="691" spans="1:44">
      <c r="A691">
        <f>ROW(Source!A271)</f>
        <v>271</v>
      </c>
      <c r="B691">
        <v>31030178</v>
      </c>
      <c r="C691">
        <v>31030166</v>
      </c>
      <c r="D691">
        <v>29084597</v>
      </c>
      <c r="E691">
        <v>1</v>
      </c>
      <c r="F691">
        <v>1</v>
      </c>
      <c r="G691">
        <v>1</v>
      </c>
      <c r="H691">
        <v>1</v>
      </c>
      <c r="I691" t="s">
        <v>1092</v>
      </c>
      <c r="J691" t="s">
        <v>6</v>
      </c>
      <c r="K691" t="s">
        <v>1093</v>
      </c>
      <c r="L691">
        <v>1369</v>
      </c>
      <c r="N691">
        <v>1013</v>
      </c>
      <c r="O691" t="s">
        <v>773</v>
      </c>
      <c r="P691" t="s">
        <v>773</v>
      </c>
      <c r="Q691">
        <v>1</v>
      </c>
      <c r="X691">
        <v>64.239999999999995</v>
      </c>
      <c r="Y691">
        <v>0</v>
      </c>
      <c r="Z691">
        <v>0</v>
      </c>
      <c r="AA691">
        <v>0</v>
      </c>
      <c r="AB691">
        <v>9.57</v>
      </c>
      <c r="AC691">
        <v>0</v>
      </c>
      <c r="AD691">
        <v>1</v>
      </c>
      <c r="AE691">
        <v>1</v>
      </c>
      <c r="AF691" t="s">
        <v>127</v>
      </c>
      <c r="AG691">
        <v>84.957399999999978</v>
      </c>
      <c r="AH691">
        <v>2</v>
      </c>
      <c r="AI691">
        <v>31030167</v>
      </c>
      <c r="AJ691">
        <v>660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</row>
    <row r="692" spans="1:44">
      <c r="A692">
        <f>ROW(Source!A271)</f>
        <v>271</v>
      </c>
      <c r="B692">
        <v>31030179</v>
      </c>
      <c r="C692">
        <v>31030166</v>
      </c>
      <c r="D692">
        <v>29084573</v>
      </c>
      <c r="E692">
        <v>1</v>
      </c>
      <c r="F692">
        <v>1</v>
      </c>
      <c r="G692">
        <v>1</v>
      </c>
      <c r="H692">
        <v>1</v>
      </c>
      <c r="I692" t="s">
        <v>774</v>
      </c>
      <c r="J692" t="s">
        <v>6</v>
      </c>
      <c r="K692" t="s">
        <v>775</v>
      </c>
      <c r="L692">
        <v>608254</v>
      </c>
      <c r="N692">
        <v>1013</v>
      </c>
      <c r="O692" t="s">
        <v>776</v>
      </c>
      <c r="P692" t="s">
        <v>776</v>
      </c>
      <c r="Q692">
        <v>1</v>
      </c>
      <c r="X692">
        <v>0.02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1</v>
      </c>
      <c r="AE692">
        <v>2</v>
      </c>
      <c r="AF692" t="s">
        <v>126</v>
      </c>
      <c r="AG692">
        <v>2.8749999999999998E-2</v>
      </c>
      <c r="AH692">
        <v>2</v>
      </c>
      <c r="AI692">
        <v>31030168</v>
      </c>
      <c r="AJ692">
        <v>661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</row>
    <row r="693" spans="1:44">
      <c r="A693">
        <f>ROW(Source!A271)</f>
        <v>271</v>
      </c>
      <c r="B693">
        <v>31030180</v>
      </c>
      <c r="C693">
        <v>31030166</v>
      </c>
      <c r="D693">
        <v>29147520</v>
      </c>
      <c r="E693">
        <v>1</v>
      </c>
      <c r="F693">
        <v>1</v>
      </c>
      <c r="G693">
        <v>1</v>
      </c>
      <c r="H693">
        <v>2</v>
      </c>
      <c r="I693" t="s">
        <v>777</v>
      </c>
      <c r="J693" t="s">
        <v>778</v>
      </c>
      <c r="K693" t="s">
        <v>779</v>
      </c>
      <c r="L693">
        <v>1368</v>
      </c>
      <c r="N693">
        <v>1011</v>
      </c>
      <c r="O693" t="s">
        <v>780</v>
      </c>
      <c r="P693" t="s">
        <v>780</v>
      </c>
      <c r="Q693">
        <v>1</v>
      </c>
      <c r="X693">
        <v>0.01</v>
      </c>
      <c r="Y693">
        <v>0</v>
      </c>
      <c r="Z693">
        <v>85.93</v>
      </c>
      <c r="AA693">
        <v>13.03</v>
      </c>
      <c r="AB693">
        <v>0</v>
      </c>
      <c r="AC693">
        <v>0</v>
      </c>
      <c r="AD693">
        <v>1</v>
      </c>
      <c r="AE693">
        <v>0</v>
      </c>
      <c r="AF693" t="s">
        <v>126</v>
      </c>
      <c r="AG693">
        <v>1.4374999999999999E-2</v>
      </c>
      <c r="AH693">
        <v>2</v>
      </c>
      <c r="AI693">
        <v>31030169</v>
      </c>
      <c r="AJ693">
        <v>662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</row>
    <row r="694" spans="1:44">
      <c r="A694">
        <f>ROW(Source!A271)</f>
        <v>271</v>
      </c>
      <c r="B694">
        <v>31030181</v>
      </c>
      <c r="C694">
        <v>31030166</v>
      </c>
      <c r="D694">
        <v>29147601</v>
      </c>
      <c r="E694">
        <v>1</v>
      </c>
      <c r="F694">
        <v>1</v>
      </c>
      <c r="G694">
        <v>1</v>
      </c>
      <c r="H694">
        <v>2</v>
      </c>
      <c r="I694" t="s">
        <v>781</v>
      </c>
      <c r="J694" t="s">
        <v>782</v>
      </c>
      <c r="K694" t="s">
        <v>783</v>
      </c>
      <c r="L694">
        <v>1368</v>
      </c>
      <c r="N694">
        <v>1011</v>
      </c>
      <c r="O694" t="s">
        <v>780</v>
      </c>
      <c r="P694" t="s">
        <v>780</v>
      </c>
      <c r="Q694">
        <v>1</v>
      </c>
      <c r="X694">
        <v>0.01</v>
      </c>
      <c r="Y694">
        <v>0</v>
      </c>
      <c r="Z694">
        <v>108.45</v>
      </c>
      <c r="AA694">
        <v>13.03</v>
      </c>
      <c r="AB694">
        <v>0</v>
      </c>
      <c r="AC694">
        <v>0</v>
      </c>
      <c r="AD694">
        <v>1</v>
      </c>
      <c r="AE694">
        <v>0</v>
      </c>
      <c r="AF694" t="s">
        <v>126</v>
      </c>
      <c r="AG694">
        <v>1.4374999999999999E-2</v>
      </c>
      <c r="AH694">
        <v>2</v>
      </c>
      <c r="AI694">
        <v>31030170</v>
      </c>
      <c r="AJ694">
        <v>663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</row>
    <row r="695" spans="1:44">
      <c r="A695">
        <f>ROW(Source!A271)</f>
        <v>271</v>
      </c>
      <c r="B695">
        <v>31030182</v>
      </c>
      <c r="C695">
        <v>31030166</v>
      </c>
      <c r="D695">
        <v>29149520</v>
      </c>
      <c r="E695">
        <v>1</v>
      </c>
      <c r="F695">
        <v>1</v>
      </c>
      <c r="G695">
        <v>1</v>
      </c>
      <c r="H695">
        <v>2</v>
      </c>
      <c r="I695" t="s">
        <v>790</v>
      </c>
      <c r="J695" t="s">
        <v>791</v>
      </c>
      <c r="K695" t="s">
        <v>792</v>
      </c>
      <c r="L695">
        <v>1368</v>
      </c>
      <c r="N695">
        <v>1011</v>
      </c>
      <c r="O695" t="s">
        <v>780</v>
      </c>
      <c r="P695" t="s">
        <v>780</v>
      </c>
      <c r="Q695">
        <v>1</v>
      </c>
      <c r="X695">
        <v>0.01</v>
      </c>
      <c r="Y695">
        <v>0</v>
      </c>
      <c r="Z695">
        <v>91.62</v>
      </c>
      <c r="AA695">
        <v>0</v>
      </c>
      <c r="AB695">
        <v>0</v>
      </c>
      <c r="AC695">
        <v>0</v>
      </c>
      <c r="AD695">
        <v>1</v>
      </c>
      <c r="AE695">
        <v>0</v>
      </c>
      <c r="AF695" t="s">
        <v>126</v>
      </c>
      <c r="AG695">
        <v>1.4374999999999999E-2</v>
      </c>
      <c r="AH695">
        <v>2</v>
      </c>
      <c r="AI695">
        <v>31030171</v>
      </c>
      <c r="AJ695">
        <v>664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</row>
    <row r="696" spans="1:44">
      <c r="A696">
        <f>ROW(Source!A271)</f>
        <v>271</v>
      </c>
      <c r="B696">
        <v>31030183</v>
      </c>
      <c r="C696">
        <v>31030166</v>
      </c>
      <c r="D696">
        <v>29152667</v>
      </c>
      <c r="E696">
        <v>1</v>
      </c>
      <c r="F696">
        <v>1</v>
      </c>
      <c r="G696">
        <v>1</v>
      </c>
      <c r="H696">
        <v>3</v>
      </c>
      <c r="I696" t="s">
        <v>1124</v>
      </c>
      <c r="J696" t="s">
        <v>1125</v>
      </c>
      <c r="K696" t="s">
        <v>1126</v>
      </c>
      <c r="L696">
        <v>1346</v>
      </c>
      <c r="N696">
        <v>1009</v>
      </c>
      <c r="O696" t="s">
        <v>118</v>
      </c>
      <c r="P696" t="s">
        <v>118</v>
      </c>
      <c r="Q696">
        <v>1</v>
      </c>
      <c r="X696">
        <v>1.5</v>
      </c>
      <c r="Y696">
        <v>18.39</v>
      </c>
      <c r="Z696">
        <v>0</v>
      </c>
      <c r="AA696">
        <v>0</v>
      </c>
      <c r="AB696">
        <v>0</v>
      </c>
      <c r="AC696">
        <v>0</v>
      </c>
      <c r="AD696">
        <v>1</v>
      </c>
      <c r="AE696">
        <v>0</v>
      </c>
      <c r="AF696" t="s">
        <v>6</v>
      </c>
      <c r="AG696">
        <v>1.5</v>
      </c>
      <c r="AH696">
        <v>2</v>
      </c>
      <c r="AI696">
        <v>31030172</v>
      </c>
      <c r="AJ696">
        <v>665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</row>
    <row r="697" spans="1:44">
      <c r="A697">
        <f>ROW(Source!A271)</f>
        <v>271</v>
      </c>
      <c r="B697">
        <v>31030184</v>
      </c>
      <c r="C697">
        <v>31030166</v>
      </c>
      <c r="D697">
        <v>29152803</v>
      </c>
      <c r="E697">
        <v>1</v>
      </c>
      <c r="F697">
        <v>1</v>
      </c>
      <c r="G697">
        <v>1</v>
      </c>
      <c r="H697">
        <v>3</v>
      </c>
      <c r="I697" t="s">
        <v>1127</v>
      </c>
      <c r="J697" t="s">
        <v>1128</v>
      </c>
      <c r="K697" t="s">
        <v>1129</v>
      </c>
      <c r="L697">
        <v>1348</v>
      </c>
      <c r="N697">
        <v>1009</v>
      </c>
      <c r="O697" t="s">
        <v>137</v>
      </c>
      <c r="P697" t="s">
        <v>137</v>
      </c>
      <c r="Q697">
        <v>1000</v>
      </c>
      <c r="X697">
        <v>1.1999999999999999E-3</v>
      </c>
      <c r="Y697">
        <v>16117.3</v>
      </c>
      <c r="Z697">
        <v>0</v>
      </c>
      <c r="AA697">
        <v>0</v>
      </c>
      <c r="AB697">
        <v>0</v>
      </c>
      <c r="AC697">
        <v>0</v>
      </c>
      <c r="AD697">
        <v>1</v>
      </c>
      <c r="AE697">
        <v>0</v>
      </c>
      <c r="AF697" t="s">
        <v>6</v>
      </c>
      <c r="AG697">
        <v>1.1999999999999999E-3</v>
      </c>
      <c r="AH697">
        <v>2</v>
      </c>
      <c r="AI697">
        <v>31030173</v>
      </c>
      <c r="AJ697">
        <v>666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</row>
    <row r="698" spans="1:44">
      <c r="A698">
        <f>ROW(Source!A271)</f>
        <v>271</v>
      </c>
      <c r="B698">
        <v>31030185</v>
      </c>
      <c r="C698">
        <v>31030166</v>
      </c>
      <c r="D698">
        <v>29183872</v>
      </c>
      <c r="E698">
        <v>1</v>
      </c>
      <c r="F698">
        <v>1</v>
      </c>
      <c r="G698">
        <v>1</v>
      </c>
      <c r="H698">
        <v>3</v>
      </c>
      <c r="I698" t="s">
        <v>1115</v>
      </c>
      <c r="J698" t="s">
        <v>1116</v>
      </c>
      <c r="K698" t="s">
        <v>1117</v>
      </c>
      <c r="L698">
        <v>1346</v>
      </c>
      <c r="N698">
        <v>1009</v>
      </c>
      <c r="O698" t="s">
        <v>118</v>
      </c>
      <c r="P698" t="s">
        <v>118</v>
      </c>
      <c r="Q698">
        <v>1</v>
      </c>
      <c r="X698">
        <v>0</v>
      </c>
      <c r="Y698">
        <v>0</v>
      </c>
      <c r="Z698">
        <v>0</v>
      </c>
      <c r="AA698">
        <v>0</v>
      </c>
      <c r="AB698">
        <v>0</v>
      </c>
      <c r="AC698">
        <v>1</v>
      </c>
      <c r="AD698">
        <v>0</v>
      </c>
      <c r="AE698">
        <v>0</v>
      </c>
      <c r="AF698" t="s">
        <v>6</v>
      </c>
      <c r="AG698">
        <v>0</v>
      </c>
      <c r="AH698">
        <v>2</v>
      </c>
      <c r="AI698">
        <v>31030174</v>
      </c>
      <c r="AJ698">
        <v>667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</row>
    <row r="699" spans="1:44">
      <c r="A699">
        <f>ROW(Source!A271)</f>
        <v>271</v>
      </c>
      <c r="B699">
        <v>31030186</v>
      </c>
      <c r="C699">
        <v>31030166</v>
      </c>
      <c r="D699">
        <v>29185676</v>
      </c>
      <c r="E699">
        <v>1</v>
      </c>
      <c r="F699">
        <v>1</v>
      </c>
      <c r="G699">
        <v>1</v>
      </c>
      <c r="H699">
        <v>3</v>
      </c>
      <c r="I699" t="s">
        <v>1130</v>
      </c>
      <c r="J699" t="s">
        <v>1131</v>
      </c>
      <c r="K699" t="s">
        <v>1132</v>
      </c>
      <c r="L699">
        <v>1301</v>
      </c>
      <c r="N699">
        <v>1003</v>
      </c>
      <c r="O699" t="s">
        <v>315</v>
      </c>
      <c r="P699" t="s">
        <v>315</v>
      </c>
      <c r="Q699">
        <v>1</v>
      </c>
      <c r="X699">
        <v>99.8</v>
      </c>
      <c r="Y699">
        <v>39.340000000000003</v>
      </c>
      <c r="Z699">
        <v>0</v>
      </c>
      <c r="AA699">
        <v>0</v>
      </c>
      <c r="AB699">
        <v>0</v>
      </c>
      <c r="AC699">
        <v>0</v>
      </c>
      <c r="AD699">
        <v>1</v>
      </c>
      <c r="AE699">
        <v>0</v>
      </c>
      <c r="AF699" t="s">
        <v>6</v>
      </c>
      <c r="AG699">
        <v>99.8</v>
      </c>
      <c r="AH699">
        <v>2</v>
      </c>
      <c r="AI699">
        <v>31030175</v>
      </c>
      <c r="AJ699">
        <v>668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</row>
    <row r="700" spans="1:44">
      <c r="A700">
        <f>ROW(Source!A271)</f>
        <v>271</v>
      </c>
      <c r="B700">
        <v>31030187</v>
      </c>
      <c r="C700">
        <v>31030166</v>
      </c>
      <c r="D700">
        <v>29185708</v>
      </c>
      <c r="E700">
        <v>1</v>
      </c>
      <c r="F700">
        <v>1</v>
      </c>
      <c r="G700">
        <v>1</v>
      </c>
      <c r="H700">
        <v>3</v>
      </c>
      <c r="I700" t="s">
        <v>1133</v>
      </c>
      <c r="J700" t="s">
        <v>1134</v>
      </c>
      <c r="K700" t="s">
        <v>1135</v>
      </c>
      <c r="L700">
        <v>1354</v>
      </c>
      <c r="N700">
        <v>1010</v>
      </c>
      <c r="O700" t="s">
        <v>704</v>
      </c>
      <c r="P700" t="s">
        <v>704</v>
      </c>
      <c r="Q700">
        <v>1</v>
      </c>
      <c r="X700">
        <v>0</v>
      </c>
      <c r="Y700">
        <v>0</v>
      </c>
      <c r="Z700">
        <v>0</v>
      </c>
      <c r="AA700">
        <v>0</v>
      </c>
      <c r="AB700">
        <v>0</v>
      </c>
      <c r="AC700">
        <v>1</v>
      </c>
      <c r="AD700">
        <v>0</v>
      </c>
      <c r="AE700">
        <v>0</v>
      </c>
      <c r="AF700" t="s">
        <v>6</v>
      </c>
      <c r="AG700">
        <v>0</v>
      </c>
      <c r="AH700">
        <v>2</v>
      </c>
      <c r="AI700">
        <v>31030176</v>
      </c>
      <c r="AJ700">
        <v>669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</row>
    <row r="701" spans="1:44">
      <c r="A701">
        <f>ROW(Source!A271)</f>
        <v>271</v>
      </c>
      <c r="B701">
        <v>31030188</v>
      </c>
      <c r="C701">
        <v>31030166</v>
      </c>
      <c r="D701">
        <v>29195171</v>
      </c>
      <c r="E701">
        <v>1</v>
      </c>
      <c r="F701">
        <v>1</v>
      </c>
      <c r="G701">
        <v>1</v>
      </c>
      <c r="H701">
        <v>3</v>
      </c>
      <c r="I701" t="s">
        <v>830</v>
      </c>
      <c r="J701" t="s">
        <v>831</v>
      </c>
      <c r="K701" t="s">
        <v>832</v>
      </c>
      <c r="L701">
        <v>1339</v>
      </c>
      <c r="N701">
        <v>1007</v>
      </c>
      <c r="O701" t="s">
        <v>109</v>
      </c>
      <c r="P701" t="s">
        <v>109</v>
      </c>
      <c r="Q701">
        <v>1</v>
      </c>
      <c r="X701">
        <v>0.39</v>
      </c>
      <c r="Y701">
        <v>2.4500000000000002</v>
      </c>
      <c r="Z701">
        <v>0</v>
      </c>
      <c r="AA701">
        <v>0</v>
      </c>
      <c r="AB701">
        <v>0</v>
      </c>
      <c r="AC701">
        <v>0</v>
      </c>
      <c r="AD701">
        <v>1</v>
      </c>
      <c r="AE701">
        <v>0</v>
      </c>
      <c r="AF701" t="s">
        <v>6</v>
      </c>
      <c r="AG701">
        <v>0.39</v>
      </c>
      <c r="AH701">
        <v>2</v>
      </c>
      <c r="AI701">
        <v>31030177</v>
      </c>
      <c r="AJ701">
        <v>670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</row>
    <row r="702" spans="1:44">
      <c r="A702">
        <f>ROW(Source!A272)</f>
        <v>272</v>
      </c>
      <c r="B702">
        <v>31030201</v>
      </c>
      <c r="C702">
        <v>31030189</v>
      </c>
      <c r="D702">
        <v>29084597</v>
      </c>
      <c r="E702">
        <v>1</v>
      </c>
      <c r="F702">
        <v>1</v>
      </c>
      <c r="G702">
        <v>1</v>
      </c>
      <c r="H702">
        <v>1</v>
      </c>
      <c r="I702" t="s">
        <v>1092</v>
      </c>
      <c r="J702" t="s">
        <v>6</v>
      </c>
      <c r="K702" t="s">
        <v>1093</v>
      </c>
      <c r="L702">
        <v>1369</v>
      </c>
      <c r="N702">
        <v>1013</v>
      </c>
      <c r="O702" t="s">
        <v>773</v>
      </c>
      <c r="P702" t="s">
        <v>773</v>
      </c>
      <c r="Q702">
        <v>1</v>
      </c>
      <c r="X702">
        <v>61.6</v>
      </c>
      <c r="Y702">
        <v>0</v>
      </c>
      <c r="Z702">
        <v>0</v>
      </c>
      <c r="AA702">
        <v>0</v>
      </c>
      <c r="AB702">
        <v>9.57</v>
      </c>
      <c r="AC702">
        <v>0</v>
      </c>
      <c r="AD702">
        <v>1</v>
      </c>
      <c r="AE702">
        <v>1</v>
      </c>
      <c r="AF702" t="s">
        <v>127</v>
      </c>
      <c r="AG702">
        <v>81.46599999999998</v>
      </c>
      <c r="AH702">
        <v>2</v>
      </c>
      <c r="AI702">
        <v>31030190</v>
      </c>
      <c r="AJ702">
        <v>671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</row>
    <row r="703" spans="1:44">
      <c r="A703">
        <f>ROW(Source!A272)</f>
        <v>272</v>
      </c>
      <c r="B703">
        <v>31030202</v>
      </c>
      <c r="C703">
        <v>31030189</v>
      </c>
      <c r="D703">
        <v>29084573</v>
      </c>
      <c r="E703">
        <v>1</v>
      </c>
      <c r="F703">
        <v>1</v>
      </c>
      <c r="G703">
        <v>1</v>
      </c>
      <c r="H703">
        <v>1</v>
      </c>
      <c r="I703" t="s">
        <v>774</v>
      </c>
      <c r="J703" t="s">
        <v>6</v>
      </c>
      <c r="K703" t="s">
        <v>775</v>
      </c>
      <c r="L703">
        <v>608254</v>
      </c>
      <c r="N703">
        <v>1013</v>
      </c>
      <c r="O703" t="s">
        <v>776</v>
      </c>
      <c r="P703" t="s">
        <v>776</v>
      </c>
      <c r="Q703">
        <v>1</v>
      </c>
      <c r="X703">
        <v>0.05</v>
      </c>
      <c r="Y703">
        <v>0</v>
      </c>
      <c r="Z703">
        <v>0</v>
      </c>
      <c r="AA703">
        <v>0</v>
      </c>
      <c r="AB703">
        <v>0</v>
      </c>
      <c r="AC703">
        <v>0</v>
      </c>
      <c r="AD703">
        <v>1</v>
      </c>
      <c r="AE703">
        <v>2</v>
      </c>
      <c r="AF703" t="s">
        <v>126</v>
      </c>
      <c r="AG703">
        <v>7.1874999999999994E-2</v>
      </c>
      <c r="AH703">
        <v>2</v>
      </c>
      <c r="AI703">
        <v>31030191</v>
      </c>
      <c r="AJ703">
        <v>672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</row>
    <row r="704" spans="1:44">
      <c r="A704">
        <f>ROW(Source!A272)</f>
        <v>272</v>
      </c>
      <c r="B704">
        <v>31030203</v>
      </c>
      <c r="C704">
        <v>31030189</v>
      </c>
      <c r="D704">
        <v>29147520</v>
      </c>
      <c r="E704">
        <v>1</v>
      </c>
      <c r="F704">
        <v>1</v>
      </c>
      <c r="G704">
        <v>1</v>
      </c>
      <c r="H704">
        <v>2</v>
      </c>
      <c r="I704" t="s">
        <v>777</v>
      </c>
      <c r="J704" t="s">
        <v>778</v>
      </c>
      <c r="K704" t="s">
        <v>779</v>
      </c>
      <c r="L704">
        <v>1368</v>
      </c>
      <c r="N704">
        <v>1011</v>
      </c>
      <c r="O704" t="s">
        <v>780</v>
      </c>
      <c r="P704" t="s">
        <v>780</v>
      </c>
      <c r="Q704">
        <v>1</v>
      </c>
      <c r="X704">
        <v>0.03</v>
      </c>
      <c r="Y704">
        <v>0</v>
      </c>
      <c r="Z704">
        <v>85.93</v>
      </c>
      <c r="AA704">
        <v>13.03</v>
      </c>
      <c r="AB704">
        <v>0</v>
      </c>
      <c r="AC704">
        <v>0</v>
      </c>
      <c r="AD704">
        <v>1</v>
      </c>
      <c r="AE704">
        <v>0</v>
      </c>
      <c r="AF704" t="s">
        <v>126</v>
      </c>
      <c r="AG704">
        <v>4.3124999999999997E-2</v>
      </c>
      <c r="AH704">
        <v>2</v>
      </c>
      <c r="AI704">
        <v>31030192</v>
      </c>
      <c r="AJ704">
        <v>673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</row>
    <row r="705" spans="1:44">
      <c r="A705">
        <f>ROW(Source!A272)</f>
        <v>272</v>
      </c>
      <c r="B705">
        <v>31030204</v>
      </c>
      <c r="C705">
        <v>31030189</v>
      </c>
      <c r="D705">
        <v>29147601</v>
      </c>
      <c r="E705">
        <v>1</v>
      </c>
      <c r="F705">
        <v>1</v>
      </c>
      <c r="G705">
        <v>1</v>
      </c>
      <c r="H705">
        <v>2</v>
      </c>
      <c r="I705" t="s">
        <v>781</v>
      </c>
      <c r="J705" t="s">
        <v>782</v>
      </c>
      <c r="K705" t="s">
        <v>783</v>
      </c>
      <c r="L705">
        <v>1368</v>
      </c>
      <c r="N705">
        <v>1011</v>
      </c>
      <c r="O705" t="s">
        <v>780</v>
      </c>
      <c r="P705" t="s">
        <v>780</v>
      </c>
      <c r="Q705">
        <v>1</v>
      </c>
      <c r="X705">
        <v>0.02</v>
      </c>
      <c r="Y705">
        <v>0</v>
      </c>
      <c r="Z705">
        <v>108.45</v>
      </c>
      <c r="AA705">
        <v>13.03</v>
      </c>
      <c r="AB705">
        <v>0</v>
      </c>
      <c r="AC705">
        <v>0</v>
      </c>
      <c r="AD705">
        <v>1</v>
      </c>
      <c r="AE705">
        <v>0</v>
      </c>
      <c r="AF705" t="s">
        <v>126</v>
      </c>
      <c r="AG705">
        <v>2.8749999999999998E-2</v>
      </c>
      <c r="AH705">
        <v>2</v>
      </c>
      <c r="AI705">
        <v>31030193</v>
      </c>
      <c r="AJ705">
        <v>674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</row>
    <row r="706" spans="1:44">
      <c r="A706">
        <f>ROW(Source!A272)</f>
        <v>272</v>
      </c>
      <c r="B706">
        <v>31030205</v>
      </c>
      <c r="C706">
        <v>31030189</v>
      </c>
      <c r="D706">
        <v>29149520</v>
      </c>
      <c r="E706">
        <v>1</v>
      </c>
      <c r="F706">
        <v>1</v>
      </c>
      <c r="G706">
        <v>1</v>
      </c>
      <c r="H706">
        <v>2</v>
      </c>
      <c r="I706" t="s">
        <v>790</v>
      </c>
      <c r="J706" t="s">
        <v>791</v>
      </c>
      <c r="K706" t="s">
        <v>792</v>
      </c>
      <c r="L706">
        <v>1368</v>
      </c>
      <c r="N706">
        <v>1011</v>
      </c>
      <c r="O706" t="s">
        <v>780</v>
      </c>
      <c r="P706" t="s">
        <v>780</v>
      </c>
      <c r="Q706">
        <v>1</v>
      </c>
      <c r="X706">
        <v>0.02</v>
      </c>
      <c r="Y706">
        <v>0</v>
      </c>
      <c r="Z706">
        <v>91.62</v>
      </c>
      <c r="AA706">
        <v>0</v>
      </c>
      <c r="AB706">
        <v>0</v>
      </c>
      <c r="AC706">
        <v>0</v>
      </c>
      <c r="AD706">
        <v>1</v>
      </c>
      <c r="AE706">
        <v>0</v>
      </c>
      <c r="AF706" t="s">
        <v>126</v>
      </c>
      <c r="AG706">
        <v>2.8749999999999998E-2</v>
      </c>
      <c r="AH706">
        <v>2</v>
      </c>
      <c r="AI706">
        <v>31030194</v>
      </c>
      <c r="AJ706">
        <v>675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</row>
    <row r="707" spans="1:44">
      <c r="A707">
        <f>ROW(Source!A272)</f>
        <v>272</v>
      </c>
      <c r="B707">
        <v>31030206</v>
      </c>
      <c r="C707">
        <v>31030189</v>
      </c>
      <c r="D707">
        <v>29152667</v>
      </c>
      <c r="E707">
        <v>1</v>
      </c>
      <c r="F707">
        <v>1</v>
      </c>
      <c r="G707">
        <v>1</v>
      </c>
      <c r="H707">
        <v>3</v>
      </c>
      <c r="I707" t="s">
        <v>1124</v>
      </c>
      <c r="J707" t="s">
        <v>1125</v>
      </c>
      <c r="K707" t="s">
        <v>1126</v>
      </c>
      <c r="L707">
        <v>1346</v>
      </c>
      <c r="N707">
        <v>1009</v>
      </c>
      <c r="O707" t="s">
        <v>118</v>
      </c>
      <c r="P707" t="s">
        <v>118</v>
      </c>
      <c r="Q707">
        <v>1</v>
      </c>
      <c r="X707">
        <v>4</v>
      </c>
      <c r="Y707">
        <v>18.39</v>
      </c>
      <c r="Z707">
        <v>0</v>
      </c>
      <c r="AA707">
        <v>0</v>
      </c>
      <c r="AB707">
        <v>0</v>
      </c>
      <c r="AC707">
        <v>0</v>
      </c>
      <c r="AD707">
        <v>1</v>
      </c>
      <c r="AE707">
        <v>0</v>
      </c>
      <c r="AF707" t="s">
        <v>6</v>
      </c>
      <c r="AG707">
        <v>4</v>
      </c>
      <c r="AH707">
        <v>2</v>
      </c>
      <c r="AI707">
        <v>31030195</v>
      </c>
      <c r="AJ707">
        <v>676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</row>
    <row r="708" spans="1:44">
      <c r="A708">
        <f>ROW(Source!A272)</f>
        <v>272</v>
      </c>
      <c r="B708">
        <v>31030207</v>
      </c>
      <c r="C708">
        <v>31030189</v>
      </c>
      <c r="D708">
        <v>29152803</v>
      </c>
      <c r="E708">
        <v>1</v>
      </c>
      <c r="F708">
        <v>1</v>
      </c>
      <c r="G708">
        <v>1</v>
      </c>
      <c r="H708">
        <v>3</v>
      </c>
      <c r="I708" t="s">
        <v>1127</v>
      </c>
      <c r="J708" t="s">
        <v>1128</v>
      </c>
      <c r="K708" t="s">
        <v>1129</v>
      </c>
      <c r="L708">
        <v>1348</v>
      </c>
      <c r="N708">
        <v>1009</v>
      </c>
      <c r="O708" t="s">
        <v>137</v>
      </c>
      <c r="P708" t="s">
        <v>137</v>
      </c>
      <c r="Q708">
        <v>1000</v>
      </c>
      <c r="X708">
        <v>2.66E-3</v>
      </c>
      <c r="Y708">
        <v>16117.3</v>
      </c>
      <c r="Z708">
        <v>0</v>
      </c>
      <c r="AA708">
        <v>0</v>
      </c>
      <c r="AB708">
        <v>0</v>
      </c>
      <c r="AC708">
        <v>0</v>
      </c>
      <c r="AD708">
        <v>1</v>
      </c>
      <c r="AE708">
        <v>0</v>
      </c>
      <c r="AF708" t="s">
        <v>6</v>
      </c>
      <c r="AG708">
        <v>2.66E-3</v>
      </c>
      <c r="AH708">
        <v>2</v>
      </c>
      <c r="AI708">
        <v>31030196</v>
      </c>
      <c r="AJ708">
        <v>677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</row>
    <row r="709" spans="1:44">
      <c r="A709">
        <f>ROW(Source!A272)</f>
        <v>272</v>
      </c>
      <c r="B709">
        <v>31030208</v>
      </c>
      <c r="C709">
        <v>31030189</v>
      </c>
      <c r="D709">
        <v>29183872</v>
      </c>
      <c r="E709">
        <v>1</v>
      </c>
      <c r="F709">
        <v>1</v>
      </c>
      <c r="G709">
        <v>1</v>
      </c>
      <c r="H709">
        <v>3</v>
      </c>
      <c r="I709" t="s">
        <v>1115</v>
      </c>
      <c r="J709" t="s">
        <v>1116</v>
      </c>
      <c r="K709" t="s">
        <v>1117</v>
      </c>
      <c r="L709">
        <v>1346</v>
      </c>
      <c r="N709">
        <v>1009</v>
      </c>
      <c r="O709" t="s">
        <v>118</v>
      </c>
      <c r="P709" t="s">
        <v>118</v>
      </c>
      <c r="Q709">
        <v>1</v>
      </c>
      <c r="X709">
        <v>0</v>
      </c>
      <c r="Y709">
        <v>0</v>
      </c>
      <c r="Z709">
        <v>0</v>
      </c>
      <c r="AA709">
        <v>0</v>
      </c>
      <c r="AB709">
        <v>0</v>
      </c>
      <c r="AC709">
        <v>1</v>
      </c>
      <c r="AD709">
        <v>0</v>
      </c>
      <c r="AE709">
        <v>0</v>
      </c>
      <c r="AF709" t="s">
        <v>6</v>
      </c>
      <c r="AG709">
        <v>0</v>
      </c>
      <c r="AH709">
        <v>2</v>
      </c>
      <c r="AI709">
        <v>31030197</v>
      </c>
      <c r="AJ709">
        <v>678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</row>
    <row r="710" spans="1:44">
      <c r="A710">
        <f>ROW(Source!A272)</f>
        <v>272</v>
      </c>
      <c r="B710">
        <v>31030209</v>
      </c>
      <c r="C710">
        <v>31030189</v>
      </c>
      <c r="D710">
        <v>29185677</v>
      </c>
      <c r="E710">
        <v>1</v>
      </c>
      <c r="F710">
        <v>1</v>
      </c>
      <c r="G710">
        <v>1</v>
      </c>
      <c r="H710">
        <v>3</v>
      </c>
      <c r="I710" t="s">
        <v>1136</v>
      </c>
      <c r="J710" t="s">
        <v>1137</v>
      </c>
      <c r="K710" t="s">
        <v>1138</v>
      </c>
      <c r="L710">
        <v>1301</v>
      </c>
      <c r="N710">
        <v>1003</v>
      </c>
      <c r="O710" t="s">
        <v>315</v>
      </c>
      <c r="P710" t="s">
        <v>315</v>
      </c>
      <c r="Q710">
        <v>1</v>
      </c>
      <c r="X710">
        <v>99.8</v>
      </c>
      <c r="Y710">
        <v>64.53</v>
      </c>
      <c r="Z710">
        <v>0</v>
      </c>
      <c r="AA710">
        <v>0</v>
      </c>
      <c r="AB710">
        <v>0</v>
      </c>
      <c r="AC710">
        <v>0</v>
      </c>
      <c r="AD710">
        <v>1</v>
      </c>
      <c r="AE710">
        <v>0</v>
      </c>
      <c r="AF710" t="s">
        <v>6</v>
      </c>
      <c r="AG710">
        <v>99.8</v>
      </c>
      <c r="AH710">
        <v>2</v>
      </c>
      <c r="AI710">
        <v>31030198</v>
      </c>
      <c r="AJ710">
        <v>679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</row>
    <row r="711" spans="1:44">
      <c r="A711">
        <f>ROW(Source!A272)</f>
        <v>272</v>
      </c>
      <c r="B711">
        <v>31030210</v>
      </c>
      <c r="C711">
        <v>31030189</v>
      </c>
      <c r="D711">
        <v>29185708</v>
      </c>
      <c r="E711">
        <v>1</v>
      </c>
      <c r="F711">
        <v>1</v>
      </c>
      <c r="G711">
        <v>1</v>
      </c>
      <c r="H711">
        <v>3</v>
      </c>
      <c r="I711" t="s">
        <v>1133</v>
      </c>
      <c r="J711" t="s">
        <v>1134</v>
      </c>
      <c r="K711" t="s">
        <v>1135</v>
      </c>
      <c r="L711">
        <v>1354</v>
      </c>
      <c r="N711">
        <v>1010</v>
      </c>
      <c r="O711" t="s">
        <v>704</v>
      </c>
      <c r="P711" t="s">
        <v>704</v>
      </c>
      <c r="Q711">
        <v>1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1</v>
      </c>
      <c r="AD711">
        <v>0</v>
      </c>
      <c r="AE711">
        <v>0</v>
      </c>
      <c r="AF711" t="s">
        <v>6</v>
      </c>
      <c r="AG711">
        <v>0</v>
      </c>
      <c r="AH711">
        <v>2</v>
      </c>
      <c r="AI711">
        <v>31030199</v>
      </c>
      <c r="AJ711">
        <v>680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</row>
    <row r="712" spans="1:44">
      <c r="A712">
        <f>ROW(Source!A272)</f>
        <v>272</v>
      </c>
      <c r="B712">
        <v>31030211</v>
      </c>
      <c r="C712">
        <v>31030189</v>
      </c>
      <c r="D712">
        <v>29195171</v>
      </c>
      <c r="E712">
        <v>1</v>
      </c>
      <c r="F712">
        <v>1</v>
      </c>
      <c r="G712">
        <v>1</v>
      </c>
      <c r="H712">
        <v>3</v>
      </c>
      <c r="I712" t="s">
        <v>830</v>
      </c>
      <c r="J712" t="s">
        <v>831</v>
      </c>
      <c r="K712" t="s">
        <v>832</v>
      </c>
      <c r="L712">
        <v>1339</v>
      </c>
      <c r="N712">
        <v>1007</v>
      </c>
      <c r="O712" t="s">
        <v>109</v>
      </c>
      <c r="P712" t="s">
        <v>109</v>
      </c>
      <c r="Q712">
        <v>1</v>
      </c>
      <c r="X712">
        <v>1.57</v>
      </c>
      <c r="Y712">
        <v>2.4500000000000002</v>
      </c>
      <c r="Z712">
        <v>0</v>
      </c>
      <c r="AA712">
        <v>0</v>
      </c>
      <c r="AB712">
        <v>0</v>
      </c>
      <c r="AC712">
        <v>0</v>
      </c>
      <c r="AD712">
        <v>1</v>
      </c>
      <c r="AE712">
        <v>0</v>
      </c>
      <c r="AF712" t="s">
        <v>6</v>
      </c>
      <c r="AG712">
        <v>1.57</v>
      </c>
      <c r="AH712">
        <v>2</v>
      </c>
      <c r="AI712">
        <v>31030200</v>
      </c>
      <c r="AJ712">
        <v>681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</row>
    <row r="713" spans="1:44">
      <c r="A713">
        <f>ROW(Source!A273)</f>
        <v>273</v>
      </c>
      <c r="B713">
        <v>31030229</v>
      </c>
      <c r="C713">
        <v>31030212</v>
      </c>
      <c r="D713">
        <v>29084596</v>
      </c>
      <c r="E713">
        <v>1</v>
      </c>
      <c r="F713">
        <v>1</v>
      </c>
      <c r="G713">
        <v>1</v>
      </c>
      <c r="H713">
        <v>1</v>
      </c>
      <c r="I713" t="s">
        <v>893</v>
      </c>
      <c r="J713" t="s">
        <v>6</v>
      </c>
      <c r="K713" t="s">
        <v>894</v>
      </c>
      <c r="L713">
        <v>1369</v>
      </c>
      <c r="N713">
        <v>1013</v>
      </c>
      <c r="O713" t="s">
        <v>773</v>
      </c>
      <c r="P713" t="s">
        <v>773</v>
      </c>
      <c r="Q713">
        <v>1</v>
      </c>
      <c r="X713">
        <v>24.64</v>
      </c>
      <c r="Y713">
        <v>0</v>
      </c>
      <c r="Z713">
        <v>0</v>
      </c>
      <c r="AA713">
        <v>0</v>
      </c>
      <c r="AB713">
        <v>9.18</v>
      </c>
      <c r="AC713">
        <v>0</v>
      </c>
      <c r="AD713">
        <v>1</v>
      </c>
      <c r="AE713">
        <v>1</v>
      </c>
      <c r="AF713" t="s">
        <v>127</v>
      </c>
      <c r="AG713">
        <v>32.586399999999998</v>
      </c>
      <c r="AH713">
        <v>2</v>
      </c>
      <c r="AI713">
        <v>31030213</v>
      </c>
      <c r="AJ713">
        <v>682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</row>
    <row r="714" spans="1:44">
      <c r="A714">
        <f>ROW(Source!A273)</f>
        <v>273</v>
      </c>
      <c r="B714">
        <v>31030230</v>
      </c>
      <c r="C714">
        <v>31030212</v>
      </c>
      <c r="D714">
        <v>29084573</v>
      </c>
      <c r="E714">
        <v>1</v>
      </c>
      <c r="F714">
        <v>1</v>
      </c>
      <c r="G714">
        <v>1</v>
      </c>
      <c r="H714">
        <v>1</v>
      </c>
      <c r="I714" t="s">
        <v>774</v>
      </c>
      <c r="J714" t="s">
        <v>6</v>
      </c>
      <c r="K714" t="s">
        <v>775</v>
      </c>
      <c r="L714">
        <v>608254</v>
      </c>
      <c r="N714">
        <v>1013</v>
      </c>
      <c r="O714" t="s">
        <v>776</v>
      </c>
      <c r="P714" t="s">
        <v>776</v>
      </c>
      <c r="Q714">
        <v>1</v>
      </c>
      <c r="X714">
        <v>0.32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1</v>
      </c>
      <c r="AE714">
        <v>2</v>
      </c>
      <c r="AF714" t="s">
        <v>126</v>
      </c>
      <c r="AG714">
        <v>0.45999999999999996</v>
      </c>
      <c r="AH714">
        <v>2</v>
      </c>
      <c r="AI714">
        <v>31030214</v>
      </c>
      <c r="AJ714">
        <v>683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</row>
    <row r="715" spans="1:44">
      <c r="A715">
        <f>ROW(Source!A273)</f>
        <v>273</v>
      </c>
      <c r="B715">
        <v>31030231</v>
      </c>
      <c r="C715">
        <v>31030212</v>
      </c>
      <c r="D715">
        <v>29147732</v>
      </c>
      <c r="E715">
        <v>1</v>
      </c>
      <c r="F715">
        <v>1</v>
      </c>
      <c r="G715">
        <v>1</v>
      </c>
      <c r="H715">
        <v>2</v>
      </c>
      <c r="I715" t="s">
        <v>846</v>
      </c>
      <c r="J715" t="s">
        <v>847</v>
      </c>
      <c r="K715" t="s">
        <v>848</v>
      </c>
      <c r="L715">
        <v>1368</v>
      </c>
      <c r="N715">
        <v>1011</v>
      </c>
      <c r="O715" t="s">
        <v>780</v>
      </c>
      <c r="P715" t="s">
        <v>780</v>
      </c>
      <c r="Q715">
        <v>1</v>
      </c>
      <c r="X715">
        <v>0.32</v>
      </c>
      <c r="Y715">
        <v>0</v>
      </c>
      <c r="Z715">
        <v>30.85</v>
      </c>
      <c r="AA715">
        <v>13.03</v>
      </c>
      <c r="AB715">
        <v>0</v>
      </c>
      <c r="AC715">
        <v>0</v>
      </c>
      <c r="AD715">
        <v>1</v>
      </c>
      <c r="AE715">
        <v>0</v>
      </c>
      <c r="AF715" t="s">
        <v>126</v>
      </c>
      <c r="AG715">
        <v>0.45999999999999996</v>
      </c>
      <c r="AH715">
        <v>2</v>
      </c>
      <c r="AI715">
        <v>31030215</v>
      </c>
      <c r="AJ715">
        <v>684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</row>
    <row r="716" spans="1:44">
      <c r="A716">
        <f>ROW(Source!A273)</f>
        <v>273</v>
      </c>
      <c r="B716">
        <v>31030232</v>
      </c>
      <c r="C716">
        <v>31030212</v>
      </c>
      <c r="D716">
        <v>29149183</v>
      </c>
      <c r="E716">
        <v>1</v>
      </c>
      <c r="F716">
        <v>1</v>
      </c>
      <c r="G716">
        <v>1</v>
      </c>
      <c r="H716">
        <v>2</v>
      </c>
      <c r="I716" t="s">
        <v>983</v>
      </c>
      <c r="J716" t="s">
        <v>984</v>
      </c>
      <c r="K716" t="s">
        <v>985</v>
      </c>
      <c r="L716">
        <v>1368</v>
      </c>
      <c r="N716">
        <v>1011</v>
      </c>
      <c r="O716" t="s">
        <v>780</v>
      </c>
      <c r="P716" t="s">
        <v>780</v>
      </c>
      <c r="Q716">
        <v>1</v>
      </c>
      <c r="X716">
        <v>0.2</v>
      </c>
      <c r="Y716">
        <v>0</v>
      </c>
      <c r="Z716">
        <v>1.95</v>
      </c>
      <c r="AA716">
        <v>0</v>
      </c>
      <c r="AB716">
        <v>0</v>
      </c>
      <c r="AC716">
        <v>0</v>
      </c>
      <c r="AD716">
        <v>1</v>
      </c>
      <c r="AE716">
        <v>0</v>
      </c>
      <c r="AF716" t="s">
        <v>126</v>
      </c>
      <c r="AG716">
        <v>0.28749999999999998</v>
      </c>
      <c r="AH716">
        <v>2</v>
      </c>
      <c r="AI716">
        <v>31030216</v>
      </c>
      <c r="AJ716">
        <v>685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</row>
    <row r="717" spans="1:44">
      <c r="A717">
        <f>ROW(Source!A273)</f>
        <v>273</v>
      </c>
      <c r="B717">
        <v>31030233</v>
      </c>
      <c r="C717">
        <v>31030212</v>
      </c>
      <c r="D717">
        <v>29149520</v>
      </c>
      <c r="E717">
        <v>1</v>
      </c>
      <c r="F717">
        <v>1</v>
      </c>
      <c r="G717">
        <v>1</v>
      </c>
      <c r="H717">
        <v>2</v>
      </c>
      <c r="I717" t="s">
        <v>790</v>
      </c>
      <c r="J717" t="s">
        <v>791</v>
      </c>
      <c r="K717" t="s">
        <v>792</v>
      </c>
      <c r="L717">
        <v>1368</v>
      </c>
      <c r="N717">
        <v>1011</v>
      </c>
      <c r="O717" t="s">
        <v>780</v>
      </c>
      <c r="P717" t="s">
        <v>780</v>
      </c>
      <c r="Q717">
        <v>1</v>
      </c>
      <c r="X717">
        <v>0.39</v>
      </c>
      <c r="Y717">
        <v>0</v>
      </c>
      <c r="Z717">
        <v>91.62</v>
      </c>
      <c r="AA717">
        <v>0</v>
      </c>
      <c r="AB717">
        <v>0</v>
      </c>
      <c r="AC717">
        <v>0</v>
      </c>
      <c r="AD717">
        <v>1</v>
      </c>
      <c r="AE717">
        <v>0</v>
      </c>
      <c r="AF717" t="s">
        <v>126</v>
      </c>
      <c r="AG717">
        <v>0.56062500000000004</v>
      </c>
      <c r="AH717">
        <v>2</v>
      </c>
      <c r="AI717">
        <v>31030217</v>
      </c>
      <c r="AJ717">
        <v>686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</row>
    <row r="718" spans="1:44">
      <c r="A718">
        <f>ROW(Source!A273)</f>
        <v>273</v>
      </c>
      <c r="B718">
        <v>31030234</v>
      </c>
      <c r="C718">
        <v>31030212</v>
      </c>
      <c r="D718">
        <v>29150669</v>
      </c>
      <c r="E718">
        <v>1</v>
      </c>
      <c r="F718">
        <v>1</v>
      </c>
      <c r="G718">
        <v>1</v>
      </c>
      <c r="H718">
        <v>3</v>
      </c>
      <c r="I718" t="s">
        <v>1246</v>
      </c>
      <c r="J718" t="s">
        <v>1247</v>
      </c>
      <c r="K718" t="s">
        <v>1248</v>
      </c>
      <c r="L718">
        <v>1348</v>
      </c>
      <c r="N718">
        <v>1009</v>
      </c>
      <c r="O718" t="s">
        <v>137</v>
      </c>
      <c r="P718" t="s">
        <v>137</v>
      </c>
      <c r="Q718">
        <v>1000</v>
      </c>
      <c r="X718">
        <v>1E-3</v>
      </c>
      <c r="Y718">
        <v>12958.31</v>
      </c>
      <c r="Z718">
        <v>0</v>
      </c>
      <c r="AA718">
        <v>0</v>
      </c>
      <c r="AB718">
        <v>0</v>
      </c>
      <c r="AC718">
        <v>0</v>
      </c>
      <c r="AD718">
        <v>1</v>
      </c>
      <c r="AE718">
        <v>0</v>
      </c>
      <c r="AF718" t="s">
        <v>6</v>
      </c>
      <c r="AG718">
        <v>1E-3</v>
      </c>
      <c r="AH718">
        <v>2</v>
      </c>
      <c r="AI718">
        <v>31030218</v>
      </c>
      <c r="AJ718">
        <v>687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</row>
    <row r="719" spans="1:44">
      <c r="A719">
        <f>ROW(Source!A273)</f>
        <v>273</v>
      </c>
      <c r="B719">
        <v>31030235</v>
      </c>
      <c r="C719">
        <v>31030212</v>
      </c>
      <c r="D719">
        <v>29150746</v>
      </c>
      <c r="E719">
        <v>1</v>
      </c>
      <c r="F719">
        <v>1</v>
      </c>
      <c r="G719">
        <v>1</v>
      </c>
      <c r="H719">
        <v>3</v>
      </c>
      <c r="I719" t="s">
        <v>1225</v>
      </c>
      <c r="J719" t="s">
        <v>1226</v>
      </c>
      <c r="K719" t="s">
        <v>1227</v>
      </c>
      <c r="L719">
        <v>1348</v>
      </c>
      <c r="N719">
        <v>1009</v>
      </c>
      <c r="O719" t="s">
        <v>137</v>
      </c>
      <c r="P719" t="s">
        <v>137</v>
      </c>
      <c r="Q719">
        <v>1000</v>
      </c>
      <c r="X719">
        <v>4.0000000000000002E-4</v>
      </c>
      <c r="Y719">
        <v>10600</v>
      </c>
      <c r="Z719">
        <v>0</v>
      </c>
      <c r="AA719">
        <v>0</v>
      </c>
      <c r="AB719">
        <v>0</v>
      </c>
      <c r="AC719">
        <v>0</v>
      </c>
      <c r="AD719">
        <v>1</v>
      </c>
      <c r="AE719">
        <v>0</v>
      </c>
      <c r="AF719" t="s">
        <v>6</v>
      </c>
      <c r="AG719">
        <v>4.0000000000000002E-4</v>
      </c>
      <c r="AH719">
        <v>2</v>
      </c>
      <c r="AI719">
        <v>31030219</v>
      </c>
      <c r="AJ719">
        <v>688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</row>
    <row r="720" spans="1:44">
      <c r="A720">
        <f>ROW(Source!A273)</f>
        <v>273</v>
      </c>
      <c r="B720">
        <v>31030236</v>
      </c>
      <c r="C720">
        <v>31030212</v>
      </c>
      <c r="D720">
        <v>29150988</v>
      </c>
      <c r="E720">
        <v>1</v>
      </c>
      <c r="F720">
        <v>1</v>
      </c>
      <c r="G720">
        <v>1</v>
      </c>
      <c r="H720">
        <v>3</v>
      </c>
      <c r="I720" t="s">
        <v>1228</v>
      </c>
      <c r="J720" t="s">
        <v>1229</v>
      </c>
      <c r="K720" t="s">
        <v>1230</v>
      </c>
      <c r="L720">
        <v>1348</v>
      </c>
      <c r="N720">
        <v>1009</v>
      </c>
      <c r="O720" t="s">
        <v>137</v>
      </c>
      <c r="P720" t="s">
        <v>137</v>
      </c>
      <c r="Q720">
        <v>1000</v>
      </c>
      <c r="X720">
        <v>2.0000000000000001E-4</v>
      </c>
      <c r="Y720">
        <v>18685</v>
      </c>
      <c r="Z720">
        <v>0</v>
      </c>
      <c r="AA720">
        <v>0</v>
      </c>
      <c r="AB720">
        <v>0</v>
      </c>
      <c r="AC720">
        <v>0</v>
      </c>
      <c r="AD720">
        <v>1</v>
      </c>
      <c r="AE720">
        <v>0</v>
      </c>
      <c r="AF720" t="s">
        <v>6</v>
      </c>
      <c r="AG720">
        <v>2.0000000000000001E-4</v>
      </c>
      <c r="AH720">
        <v>2</v>
      </c>
      <c r="AI720">
        <v>31030220</v>
      </c>
      <c r="AJ720">
        <v>689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</row>
    <row r="721" spans="1:44">
      <c r="A721">
        <f>ROW(Source!A273)</f>
        <v>273</v>
      </c>
      <c r="B721">
        <v>31030237</v>
      </c>
      <c r="C721">
        <v>31030212</v>
      </c>
      <c r="D721">
        <v>29151188</v>
      </c>
      <c r="E721">
        <v>1</v>
      </c>
      <c r="F721">
        <v>1</v>
      </c>
      <c r="G721">
        <v>1</v>
      </c>
      <c r="H721">
        <v>3</v>
      </c>
      <c r="I721" t="s">
        <v>1249</v>
      </c>
      <c r="J721" t="s">
        <v>1250</v>
      </c>
      <c r="K721" t="s">
        <v>1251</v>
      </c>
      <c r="L721">
        <v>1346</v>
      </c>
      <c r="N721">
        <v>1009</v>
      </c>
      <c r="O721" t="s">
        <v>118</v>
      </c>
      <c r="P721" t="s">
        <v>118</v>
      </c>
      <c r="Q721">
        <v>1</v>
      </c>
      <c r="X721">
        <v>0.8</v>
      </c>
      <c r="Y721">
        <v>14.77</v>
      </c>
      <c r="Z721">
        <v>0</v>
      </c>
      <c r="AA721">
        <v>0</v>
      </c>
      <c r="AB721">
        <v>0</v>
      </c>
      <c r="AC721">
        <v>0</v>
      </c>
      <c r="AD721">
        <v>1</v>
      </c>
      <c r="AE721">
        <v>0</v>
      </c>
      <c r="AF721" t="s">
        <v>6</v>
      </c>
      <c r="AG721">
        <v>0.8</v>
      </c>
      <c r="AH721">
        <v>2</v>
      </c>
      <c r="AI721">
        <v>31030221</v>
      </c>
      <c r="AJ721">
        <v>690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</row>
    <row r="722" spans="1:44">
      <c r="A722">
        <f>ROW(Source!A273)</f>
        <v>273</v>
      </c>
      <c r="B722">
        <v>31030238</v>
      </c>
      <c r="C722">
        <v>31030212</v>
      </c>
      <c r="D722">
        <v>29151931</v>
      </c>
      <c r="E722">
        <v>1</v>
      </c>
      <c r="F722">
        <v>1</v>
      </c>
      <c r="G722">
        <v>1</v>
      </c>
      <c r="H722">
        <v>3</v>
      </c>
      <c r="I722" t="s">
        <v>1231</v>
      </c>
      <c r="J722" t="s">
        <v>1232</v>
      </c>
      <c r="K722" t="s">
        <v>1233</v>
      </c>
      <c r="L722">
        <v>1346</v>
      </c>
      <c r="N722">
        <v>1009</v>
      </c>
      <c r="O722" t="s">
        <v>118</v>
      </c>
      <c r="P722" t="s">
        <v>118</v>
      </c>
      <c r="Q722">
        <v>1</v>
      </c>
      <c r="X722">
        <v>0.04</v>
      </c>
      <c r="Y722">
        <v>37.29</v>
      </c>
      <c r="Z722">
        <v>0</v>
      </c>
      <c r="AA722">
        <v>0</v>
      </c>
      <c r="AB722">
        <v>0</v>
      </c>
      <c r="AC722">
        <v>0</v>
      </c>
      <c r="AD722">
        <v>1</v>
      </c>
      <c r="AE722">
        <v>0</v>
      </c>
      <c r="AF722" t="s">
        <v>6</v>
      </c>
      <c r="AG722">
        <v>0.04</v>
      </c>
      <c r="AH722">
        <v>2</v>
      </c>
      <c r="AI722">
        <v>31030222</v>
      </c>
      <c r="AJ722">
        <v>691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</row>
    <row r="723" spans="1:44">
      <c r="A723">
        <f>ROW(Source!A273)</f>
        <v>273</v>
      </c>
      <c r="B723">
        <v>31030239</v>
      </c>
      <c r="C723">
        <v>31030212</v>
      </c>
      <c r="D723">
        <v>29152092</v>
      </c>
      <c r="E723">
        <v>1</v>
      </c>
      <c r="F723">
        <v>1</v>
      </c>
      <c r="G723">
        <v>1</v>
      </c>
      <c r="H723">
        <v>3</v>
      </c>
      <c r="I723" t="s">
        <v>1252</v>
      </c>
      <c r="J723" t="s">
        <v>1253</v>
      </c>
      <c r="K723" t="s">
        <v>1254</v>
      </c>
      <c r="L723">
        <v>1346</v>
      </c>
      <c r="N723">
        <v>1009</v>
      </c>
      <c r="O723" t="s">
        <v>118</v>
      </c>
      <c r="P723" t="s">
        <v>118</v>
      </c>
      <c r="Q723">
        <v>1</v>
      </c>
      <c r="X723">
        <v>4</v>
      </c>
      <c r="Y723">
        <v>10.3</v>
      </c>
      <c r="Z723">
        <v>0</v>
      </c>
      <c r="AA723">
        <v>0</v>
      </c>
      <c r="AB723">
        <v>0</v>
      </c>
      <c r="AC723">
        <v>0</v>
      </c>
      <c r="AD723">
        <v>1</v>
      </c>
      <c r="AE723">
        <v>0</v>
      </c>
      <c r="AF723" t="s">
        <v>6</v>
      </c>
      <c r="AG723">
        <v>4</v>
      </c>
      <c r="AH723">
        <v>2</v>
      </c>
      <c r="AI723">
        <v>31030223</v>
      </c>
      <c r="AJ723">
        <v>692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</row>
    <row r="724" spans="1:44">
      <c r="A724">
        <f>ROW(Source!A273)</f>
        <v>273</v>
      </c>
      <c r="B724">
        <v>31030240</v>
      </c>
      <c r="C724">
        <v>31030212</v>
      </c>
      <c r="D724">
        <v>29152383</v>
      </c>
      <c r="E724">
        <v>1</v>
      </c>
      <c r="F724">
        <v>1</v>
      </c>
      <c r="G724">
        <v>1</v>
      </c>
      <c r="H724">
        <v>3</v>
      </c>
      <c r="I724" t="s">
        <v>1255</v>
      </c>
      <c r="J724" t="s">
        <v>1256</v>
      </c>
      <c r="K724" t="s">
        <v>1257</v>
      </c>
      <c r="L724">
        <v>1348</v>
      </c>
      <c r="N724">
        <v>1009</v>
      </c>
      <c r="O724" t="s">
        <v>137</v>
      </c>
      <c r="P724" t="s">
        <v>137</v>
      </c>
      <c r="Q724">
        <v>1000</v>
      </c>
      <c r="X724">
        <v>5.0000000000000001E-4</v>
      </c>
      <c r="Y724">
        <v>12430</v>
      </c>
      <c r="Z724">
        <v>0</v>
      </c>
      <c r="AA724">
        <v>0</v>
      </c>
      <c r="AB724">
        <v>0</v>
      </c>
      <c r="AC724">
        <v>0</v>
      </c>
      <c r="AD724">
        <v>1</v>
      </c>
      <c r="AE724">
        <v>0</v>
      </c>
      <c r="AF724" t="s">
        <v>6</v>
      </c>
      <c r="AG724">
        <v>5.0000000000000001E-4</v>
      </c>
      <c r="AH724">
        <v>2</v>
      </c>
      <c r="AI724">
        <v>31030224</v>
      </c>
      <c r="AJ724">
        <v>693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</row>
    <row r="725" spans="1:44">
      <c r="A725">
        <f>ROW(Source!A273)</f>
        <v>273</v>
      </c>
      <c r="B725">
        <v>31030241</v>
      </c>
      <c r="C725">
        <v>31030212</v>
      </c>
      <c r="D725">
        <v>29152402</v>
      </c>
      <c r="E725">
        <v>1</v>
      </c>
      <c r="F725">
        <v>1</v>
      </c>
      <c r="G725">
        <v>1</v>
      </c>
      <c r="H725">
        <v>3</v>
      </c>
      <c r="I725" t="s">
        <v>1258</v>
      </c>
      <c r="J725" t="s">
        <v>1259</v>
      </c>
      <c r="K725" t="s">
        <v>1260</v>
      </c>
      <c r="L725">
        <v>1358</v>
      </c>
      <c r="N725">
        <v>1010</v>
      </c>
      <c r="O725" t="s">
        <v>1261</v>
      </c>
      <c r="P725" t="s">
        <v>1261</v>
      </c>
      <c r="Q725">
        <v>10</v>
      </c>
      <c r="X725">
        <v>4</v>
      </c>
      <c r="Y725">
        <v>1.8</v>
      </c>
      <c r="Z725">
        <v>0</v>
      </c>
      <c r="AA725">
        <v>0</v>
      </c>
      <c r="AB725">
        <v>0</v>
      </c>
      <c r="AC725">
        <v>0</v>
      </c>
      <c r="AD725">
        <v>1</v>
      </c>
      <c r="AE725">
        <v>0</v>
      </c>
      <c r="AF725" t="s">
        <v>6</v>
      </c>
      <c r="AG725">
        <v>4</v>
      </c>
      <c r="AH725">
        <v>2</v>
      </c>
      <c r="AI725">
        <v>31030225</v>
      </c>
      <c r="AJ725">
        <v>694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</row>
    <row r="726" spans="1:44">
      <c r="A726">
        <f>ROW(Source!A273)</f>
        <v>273</v>
      </c>
      <c r="B726">
        <v>31030242</v>
      </c>
      <c r="C726">
        <v>31030212</v>
      </c>
      <c r="D726">
        <v>29164664</v>
      </c>
      <c r="E726">
        <v>1</v>
      </c>
      <c r="F726">
        <v>1</v>
      </c>
      <c r="G726">
        <v>1</v>
      </c>
      <c r="H726">
        <v>3</v>
      </c>
      <c r="I726" t="s">
        <v>1262</v>
      </c>
      <c r="J726" t="s">
        <v>1263</v>
      </c>
      <c r="K726" t="s">
        <v>1264</v>
      </c>
      <c r="L726">
        <v>1348</v>
      </c>
      <c r="N726">
        <v>1009</v>
      </c>
      <c r="O726" t="s">
        <v>137</v>
      </c>
      <c r="P726" t="s">
        <v>137</v>
      </c>
      <c r="Q726">
        <v>1000</v>
      </c>
      <c r="X726">
        <v>8.0000000000000004E-4</v>
      </c>
      <c r="Y726">
        <v>10352</v>
      </c>
      <c r="Z726">
        <v>0</v>
      </c>
      <c r="AA726">
        <v>0</v>
      </c>
      <c r="AB726">
        <v>0</v>
      </c>
      <c r="AC726">
        <v>0</v>
      </c>
      <c r="AD726">
        <v>1</v>
      </c>
      <c r="AE726">
        <v>0</v>
      </c>
      <c r="AF726" t="s">
        <v>6</v>
      </c>
      <c r="AG726">
        <v>8.0000000000000004E-4</v>
      </c>
      <c r="AH726">
        <v>2</v>
      </c>
      <c r="AI726">
        <v>31030226</v>
      </c>
      <c r="AJ726">
        <v>695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</row>
    <row r="727" spans="1:44">
      <c r="A727">
        <f>ROW(Source!A273)</f>
        <v>273</v>
      </c>
      <c r="B727">
        <v>31030243</v>
      </c>
      <c r="C727">
        <v>31030212</v>
      </c>
      <c r="D727">
        <v>29176453</v>
      </c>
      <c r="E727">
        <v>1</v>
      </c>
      <c r="F727">
        <v>1</v>
      </c>
      <c r="G727">
        <v>1</v>
      </c>
      <c r="H727">
        <v>3</v>
      </c>
      <c r="I727" t="s">
        <v>1265</v>
      </c>
      <c r="J727" t="s">
        <v>1266</v>
      </c>
      <c r="K727" t="s">
        <v>1267</v>
      </c>
      <c r="L727">
        <v>1035</v>
      </c>
      <c r="N727">
        <v>1013</v>
      </c>
      <c r="O727" t="s">
        <v>292</v>
      </c>
      <c r="P727" t="s">
        <v>292</v>
      </c>
      <c r="Q727">
        <v>1</v>
      </c>
      <c r="X727">
        <v>10</v>
      </c>
      <c r="Y727">
        <v>345.84</v>
      </c>
      <c r="Z727">
        <v>0</v>
      </c>
      <c r="AA727">
        <v>0</v>
      </c>
      <c r="AB727">
        <v>0</v>
      </c>
      <c r="AC727">
        <v>0</v>
      </c>
      <c r="AD727">
        <v>1</v>
      </c>
      <c r="AE727">
        <v>0</v>
      </c>
      <c r="AF727" t="s">
        <v>6</v>
      </c>
      <c r="AG727">
        <v>10</v>
      </c>
      <c r="AH727">
        <v>2</v>
      </c>
      <c r="AI727">
        <v>31030227</v>
      </c>
      <c r="AJ727">
        <v>696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</row>
    <row r="728" spans="1:44">
      <c r="A728">
        <f>ROW(Source!A273)</f>
        <v>273</v>
      </c>
      <c r="B728">
        <v>31030244</v>
      </c>
      <c r="C728">
        <v>31030212</v>
      </c>
      <c r="D728">
        <v>29209881</v>
      </c>
      <c r="E728">
        <v>1</v>
      </c>
      <c r="F728">
        <v>1</v>
      </c>
      <c r="G728">
        <v>1</v>
      </c>
      <c r="H728">
        <v>3</v>
      </c>
      <c r="I728" t="s">
        <v>1268</v>
      </c>
      <c r="J728" t="s">
        <v>1269</v>
      </c>
      <c r="K728" t="s">
        <v>1270</v>
      </c>
      <c r="L728">
        <v>1346</v>
      </c>
      <c r="N728">
        <v>1009</v>
      </c>
      <c r="O728" t="s">
        <v>118</v>
      </c>
      <c r="P728" t="s">
        <v>118</v>
      </c>
      <c r="Q728">
        <v>1</v>
      </c>
      <c r="X728">
        <v>20</v>
      </c>
      <c r="Y728">
        <v>7.09</v>
      </c>
      <c r="Z728">
        <v>0</v>
      </c>
      <c r="AA728">
        <v>0</v>
      </c>
      <c r="AB728">
        <v>0</v>
      </c>
      <c r="AC728">
        <v>0</v>
      </c>
      <c r="AD728">
        <v>1</v>
      </c>
      <c r="AE728">
        <v>0</v>
      </c>
      <c r="AF728" t="s">
        <v>6</v>
      </c>
      <c r="AG728">
        <v>20</v>
      </c>
      <c r="AH728">
        <v>2</v>
      </c>
      <c r="AI728">
        <v>31030228</v>
      </c>
      <c r="AJ728">
        <v>697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</row>
    <row r="729" spans="1:44">
      <c r="A729">
        <f>ROW(Source!A274)</f>
        <v>274</v>
      </c>
      <c r="B729">
        <v>31030259</v>
      </c>
      <c r="C729">
        <v>31030245</v>
      </c>
      <c r="D729">
        <v>29084579</v>
      </c>
      <c r="E729">
        <v>1</v>
      </c>
      <c r="F729">
        <v>1</v>
      </c>
      <c r="G729">
        <v>1</v>
      </c>
      <c r="H729">
        <v>1</v>
      </c>
      <c r="I729" t="s">
        <v>849</v>
      </c>
      <c r="J729" t="s">
        <v>6</v>
      </c>
      <c r="K729" t="s">
        <v>850</v>
      </c>
      <c r="L729">
        <v>1369</v>
      </c>
      <c r="N729">
        <v>1013</v>
      </c>
      <c r="O729" t="s">
        <v>773</v>
      </c>
      <c r="P729" t="s">
        <v>773</v>
      </c>
      <c r="Q729">
        <v>1</v>
      </c>
      <c r="X729">
        <v>21.65</v>
      </c>
      <c r="Y729">
        <v>0</v>
      </c>
      <c r="Z729">
        <v>0</v>
      </c>
      <c r="AA729">
        <v>0</v>
      </c>
      <c r="AB729">
        <v>9.2899999999999991</v>
      </c>
      <c r="AC729">
        <v>0</v>
      </c>
      <c r="AD729">
        <v>1</v>
      </c>
      <c r="AE729">
        <v>1</v>
      </c>
      <c r="AF729" t="s">
        <v>127</v>
      </c>
      <c r="AG729">
        <v>28.632124999999995</v>
      </c>
      <c r="AH729">
        <v>2</v>
      </c>
      <c r="AI729">
        <v>31030246</v>
      </c>
      <c r="AJ729">
        <v>698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</row>
    <row r="730" spans="1:44">
      <c r="A730">
        <f>ROW(Source!A274)</f>
        <v>274</v>
      </c>
      <c r="B730">
        <v>31030260</v>
      </c>
      <c r="C730">
        <v>31030245</v>
      </c>
      <c r="D730">
        <v>29084573</v>
      </c>
      <c r="E730">
        <v>1</v>
      </c>
      <c r="F730">
        <v>1</v>
      </c>
      <c r="G730">
        <v>1</v>
      </c>
      <c r="H730">
        <v>1</v>
      </c>
      <c r="I730" t="s">
        <v>774</v>
      </c>
      <c r="J730" t="s">
        <v>6</v>
      </c>
      <c r="K730" t="s">
        <v>775</v>
      </c>
      <c r="L730">
        <v>608254</v>
      </c>
      <c r="N730">
        <v>1013</v>
      </c>
      <c r="O730" t="s">
        <v>776</v>
      </c>
      <c r="P730" t="s">
        <v>776</v>
      </c>
      <c r="Q730">
        <v>1</v>
      </c>
      <c r="X730">
        <v>0.13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1</v>
      </c>
      <c r="AE730">
        <v>2</v>
      </c>
      <c r="AF730" t="s">
        <v>126</v>
      </c>
      <c r="AG730">
        <v>0.18687499999999999</v>
      </c>
      <c r="AH730">
        <v>2</v>
      </c>
      <c r="AI730">
        <v>31030247</v>
      </c>
      <c r="AJ730">
        <v>699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</row>
    <row r="731" spans="1:44">
      <c r="A731">
        <f>ROW(Source!A274)</f>
        <v>274</v>
      </c>
      <c r="B731">
        <v>31030261</v>
      </c>
      <c r="C731">
        <v>31030245</v>
      </c>
      <c r="D731">
        <v>29147732</v>
      </c>
      <c r="E731">
        <v>1</v>
      </c>
      <c r="F731">
        <v>1</v>
      </c>
      <c r="G731">
        <v>1</v>
      </c>
      <c r="H731">
        <v>2</v>
      </c>
      <c r="I731" t="s">
        <v>846</v>
      </c>
      <c r="J731" t="s">
        <v>847</v>
      </c>
      <c r="K731" t="s">
        <v>848</v>
      </c>
      <c r="L731">
        <v>1368</v>
      </c>
      <c r="N731">
        <v>1011</v>
      </c>
      <c r="O731" t="s">
        <v>780</v>
      </c>
      <c r="P731" t="s">
        <v>780</v>
      </c>
      <c r="Q731">
        <v>1</v>
      </c>
      <c r="X731">
        <v>0.13</v>
      </c>
      <c r="Y731">
        <v>0</v>
      </c>
      <c r="Z731">
        <v>30.85</v>
      </c>
      <c r="AA731">
        <v>13.03</v>
      </c>
      <c r="AB731">
        <v>0</v>
      </c>
      <c r="AC731">
        <v>0</v>
      </c>
      <c r="AD731">
        <v>1</v>
      </c>
      <c r="AE731">
        <v>0</v>
      </c>
      <c r="AF731" t="s">
        <v>126</v>
      </c>
      <c r="AG731">
        <v>0.18687499999999999</v>
      </c>
      <c r="AH731">
        <v>2</v>
      </c>
      <c r="AI731">
        <v>31030248</v>
      </c>
      <c r="AJ731">
        <v>700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</row>
    <row r="732" spans="1:44">
      <c r="A732">
        <f>ROW(Source!A274)</f>
        <v>274</v>
      </c>
      <c r="B732">
        <v>31030262</v>
      </c>
      <c r="C732">
        <v>31030245</v>
      </c>
      <c r="D732">
        <v>29149183</v>
      </c>
      <c r="E732">
        <v>1</v>
      </c>
      <c r="F732">
        <v>1</v>
      </c>
      <c r="G732">
        <v>1</v>
      </c>
      <c r="H732">
        <v>2</v>
      </c>
      <c r="I732" t="s">
        <v>983</v>
      </c>
      <c r="J732" t="s">
        <v>984</v>
      </c>
      <c r="K732" t="s">
        <v>985</v>
      </c>
      <c r="L732">
        <v>1368</v>
      </c>
      <c r="N732">
        <v>1011</v>
      </c>
      <c r="O732" t="s">
        <v>780</v>
      </c>
      <c r="P732" t="s">
        <v>780</v>
      </c>
      <c r="Q732">
        <v>1</v>
      </c>
      <c r="X732">
        <v>0.2</v>
      </c>
      <c r="Y732">
        <v>0</v>
      </c>
      <c r="Z732">
        <v>1.95</v>
      </c>
      <c r="AA732">
        <v>0</v>
      </c>
      <c r="AB732">
        <v>0</v>
      </c>
      <c r="AC732">
        <v>0</v>
      </c>
      <c r="AD732">
        <v>1</v>
      </c>
      <c r="AE732">
        <v>0</v>
      </c>
      <c r="AF732" t="s">
        <v>126</v>
      </c>
      <c r="AG732">
        <v>0.28749999999999998</v>
      </c>
      <c r="AH732">
        <v>2</v>
      </c>
      <c r="AI732">
        <v>31030249</v>
      </c>
      <c r="AJ732">
        <v>701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</row>
    <row r="733" spans="1:44">
      <c r="A733">
        <f>ROW(Source!A274)</f>
        <v>274</v>
      </c>
      <c r="B733">
        <v>31030263</v>
      </c>
      <c r="C733">
        <v>31030245</v>
      </c>
      <c r="D733">
        <v>29149520</v>
      </c>
      <c r="E733">
        <v>1</v>
      </c>
      <c r="F733">
        <v>1</v>
      </c>
      <c r="G733">
        <v>1</v>
      </c>
      <c r="H733">
        <v>2</v>
      </c>
      <c r="I733" t="s">
        <v>790</v>
      </c>
      <c r="J733" t="s">
        <v>791</v>
      </c>
      <c r="K733" t="s">
        <v>792</v>
      </c>
      <c r="L733">
        <v>1368</v>
      </c>
      <c r="N733">
        <v>1011</v>
      </c>
      <c r="O733" t="s">
        <v>780</v>
      </c>
      <c r="P733" t="s">
        <v>780</v>
      </c>
      <c r="Q733">
        <v>1</v>
      </c>
      <c r="X733">
        <v>0.22</v>
      </c>
      <c r="Y733">
        <v>0</v>
      </c>
      <c r="Z733">
        <v>91.62</v>
      </c>
      <c r="AA733">
        <v>0</v>
      </c>
      <c r="AB733">
        <v>0</v>
      </c>
      <c r="AC733">
        <v>0</v>
      </c>
      <c r="AD733">
        <v>1</v>
      </c>
      <c r="AE733">
        <v>0</v>
      </c>
      <c r="AF733" t="s">
        <v>126</v>
      </c>
      <c r="AG733">
        <v>0.31624999999999998</v>
      </c>
      <c r="AH733">
        <v>2</v>
      </c>
      <c r="AI733">
        <v>31030250</v>
      </c>
      <c r="AJ733">
        <v>702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</row>
    <row r="734" spans="1:44">
      <c r="A734">
        <f>ROW(Source!A274)</f>
        <v>274</v>
      </c>
      <c r="B734">
        <v>31030264</v>
      </c>
      <c r="C734">
        <v>31030245</v>
      </c>
      <c r="D734">
        <v>29150746</v>
      </c>
      <c r="E734">
        <v>1</v>
      </c>
      <c r="F734">
        <v>1</v>
      </c>
      <c r="G734">
        <v>1</v>
      </c>
      <c r="H734">
        <v>3</v>
      </c>
      <c r="I734" t="s">
        <v>1225</v>
      </c>
      <c r="J734" t="s">
        <v>1226</v>
      </c>
      <c r="K734" t="s">
        <v>1227</v>
      </c>
      <c r="L734">
        <v>1348</v>
      </c>
      <c r="N734">
        <v>1009</v>
      </c>
      <c r="O734" t="s">
        <v>137</v>
      </c>
      <c r="P734" t="s">
        <v>137</v>
      </c>
      <c r="Q734">
        <v>1000</v>
      </c>
      <c r="X734">
        <v>4.0000000000000002E-4</v>
      </c>
      <c r="Y734">
        <v>10600</v>
      </c>
      <c r="Z734">
        <v>0</v>
      </c>
      <c r="AA734">
        <v>0</v>
      </c>
      <c r="AB734">
        <v>0</v>
      </c>
      <c r="AC734">
        <v>0</v>
      </c>
      <c r="AD734">
        <v>1</v>
      </c>
      <c r="AE734">
        <v>0</v>
      </c>
      <c r="AF734" t="s">
        <v>6</v>
      </c>
      <c r="AG734">
        <v>4.0000000000000002E-4</v>
      </c>
      <c r="AH734">
        <v>2</v>
      </c>
      <c r="AI734">
        <v>31030251</v>
      </c>
      <c r="AJ734">
        <v>703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</row>
    <row r="735" spans="1:44">
      <c r="A735">
        <f>ROW(Source!A274)</f>
        <v>274</v>
      </c>
      <c r="B735">
        <v>31030265</v>
      </c>
      <c r="C735">
        <v>31030245</v>
      </c>
      <c r="D735">
        <v>29150988</v>
      </c>
      <c r="E735">
        <v>1</v>
      </c>
      <c r="F735">
        <v>1</v>
      </c>
      <c r="G735">
        <v>1</v>
      </c>
      <c r="H735">
        <v>3</v>
      </c>
      <c r="I735" t="s">
        <v>1228</v>
      </c>
      <c r="J735" t="s">
        <v>1229</v>
      </c>
      <c r="K735" t="s">
        <v>1230</v>
      </c>
      <c r="L735">
        <v>1348</v>
      </c>
      <c r="N735">
        <v>1009</v>
      </c>
      <c r="O735" t="s">
        <v>137</v>
      </c>
      <c r="P735" t="s">
        <v>137</v>
      </c>
      <c r="Q735">
        <v>1000</v>
      </c>
      <c r="X735">
        <v>2.0000000000000001E-4</v>
      </c>
      <c r="Y735">
        <v>18685</v>
      </c>
      <c r="Z735">
        <v>0</v>
      </c>
      <c r="AA735">
        <v>0</v>
      </c>
      <c r="AB735">
        <v>0</v>
      </c>
      <c r="AC735">
        <v>0</v>
      </c>
      <c r="AD735">
        <v>1</v>
      </c>
      <c r="AE735">
        <v>0</v>
      </c>
      <c r="AF735" t="s">
        <v>6</v>
      </c>
      <c r="AG735">
        <v>2.0000000000000001E-4</v>
      </c>
      <c r="AH735">
        <v>2</v>
      </c>
      <c r="AI735">
        <v>31030252</v>
      </c>
      <c r="AJ735">
        <v>704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</row>
    <row r="736" spans="1:44">
      <c r="A736">
        <f>ROW(Source!A274)</f>
        <v>274</v>
      </c>
      <c r="B736">
        <v>31030266</v>
      </c>
      <c r="C736">
        <v>31030245</v>
      </c>
      <c r="D736">
        <v>29151127</v>
      </c>
      <c r="E736">
        <v>1</v>
      </c>
      <c r="F736">
        <v>1</v>
      </c>
      <c r="G736">
        <v>1</v>
      </c>
      <c r="H736">
        <v>3</v>
      </c>
      <c r="I736" t="s">
        <v>1271</v>
      </c>
      <c r="J736" t="s">
        <v>1272</v>
      </c>
      <c r="K736" t="s">
        <v>1273</v>
      </c>
      <c r="L736">
        <v>1348</v>
      </c>
      <c r="N736">
        <v>1009</v>
      </c>
      <c r="O736" t="s">
        <v>137</v>
      </c>
      <c r="P736" t="s">
        <v>137</v>
      </c>
      <c r="Q736">
        <v>1000</v>
      </c>
      <c r="X736">
        <v>3.5999999999999999E-3</v>
      </c>
      <c r="Y736">
        <v>6501.88</v>
      </c>
      <c r="Z736">
        <v>0</v>
      </c>
      <c r="AA736">
        <v>0</v>
      </c>
      <c r="AB736">
        <v>0</v>
      </c>
      <c r="AC736">
        <v>0</v>
      </c>
      <c r="AD736">
        <v>1</v>
      </c>
      <c r="AE736">
        <v>0</v>
      </c>
      <c r="AF736" t="s">
        <v>6</v>
      </c>
      <c r="AG736">
        <v>3.5999999999999999E-3</v>
      </c>
      <c r="AH736">
        <v>2</v>
      </c>
      <c r="AI736">
        <v>31030253</v>
      </c>
      <c r="AJ736">
        <v>705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</row>
    <row r="737" spans="1:44">
      <c r="A737">
        <f>ROW(Source!A274)</f>
        <v>274</v>
      </c>
      <c r="B737">
        <v>31030267</v>
      </c>
      <c r="C737">
        <v>31030245</v>
      </c>
      <c r="D737">
        <v>29151931</v>
      </c>
      <c r="E737">
        <v>1</v>
      </c>
      <c r="F737">
        <v>1</v>
      </c>
      <c r="G737">
        <v>1</v>
      </c>
      <c r="H737">
        <v>3</v>
      </c>
      <c r="I737" t="s">
        <v>1231</v>
      </c>
      <c r="J737" t="s">
        <v>1232</v>
      </c>
      <c r="K737" t="s">
        <v>1233</v>
      </c>
      <c r="L737">
        <v>1346</v>
      </c>
      <c r="N737">
        <v>1009</v>
      </c>
      <c r="O737" t="s">
        <v>118</v>
      </c>
      <c r="P737" t="s">
        <v>118</v>
      </c>
      <c r="Q737">
        <v>1</v>
      </c>
      <c r="X737">
        <v>0.3</v>
      </c>
      <c r="Y737">
        <v>37.29</v>
      </c>
      <c r="Z737">
        <v>0</v>
      </c>
      <c r="AA737">
        <v>0</v>
      </c>
      <c r="AB737">
        <v>0</v>
      </c>
      <c r="AC737">
        <v>0</v>
      </c>
      <c r="AD737">
        <v>1</v>
      </c>
      <c r="AE737">
        <v>0</v>
      </c>
      <c r="AF737" t="s">
        <v>6</v>
      </c>
      <c r="AG737">
        <v>0.3</v>
      </c>
      <c r="AH737">
        <v>2</v>
      </c>
      <c r="AI737">
        <v>31030254</v>
      </c>
      <c r="AJ737">
        <v>706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</row>
    <row r="738" spans="1:44">
      <c r="A738">
        <f>ROW(Source!A274)</f>
        <v>274</v>
      </c>
      <c r="B738">
        <v>31030268</v>
      </c>
      <c r="C738">
        <v>31030245</v>
      </c>
      <c r="D738">
        <v>29152092</v>
      </c>
      <c r="E738">
        <v>1</v>
      </c>
      <c r="F738">
        <v>1</v>
      </c>
      <c r="G738">
        <v>1</v>
      </c>
      <c r="H738">
        <v>3</v>
      </c>
      <c r="I738" t="s">
        <v>1252</v>
      </c>
      <c r="J738" t="s">
        <v>1253</v>
      </c>
      <c r="K738" t="s">
        <v>1254</v>
      </c>
      <c r="L738">
        <v>1346</v>
      </c>
      <c r="N738">
        <v>1009</v>
      </c>
      <c r="O738" t="s">
        <v>118</v>
      </c>
      <c r="P738" t="s">
        <v>118</v>
      </c>
      <c r="Q738">
        <v>1</v>
      </c>
      <c r="X738">
        <v>2</v>
      </c>
      <c r="Y738">
        <v>10.3</v>
      </c>
      <c r="Z738">
        <v>0</v>
      </c>
      <c r="AA738">
        <v>0</v>
      </c>
      <c r="AB738">
        <v>0</v>
      </c>
      <c r="AC738">
        <v>0</v>
      </c>
      <c r="AD738">
        <v>1</v>
      </c>
      <c r="AE738">
        <v>0</v>
      </c>
      <c r="AF738" t="s">
        <v>6</v>
      </c>
      <c r="AG738">
        <v>2</v>
      </c>
      <c r="AH738">
        <v>2</v>
      </c>
      <c r="AI738">
        <v>31030255</v>
      </c>
      <c r="AJ738">
        <v>707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</row>
    <row r="739" spans="1:44">
      <c r="A739">
        <f>ROW(Source!A274)</f>
        <v>274</v>
      </c>
      <c r="B739">
        <v>31030269</v>
      </c>
      <c r="C739">
        <v>31030245</v>
      </c>
      <c r="D739">
        <v>29152385</v>
      </c>
      <c r="E739">
        <v>1</v>
      </c>
      <c r="F739">
        <v>1</v>
      </c>
      <c r="G739">
        <v>1</v>
      </c>
      <c r="H739">
        <v>3</v>
      </c>
      <c r="I739" t="s">
        <v>1274</v>
      </c>
      <c r="J739" t="s">
        <v>1275</v>
      </c>
      <c r="K739" t="s">
        <v>1276</v>
      </c>
      <c r="L739">
        <v>1348</v>
      </c>
      <c r="N739">
        <v>1009</v>
      </c>
      <c r="O739" t="s">
        <v>137</v>
      </c>
      <c r="P739" t="s">
        <v>137</v>
      </c>
      <c r="Q739">
        <v>1000</v>
      </c>
      <c r="X739">
        <v>6.9999999999999999E-4</v>
      </c>
      <c r="Y739">
        <v>11350</v>
      </c>
      <c r="Z739">
        <v>0</v>
      </c>
      <c r="AA739">
        <v>0</v>
      </c>
      <c r="AB739">
        <v>0</v>
      </c>
      <c r="AC739">
        <v>0</v>
      </c>
      <c r="AD739">
        <v>1</v>
      </c>
      <c r="AE739">
        <v>0</v>
      </c>
      <c r="AF739" t="s">
        <v>6</v>
      </c>
      <c r="AG739">
        <v>6.9999999999999999E-4</v>
      </c>
      <c r="AH739">
        <v>2</v>
      </c>
      <c r="AI739">
        <v>31030256</v>
      </c>
      <c r="AJ739">
        <v>708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</row>
    <row r="740" spans="1:44">
      <c r="A740">
        <f>ROW(Source!A274)</f>
        <v>274</v>
      </c>
      <c r="B740">
        <v>31030270</v>
      </c>
      <c r="C740">
        <v>31030245</v>
      </c>
      <c r="D740">
        <v>29152403</v>
      </c>
      <c r="E740">
        <v>1</v>
      </c>
      <c r="F740">
        <v>1</v>
      </c>
      <c r="G740">
        <v>1</v>
      </c>
      <c r="H740">
        <v>3</v>
      </c>
      <c r="I740" t="s">
        <v>1277</v>
      </c>
      <c r="J740" t="s">
        <v>1278</v>
      </c>
      <c r="K740" t="s">
        <v>1279</v>
      </c>
      <c r="L740">
        <v>1358</v>
      </c>
      <c r="N740">
        <v>1010</v>
      </c>
      <c r="O740" t="s">
        <v>1261</v>
      </c>
      <c r="P740" t="s">
        <v>1261</v>
      </c>
      <c r="Q740">
        <v>10</v>
      </c>
      <c r="X740">
        <v>4</v>
      </c>
      <c r="Y740">
        <v>2</v>
      </c>
      <c r="Z740">
        <v>0</v>
      </c>
      <c r="AA740">
        <v>0</v>
      </c>
      <c r="AB740">
        <v>0</v>
      </c>
      <c r="AC740">
        <v>0</v>
      </c>
      <c r="AD740">
        <v>1</v>
      </c>
      <c r="AE740">
        <v>0</v>
      </c>
      <c r="AF740" t="s">
        <v>6</v>
      </c>
      <c r="AG740">
        <v>4</v>
      </c>
      <c r="AH740">
        <v>2</v>
      </c>
      <c r="AI740">
        <v>31030257</v>
      </c>
      <c r="AJ740">
        <v>709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</row>
    <row r="741" spans="1:44">
      <c r="A741">
        <f>ROW(Source!A274)</f>
        <v>274</v>
      </c>
      <c r="B741">
        <v>31030271</v>
      </c>
      <c r="C741">
        <v>31030245</v>
      </c>
      <c r="D741">
        <v>29175697</v>
      </c>
      <c r="E741">
        <v>1</v>
      </c>
      <c r="F741">
        <v>1</v>
      </c>
      <c r="G741">
        <v>1</v>
      </c>
      <c r="H741">
        <v>3</v>
      </c>
      <c r="I741" t="s">
        <v>1280</v>
      </c>
      <c r="J741" t="s">
        <v>1281</v>
      </c>
      <c r="K741" t="s">
        <v>1282</v>
      </c>
      <c r="L741">
        <v>1035</v>
      </c>
      <c r="N741">
        <v>1013</v>
      </c>
      <c r="O741" t="s">
        <v>292</v>
      </c>
      <c r="P741" t="s">
        <v>292</v>
      </c>
      <c r="Q741">
        <v>1</v>
      </c>
      <c r="X741">
        <v>10</v>
      </c>
      <c r="Y741">
        <v>139.84</v>
      </c>
      <c r="Z741">
        <v>0</v>
      </c>
      <c r="AA741">
        <v>0</v>
      </c>
      <c r="AB741">
        <v>0</v>
      </c>
      <c r="AC741">
        <v>0</v>
      </c>
      <c r="AD741">
        <v>1</v>
      </c>
      <c r="AE741">
        <v>0</v>
      </c>
      <c r="AF741" t="s">
        <v>6</v>
      </c>
      <c r="AG741">
        <v>10</v>
      </c>
      <c r="AH741">
        <v>2</v>
      </c>
      <c r="AI741">
        <v>31030258</v>
      </c>
      <c r="AJ741">
        <v>710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</row>
    <row r="742" spans="1:44">
      <c r="A742">
        <f>ROW(Source!A276)</f>
        <v>276</v>
      </c>
      <c r="B742">
        <v>31030286</v>
      </c>
      <c r="C742">
        <v>31030273</v>
      </c>
      <c r="D742">
        <v>29084579</v>
      </c>
      <c r="E742">
        <v>1</v>
      </c>
      <c r="F742">
        <v>1</v>
      </c>
      <c r="G742">
        <v>1</v>
      </c>
      <c r="H742">
        <v>1</v>
      </c>
      <c r="I742" t="s">
        <v>849</v>
      </c>
      <c r="J742" t="s">
        <v>6</v>
      </c>
      <c r="K742" t="s">
        <v>850</v>
      </c>
      <c r="L742">
        <v>1369</v>
      </c>
      <c r="N742">
        <v>1013</v>
      </c>
      <c r="O742" t="s">
        <v>773</v>
      </c>
      <c r="P742" t="s">
        <v>773</v>
      </c>
      <c r="Q742">
        <v>1</v>
      </c>
      <c r="X742">
        <v>61.16</v>
      </c>
      <c r="Y742">
        <v>0</v>
      </c>
      <c r="Z742">
        <v>0</v>
      </c>
      <c r="AA742">
        <v>0</v>
      </c>
      <c r="AB742">
        <v>9.2899999999999991</v>
      </c>
      <c r="AC742">
        <v>0</v>
      </c>
      <c r="AD742">
        <v>1</v>
      </c>
      <c r="AE742">
        <v>1</v>
      </c>
      <c r="AF742" t="s">
        <v>127</v>
      </c>
      <c r="AG742">
        <v>80.884099999999975</v>
      </c>
      <c r="AH742">
        <v>2</v>
      </c>
      <c r="AI742">
        <v>31030274</v>
      </c>
      <c r="AJ742">
        <v>711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</row>
    <row r="743" spans="1:44">
      <c r="A743">
        <f>ROW(Source!A276)</f>
        <v>276</v>
      </c>
      <c r="B743">
        <v>31030287</v>
      </c>
      <c r="C743">
        <v>31030273</v>
      </c>
      <c r="D743">
        <v>29084573</v>
      </c>
      <c r="E743">
        <v>1</v>
      </c>
      <c r="F743">
        <v>1</v>
      </c>
      <c r="G743">
        <v>1</v>
      </c>
      <c r="H743">
        <v>1</v>
      </c>
      <c r="I743" t="s">
        <v>774</v>
      </c>
      <c r="J743" t="s">
        <v>6</v>
      </c>
      <c r="K743" t="s">
        <v>775</v>
      </c>
      <c r="L743">
        <v>608254</v>
      </c>
      <c r="N743">
        <v>1013</v>
      </c>
      <c r="O743" t="s">
        <v>776</v>
      </c>
      <c r="P743" t="s">
        <v>776</v>
      </c>
      <c r="Q743">
        <v>1</v>
      </c>
      <c r="X743">
        <v>0.61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1</v>
      </c>
      <c r="AE743">
        <v>2</v>
      </c>
      <c r="AF743" t="s">
        <v>126</v>
      </c>
      <c r="AG743">
        <v>0.87687499999999985</v>
      </c>
      <c r="AH743">
        <v>2</v>
      </c>
      <c r="AI743">
        <v>31030275</v>
      </c>
      <c r="AJ743">
        <v>712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</row>
    <row r="744" spans="1:44">
      <c r="A744">
        <f>ROW(Source!A276)</f>
        <v>276</v>
      </c>
      <c r="B744">
        <v>31030288</v>
      </c>
      <c r="C744">
        <v>31030273</v>
      </c>
      <c r="D744">
        <v>29147601</v>
      </c>
      <c r="E744">
        <v>1</v>
      </c>
      <c r="F744">
        <v>1</v>
      </c>
      <c r="G744">
        <v>1</v>
      </c>
      <c r="H744">
        <v>2</v>
      </c>
      <c r="I744" t="s">
        <v>781</v>
      </c>
      <c r="J744" t="s">
        <v>782</v>
      </c>
      <c r="K744" t="s">
        <v>783</v>
      </c>
      <c r="L744">
        <v>1368</v>
      </c>
      <c r="N744">
        <v>1011</v>
      </c>
      <c r="O744" t="s">
        <v>780</v>
      </c>
      <c r="P744" t="s">
        <v>780</v>
      </c>
      <c r="Q744">
        <v>1</v>
      </c>
      <c r="X744">
        <v>0.34</v>
      </c>
      <c r="Y744">
        <v>0</v>
      </c>
      <c r="Z744">
        <v>108.45</v>
      </c>
      <c r="AA744">
        <v>13.03</v>
      </c>
      <c r="AB744">
        <v>0</v>
      </c>
      <c r="AC744">
        <v>0</v>
      </c>
      <c r="AD744">
        <v>1</v>
      </c>
      <c r="AE744">
        <v>0</v>
      </c>
      <c r="AF744" t="s">
        <v>126</v>
      </c>
      <c r="AG744">
        <v>0.48875000000000002</v>
      </c>
      <c r="AH744">
        <v>2</v>
      </c>
      <c r="AI744">
        <v>31030276</v>
      </c>
      <c r="AJ744">
        <v>713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</row>
    <row r="745" spans="1:44">
      <c r="A745">
        <f>ROW(Source!A276)</f>
        <v>276</v>
      </c>
      <c r="B745">
        <v>31030289</v>
      </c>
      <c r="C745">
        <v>31030273</v>
      </c>
      <c r="D745">
        <v>29147732</v>
      </c>
      <c r="E745">
        <v>1</v>
      </c>
      <c r="F745">
        <v>1</v>
      </c>
      <c r="G745">
        <v>1</v>
      </c>
      <c r="H745">
        <v>2</v>
      </c>
      <c r="I745" t="s">
        <v>846</v>
      </c>
      <c r="J745" t="s">
        <v>847</v>
      </c>
      <c r="K745" t="s">
        <v>848</v>
      </c>
      <c r="L745">
        <v>1368</v>
      </c>
      <c r="N745">
        <v>1011</v>
      </c>
      <c r="O745" t="s">
        <v>780</v>
      </c>
      <c r="P745" t="s">
        <v>780</v>
      </c>
      <c r="Q745">
        <v>1</v>
      </c>
      <c r="X745">
        <v>0.27</v>
      </c>
      <c r="Y745">
        <v>0</v>
      </c>
      <c r="Z745">
        <v>30.85</v>
      </c>
      <c r="AA745">
        <v>13.03</v>
      </c>
      <c r="AB745">
        <v>0</v>
      </c>
      <c r="AC745">
        <v>0</v>
      </c>
      <c r="AD745">
        <v>1</v>
      </c>
      <c r="AE745">
        <v>0</v>
      </c>
      <c r="AF745" t="s">
        <v>126</v>
      </c>
      <c r="AG745">
        <v>0.388125</v>
      </c>
      <c r="AH745">
        <v>2</v>
      </c>
      <c r="AI745">
        <v>31030277</v>
      </c>
      <c r="AJ745">
        <v>714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</row>
    <row r="746" spans="1:44">
      <c r="A746">
        <f>ROW(Source!A276)</f>
        <v>276</v>
      </c>
      <c r="B746">
        <v>31030290</v>
      </c>
      <c r="C746">
        <v>31030273</v>
      </c>
      <c r="D746">
        <v>29149520</v>
      </c>
      <c r="E746">
        <v>1</v>
      </c>
      <c r="F746">
        <v>1</v>
      </c>
      <c r="G746">
        <v>1</v>
      </c>
      <c r="H746">
        <v>2</v>
      </c>
      <c r="I746" t="s">
        <v>790</v>
      </c>
      <c r="J746" t="s">
        <v>791</v>
      </c>
      <c r="K746" t="s">
        <v>792</v>
      </c>
      <c r="L746">
        <v>1368</v>
      </c>
      <c r="N746">
        <v>1011</v>
      </c>
      <c r="O746" t="s">
        <v>780</v>
      </c>
      <c r="P746" t="s">
        <v>780</v>
      </c>
      <c r="Q746">
        <v>1</v>
      </c>
      <c r="X746">
        <v>0.44</v>
      </c>
      <c r="Y746">
        <v>0</v>
      </c>
      <c r="Z746">
        <v>91.62</v>
      </c>
      <c r="AA746">
        <v>0</v>
      </c>
      <c r="AB746">
        <v>0</v>
      </c>
      <c r="AC746">
        <v>0</v>
      </c>
      <c r="AD746">
        <v>1</v>
      </c>
      <c r="AE746">
        <v>0</v>
      </c>
      <c r="AF746" t="s">
        <v>126</v>
      </c>
      <c r="AG746">
        <v>0.63249999999999995</v>
      </c>
      <c r="AH746">
        <v>2</v>
      </c>
      <c r="AI746">
        <v>31030278</v>
      </c>
      <c r="AJ746">
        <v>715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</row>
    <row r="747" spans="1:44">
      <c r="A747">
        <f>ROW(Source!A276)</f>
        <v>276</v>
      </c>
      <c r="B747">
        <v>31030291</v>
      </c>
      <c r="C747">
        <v>31030273</v>
      </c>
      <c r="D747">
        <v>29150669</v>
      </c>
      <c r="E747">
        <v>1</v>
      </c>
      <c r="F747">
        <v>1</v>
      </c>
      <c r="G747">
        <v>1</v>
      </c>
      <c r="H747">
        <v>3</v>
      </c>
      <c r="I747" t="s">
        <v>1246</v>
      </c>
      <c r="J747" t="s">
        <v>1247</v>
      </c>
      <c r="K747" t="s">
        <v>1248</v>
      </c>
      <c r="L747">
        <v>1348</v>
      </c>
      <c r="N747">
        <v>1009</v>
      </c>
      <c r="O747" t="s">
        <v>137</v>
      </c>
      <c r="P747" t="s">
        <v>137</v>
      </c>
      <c r="Q747">
        <v>1000</v>
      </c>
      <c r="X747">
        <v>6.9999999999999999E-4</v>
      </c>
      <c r="Y747">
        <v>12958.31</v>
      </c>
      <c r="Z747">
        <v>0</v>
      </c>
      <c r="AA747">
        <v>0</v>
      </c>
      <c r="AB747">
        <v>0</v>
      </c>
      <c r="AC747">
        <v>0</v>
      </c>
      <c r="AD747">
        <v>1</v>
      </c>
      <c r="AE747">
        <v>0</v>
      </c>
      <c r="AF747" t="s">
        <v>6</v>
      </c>
      <c r="AG747">
        <v>6.9999999999999999E-4</v>
      </c>
      <c r="AH747">
        <v>2</v>
      </c>
      <c r="AI747">
        <v>31030279</v>
      </c>
      <c r="AJ747">
        <v>716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</row>
    <row r="748" spans="1:44">
      <c r="A748">
        <f>ROW(Source!A276)</f>
        <v>276</v>
      </c>
      <c r="B748">
        <v>31030292</v>
      </c>
      <c r="C748">
        <v>31030273</v>
      </c>
      <c r="D748">
        <v>29150746</v>
      </c>
      <c r="E748">
        <v>1</v>
      </c>
      <c r="F748">
        <v>1</v>
      </c>
      <c r="G748">
        <v>1</v>
      </c>
      <c r="H748">
        <v>3</v>
      </c>
      <c r="I748" t="s">
        <v>1225</v>
      </c>
      <c r="J748" t="s">
        <v>1226</v>
      </c>
      <c r="K748" t="s">
        <v>1227</v>
      </c>
      <c r="L748">
        <v>1348</v>
      </c>
      <c r="N748">
        <v>1009</v>
      </c>
      <c r="O748" t="s">
        <v>137</v>
      </c>
      <c r="P748" t="s">
        <v>137</v>
      </c>
      <c r="Q748">
        <v>1000</v>
      </c>
      <c r="X748">
        <v>1.4E-3</v>
      </c>
      <c r="Y748">
        <v>10600</v>
      </c>
      <c r="Z748">
        <v>0</v>
      </c>
      <c r="AA748">
        <v>0</v>
      </c>
      <c r="AB748">
        <v>0</v>
      </c>
      <c r="AC748">
        <v>0</v>
      </c>
      <c r="AD748">
        <v>1</v>
      </c>
      <c r="AE748">
        <v>0</v>
      </c>
      <c r="AF748" t="s">
        <v>6</v>
      </c>
      <c r="AG748">
        <v>1.4E-3</v>
      </c>
      <c r="AH748">
        <v>2</v>
      </c>
      <c r="AI748">
        <v>31030280</v>
      </c>
      <c r="AJ748">
        <v>717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</row>
    <row r="749" spans="1:44">
      <c r="A749">
        <f>ROW(Source!A276)</f>
        <v>276</v>
      </c>
      <c r="B749">
        <v>31030293</v>
      </c>
      <c r="C749">
        <v>31030273</v>
      </c>
      <c r="D749">
        <v>29150988</v>
      </c>
      <c r="E749">
        <v>1</v>
      </c>
      <c r="F749">
        <v>1</v>
      </c>
      <c r="G749">
        <v>1</v>
      </c>
      <c r="H749">
        <v>3</v>
      </c>
      <c r="I749" t="s">
        <v>1228</v>
      </c>
      <c r="J749" t="s">
        <v>1229</v>
      </c>
      <c r="K749" t="s">
        <v>1230</v>
      </c>
      <c r="L749">
        <v>1348</v>
      </c>
      <c r="N749">
        <v>1009</v>
      </c>
      <c r="O749" t="s">
        <v>137</v>
      </c>
      <c r="P749" t="s">
        <v>137</v>
      </c>
      <c r="Q749">
        <v>1000</v>
      </c>
      <c r="X749">
        <v>6.9999999999999999E-4</v>
      </c>
      <c r="Y749">
        <v>18685</v>
      </c>
      <c r="Z749">
        <v>0</v>
      </c>
      <c r="AA749">
        <v>0</v>
      </c>
      <c r="AB749">
        <v>0</v>
      </c>
      <c r="AC749">
        <v>0</v>
      </c>
      <c r="AD749">
        <v>1</v>
      </c>
      <c r="AE749">
        <v>0</v>
      </c>
      <c r="AF749" t="s">
        <v>6</v>
      </c>
      <c r="AG749">
        <v>6.9999999999999999E-4</v>
      </c>
      <c r="AH749">
        <v>2</v>
      </c>
      <c r="AI749">
        <v>31030281</v>
      </c>
      <c r="AJ749">
        <v>718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</row>
    <row r="750" spans="1:44">
      <c r="A750">
        <f>ROW(Source!A276)</f>
        <v>276</v>
      </c>
      <c r="B750">
        <v>31030294</v>
      </c>
      <c r="C750">
        <v>31030273</v>
      </c>
      <c r="D750">
        <v>29151632</v>
      </c>
      <c r="E750">
        <v>1</v>
      </c>
      <c r="F750">
        <v>1</v>
      </c>
      <c r="G750">
        <v>1</v>
      </c>
      <c r="H750">
        <v>3</v>
      </c>
      <c r="I750" t="s">
        <v>1283</v>
      </c>
      <c r="J750" t="s">
        <v>1284</v>
      </c>
      <c r="K750" t="s">
        <v>1285</v>
      </c>
      <c r="L750">
        <v>1348</v>
      </c>
      <c r="N750">
        <v>1009</v>
      </c>
      <c r="O750" t="s">
        <v>137</v>
      </c>
      <c r="P750" t="s">
        <v>137</v>
      </c>
      <c r="Q750">
        <v>1000</v>
      </c>
      <c r="X750">
        <v>2E-3</v>
      </c>
      <c r="Y750">
        <v>1836</v>
      </c>
      <c r="Z750">
        <v>0</v>
      </c>
      <c r="AA750">
        <v>0</v>
      </c>
      <c r="AB750">
        <v>0</v>
      </c>
      <c r="AC750">
        <v>0</v>
      </c>
      <c r="AD750">
        <v>1</v>
      </c>
      <c r="AE750">
        <v>0</v>
      </c>
      <c r="AF750" t="s">
        <v>6</v>
      </c>
      <c r="AG750">
        <v>2E-3</v>
      </c>
      <c r="AH750">
        <v>2</v>
      </c>
      <c r="AI750">
        <v>31030282</v>
      </c>
      <c r="AJ750">
        <v>719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</row>
    <row r="751" spans="1:44">
      <c r="A751">
        <f>ROW(Source!A276)</f>
        <v>276</v>
      </c>
      <c r="B751">
        <v>31030295</v>
      </c>
      <c r="C751">
        <v>31030273</v>
      </c>
      <c r="D751">
        <v>29151931</v>
      </c>
      <c r="E751">
        <v>1</v>
      </c>
      <c r="F751">
        <v>1</v>
      </c>
      <c r="G751">
        <v>1</v>
      </c>
      <c r="H751">
        <v>3</v>
      </c>
      <c r="I751" t="s">
        <v>1231</v>
      </c>
      <c r="J751" t="s">
        <v>1232</v>
      </c>
      <c r="K751" t="s">
        <v>1233</v>
      </c>
      <c r="L751">
        <v>1346</v>
      </c>
      <c r="N751">
        <v>1009</v>
      </c>
      <c r="O751" t="s">
        <v>118</v>
      </c>
      <c r="P751" t="s">
        <v>118</v>
      </c>
      <c r="Q751">
        <v>1</v>
      </c>
      <c r="X751">
        <v>0.6</v>
      </c>
      <c r="Y751">
        <v>37.29</v>
      </c>
      <c r="Z751">
        <v>0</v>
      </c>
      <c r="AA751">
        <v>0</v>
      </c>
      <c r="AB751">
        <v>0</v>
      </c>
      <c r="AC751">
        <v>0</v>
      </c>
      <c r="AD751">
        <v>1</v>
      </c>
      <c r="AE751">
        <v>0</v>
      </c>
      <c r="AF751" t="s">
        <v>6</v>
      </c>
      <c r="AG751">
        <v>0.6</v>
      </c>
      <c r="AH751">
        <v>2</v>
      </c>
      <c r="AI751">
        <v>31030283</v>
      </c>
      <c r="AJ751">
        <v>720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</row>
    <row r="752" spans="1:44">
      <c r="A752">
        <f>ROW(Source!A276)</f>
        <v>276</v>
      </c>
      <c r="B752">
        <v>31030296</v>
      </c>
      <c r="C752">
        <v>31030273</v>
      </c>
      <c r="D752">
        <v>29152801</v>
      </c>
      <c r="E752">
        <v>1</v>
      </c>
      <c r="F752">
        <v>1</v>
      </c>
      <c r="G752">
        <v>1</v>
      </c>
      <c r="H752">
        <v>3</v>
      </c>
      <c r="I752" t="s">
        <v>1286</v>
      </c>
      <c r="J752" t="s">
        <v>1287</v>
      </c>
      <c r="K752" t="s">
        <v>1288</v>
      </c>
      <c r="L752">
        <v>1348</v>
      </c>
      <c r="N752">
        <v>1009</v>
      </c>
      <c r="O752" t="s">
        <v>137</v>
      </c>
      <c r="P752" t="s">
        <v>137</v>
      </c>
      <c r="Q752">
        <v>1000</v>
      </c>
      <c r="X752">
        <v>1E-4</v>
      </c>
      <c r="Y752">
        <v>16443.330000000002</v>
      </c>
      <c r="Z752">
        <v>0</v>
      </c>
      <c r="AA752">
        <v>0</v>
      </c>
      <c r="AB752">
        <v>0</v>
      </c>
      <c r="AC752">
        <v>0</v>
      </c>
      <c r="AD752">
        <v>1</v>
      </c>
      <c r="AE752">
        <v>0</v>
      </c>
      <c r="AF752" t="s">
        <v>6</v>
      </c>
      <c r="AG752">
        <v>1E-4</v>
      </c>
      <c r="AH752">
        <v>2</v>
      </c>
      <c r="AI752">
        <v>31030284</v>
      </c>
      <c r="AJ752">
        <v>721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</row>
    <row r="753" spans="1:44">
      <c r="A753">
        <f>ROW(Source!A276)</f>
        <v>276</v>
      </c>
      <c r="B753">
        <v>31030297</v>
      </c>
      <c r="C753">
        <v>31030273</v>
      </c>
      <c r="D753">
        <v>29176464</v>
      </c>
      <c r="E753">
        <v>1</v>
      </c>
      <c r="F753">
        <v>1</v>
      </c>
      <c r="G753">
        <v>1</v>
      </c>
      <c r="H753">
        <v>3</v>
      </c>
      <c r="I753" t="s">
        <v>1289</v>
      </c>
      <c r="J753" t="s">
        <v>1290</v>
      </c>
      <c r="K753" t="s">
        <v>1291</v>
      </c>
      <c r="L753">
        <v>1035</v>
      </c>
      <c r="N753">
        <v>1013</v>
      </c>
      <c r="O753" t="s">
        <v>292</v>
      </c>
      <c r="P753" t="s">
        <v>292</v>
      </c>
      <c r="Q753">
        <v>1</v>
      </c>
      <c r="X753">
        <v>10</v>
      </c>
      <c r="Y753">
        <v>5650</v>
      </c>
      <c r="Z753">
        <v>0</v>
      </c>
      <c r="AA753">
        <v>0</v>
      </c>
      <c r="AB753">
        <v>0</v>
      </c>
      <c r="AC753">
        <v>0</v>
      </c>
      <c r="AD753">
        <v>1</v>
      </c>
      <c r="AE753">
        <v>0</v>
      </c>
      <c r="AF753" t="s">
        <v>6</v>
      </c>
      <c r="AG753">
        <v>10</v>
      </c>
      <c r="AH753">
        <v>2</v>
      </c>
      <c r="AI753">
        <v>31030285</v>
      </c>
      <c r="AJ753">
        <v>722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</row>
    <row r="754" spans="1:44">
      <c r="A754">
        <f>ROW(Source!A279)</f>
        <v>279</v>
      </c>
      <c r="B754">
        <v>31030308</v>
      </c>
      <c r="C754">
        <v>31030300</v>
      </c>
      <c r="D754">
        <v>29084611</v>
      </c>
      <c r="E754">
        <v>1</v>
      </c>
      <c r="F754">
        <v>1</v>
      </c>
      <c r="G754">
        <v>1</v>
      </c>
      <c r="H754">
        <v>1</v>
      </c>
      <c r="I754" t="s">
        <v>1292</v>
      </c>
      <c r="J754" t="s">
        <v>6</v>
      </c>
      <c r="K754" t="s">
        <v>1293</v>
      </c>
      <c r="L754">
        <v>1369</v>
      </c>
      <c r="N754">
        <v>1013</v>
      </c>
      <c r="O754" t="s">
        <v>773</v>
      </c>
      <c r="P754" t="s">
        <v>773</v>
      </c>
      <c r="Q754">
        <v>1</v>
      </c>
      <c r="X754">
        <v>15.2</v>
      </c>
      <c r="Y754">
        <v>0</v>
      </c>
      <c r="Z754">
        <v>0</v>
      </c>
      <c r="AA754">
        <v>0</v>
      </c>
      <c r="AB754">
        <v>9.08</v>
      </c>
      <c r="AC754">
        <v>0</v>
      </c>
      <c r="AD754">
        <v>1</v>
      </c>
      <c r="AE754">
        <v>1</v>
      </c>
      <c r="AF754" t="s">
        <v>669</v>
      </c>
      <c r="AG754">
        <v>18.239999999999998</v>
      </c>
      <c r="AH754">
        <v>2</v>
      </c>
      <c r="AI754">
        <v>31030301</v>
      </c>
      <c r="AJ754">
        <v>723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</row>
    <row r="755" spans="1:44">
      <c r="A755">
        <f>ROW(Source!A279)</f>
        <v>279</v>
      </c>
      <c r="B755">
        <v>31030309</v>
      </c>
      <c r="C755">
        <v>31030300</v>
      </c>
      <c r="D755">
        <v>29084573</v>
      </c>
      <c r="E755">
        <v>1</v>
      </c>
      <c r="F755">
        <v>1</v>
      </c>
      <c r="G755">
        <v>1</v>
      </c>
      <c r="H755">
        <v>1</v>
      </c>
      <c r="I755" t="s">
        <v>774</v>
      </c>
      <c r="J755" t="s">
        <v>6</v>
      </c>
      <c r="K755" t="s">
        <v>775</v>
      </c>
      <c r="L755">
        <v>608254</v>
      </c>
      <c r="N755">
        <v>1013</v>
      </c>
      <c r="O755" t="s">
        <v>776</v>
      </c>
      <c r="P755" t="s">
        <v>776</v>
      </c>
      <c r="Q755">
        <v>1</v>
      </c>
      <c r="X755">
        <v>0.02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1</v>
      </c>
      <c r="AE755">
        <v>2</v>
      </c>
      <c r="AF755" t="s">
        <v>669</v>
      </c>
      <c r="AG755">
        <v>2.4E-2</v>
      </c>
      <c r="AH755">
        <v>2</v>
      </c>
      <c r="AI755">
        <v>31030302</v>
      </c>
      <c r="AJ755">
        <v>724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</row>
    <row r="756" spans="1:44">
      <c r="A756">
        <f>ROW(Source!A279)</f>
        <v>279</v>
      </c>
      <c r="B756">
        <v>31030310</v>
      </c>
      <c r="C756">
        <v>31030300</v>
      </c>
      <c r="D756">
        <v>29147590</v>
      </c>
      <c r="E756">
        <v>1</v>
      </c>
      <c r="F756">
        <v>1</v>
      </c>
      <c r="G756">
        <v>1</v>
      </c>
      <c r="H756">
        <v>2</v>
      </c>
      <c r="I756" t="s">
        <v>1294</v>
      </c>
      <c r="J756" t="s">
        <v>1295</v>
      </c>
      <c r="K756" t="s">
        <v>1296</v>
      </c>
      <c r="L756">
        <v>1368</v>
      </c>
      <c r="N756">
        <v>1011</v>
      </c>
      <c r="O756" t="s">
        <v>780</v>
      </c>
      <c r="P756" t="s">
        <v>780</v>
      </c>
      <c r="Q756">
        <v>1</v>
      </c>
      <c r="X756">
        <v>0.02</v>
      </c>
      <c r="Y756">
        <v>0</v>
      </c>
      <c r="Z756">
        <v>131.11000000000001</v>
      </c>
      <c r="AA756">
        <v>13.03</v>
      </c>
      <c r="AB756">
        <v>0</v>
      </c>
      <c r="AC756">
        <v>0</v>
      </c>
      <c r="AD756">
        <v>1</v>
      </c>
      <c r="AE756">
        <v>0</v>
      </c>
      <c r="AF756" t="s">
        <v>669</v>
      </c>
      <c r="AG756">
        <v>2.4E-2</v>
      </c>
      <c r="AH756">
        <v>2</v>
      </c>
      <c r="AI756">
        <v>31030303</v>
      </c>
      <c r="AJ756">
        <v>725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</row>
    <row r="757" spans="1:44">
      <c r="A757">
        <f>ROW(Source!A279)</f>
        <v>279</v>
      </c>
      <c r="B757">
        <v>31030311</v>
      </c>
      <c r="C757">
        <v>31030300</v>
      </c>
      <c r="D757">
        <v>29149520</v>
      </c>
      <c r="E757">
        <v>1</v>
      </c>
      <c r="F757">
        <v>1</v>
      </c>
      <c r="G757">
        <v>1</v>
      </c>
      <c r="H757">
        <v>2</v>
      </c>
      <c r="I757" t="s">
        <v>790</v>
      </c>
      <c r="J757" t="s">
        <v>791</v>
      </c>
      <c r="K757" t="s">
        <v>792</v>
      </c>
      <c r="L757">
        <v>1368</v>
      </c>
      <c r="N757">
        <v>1011</v>
      </c>
      <c r="O757" t="s">
        <v>780</v>
      </c>
      <c r="P757" t="s">
        <v>780</v>
      </c>
      <c r="Q757">
        <v>1</v>
      </c>
      <c r="X757">
        <v>0.01</v>
      </c>
      <c r="Y757">
        <v>0</v>
      </c>
      <c r="Z757">
        <v>91.62</v>
      </c>
      <c r="AA757">
        <v>0</v>
      </c>
      <c r="AB757">
        <v>0</v>
      </c>
      <c r="AC757">
        <v>0</v>
      </c>
      <c r="AD757">
        <v>1</v>
      </c>
      <c r="AE757">
        <v>0</v>
      </c>
      <c r="AF757" t="s">
        <v>669</v>
      </c>
      <c r="AG757">
        <v>1.2E-2</v>
      </c>
      <c r="AH757">
        <v>2</v>
      </c>
      <c r="AI757">
        <v>31030304</v>
      </c>
      <c r="AJ757">
        <v>726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</row>
    <row r="758" spans="1:44">
      <c r="A758">
        <f>ROW(Source!A279)</f>
        <v>279</v>
      </c>
      <c r="B758">
        <v>31030312</v>
      </c>
      <c r="C758">
        <v>31030300</v>
      </c>
      <c r="D758">
        <v>29152349</v>
      </c>
      <c r="E758">
        <v>1</v>
      </c>
      <c r="F758">
        <v>1</v>
      </c>
      <c r="G758">
        <v>1</v>
      </c>
      <c r="H758">
        <v>3</v>
      </c>
      <c r="I758" t="s">
        <v>1297</v>
      </c>
      <c r="J758" t="s">
        <v>1298</v>
      </c>
      <c r="K758" t="s">
        <v>1299</v>
      </c>
      <c r="L758">
        <v>1346</v>
      </c>
      <c r="N758">
        <v>1009</v>
      </c>
      <c r="O758" t="s">
        <v>118</v>
      </c>
      <c r="P758" t="s">
        <v>118</v>
      </c>
      <c r="Q758">
        <v>1</v>
      </c>
      <c r="X758">
        <v>0.3</v>
      </c>
      <c r="Y758">
        <v>28.6</v>
      </c>
      <c r="Z758">
        <v>0</v>
      </c>
      <c r="AA758">
        <v>0</v>
      </c>
      <c r="AB758">
        <v>0</v>
      </c>
      <c r="AC758">
        <v>0</v>
      </c>
      <c r="AD758">
        <v>1</v>
      </c>
      <c r="AE758">
        <v>0</v>
      </c>
      <c r="AF758" t="s">
        <v>6</v>
      </c>
      <c r="AG758">
        <v>0.3</v>
      </c>
      <c r="AH758">
        <v>2</v>
      </c>
      <c r="AI758">
        <v>31030305</v>
      </c>
      <c r="AJ758">
        <v>727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</row>
    <row r="759" spans="1:44">
      <c r="A759">
        <f>ROW(Source!A279)</f>
        <v>279</v>
      </c>
      <c r="B759">
        <v>31030313</v>
      </c>
      <c r="C759">
        <v>31030300</v>
      </c>
      <c r="D759">
        <v>29203123</v>
      </c>
      <c r="E759">
        <v>1</v>
      </c>
      <c r="F759">
        <v>1</v>
      </c>
      <c r="G759">
        <v>1</v>
      </c>
      <c r="H759">
        <v>3</v>
      </c>
      <c r="I759" t="s">
        <v>1300</v>
      </c>
      <c r="J759" t="s">
        <v>1301</v>
      </c>
      <c r="K759" t="s">
        <v>1302</v>
      </c>
      <c r="L759">
        <v>1346</v>
      </c>
      <c r="N759">
        <v>1009</v>
      </c>
      <c r="O759" t="s">
        <v>118</v>
      </c>
      <c r="P759" t="s">
        <v>118</v>
      </c>
      <c r="Q759">
        <v>1</v>
      </c>
      <c r="X759">
        <v>0.53</v>
      </c>
      <c r="Y759">
        <v>45.39</v>
      </c>
      <c r="Z759">
        <v>0</v>
      </c>
      <c r="AA759">
        <v>0</v>
      </c>
      <c r="AB759">
        <v>0</v>
      </c>
      <c r="AC759">
        <v>0</v>
      </c>
      <c r="AD759">
        <v>1</v>
      </c>
      <c r="AE759">
        <v>0</v>
      </c>
      <c r="AF759" t="s">
        <v>6</v>
      </c>
      <c r="AG759">
        <v>0.53</v>
      </c>
      <c r="AH759">
        <v>2</v>
      </c>
      <c r="AI759">
        <v>31030306</v>
      </c>
      <c r="AJ759">
        <v>728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</row>
    <row r="760" spans="1:44">
      <c r="A760">
        <f>ROW(Source!A279)</f>
        <v>279</v>
      </c>
      <c r="B760">
        <v>31030314</v>
      </c>
      <c r="C760">
        <v>31030300</v>
      </c>
      <c r="D760">
        <v>29215987</v>
      </c>
      <c r="E760">
        <v>1</v>
      </c>
      <c r="F760">
        <v>1</v>
      </c>
      <c r="G760">
        <v>1</v>
      </c>
      <c r="H760">
        <v>3</v>
      </c>
      <c r="I760" t="s">
        <v>1303</v>
      </c>
      <c r="J760" t="s">
        <v>1304</v>
      </c>
      <c r="K760" t="s">
        <v>1305</v>
      </c>
      <c r="L760">
        <v>1344</v>
      </c>
      <c r="N760">
        <v>1008</v>
      </c>
      <c r="O760" t="s">
        <v>1306</v>
      </c>
      <c r="P760" t="s">
        <v>1306</v>
      </c>
      <c r="Q760">
        <v>1</v>
      </c>
      <c r="X760">
        <v>2.86</v>
      </c>
      <c r="Y760">
        <v>1</v>
      </c>
      <c r="Z760">
        <v>0</v>
      </c>
      <c r="AA760">
        <v>0</v>
      </c>
      <c r="AB760">
        <v>0</v>
      </c>
      <c r="AC760">
        <v>0</v>
      </c>
      <c r="AD760">
        <v>1</v>
      </c>
      <c r="AE760">
        <v>0</v>
      </c>
      <c r="AF760" t="s">
        <v>6</v>
      </c>
      <c r="AG760">
        <v>2.86</v>
      </c>
      <c r="AH760">
        <v>2</v>
      </c>
      <c r="AI760">
        <v>31030307</v>
      </c>
      <c r="AJ760">
        <v>729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</row>
    <row r="761" spans="1:44">
      <c r="A761">
        <f>ROW(Source!A280)</f>
        <v>280</v>
      </c>
      <c r="B761">
        <v>31030323</v>
      </c>
      <c r="C761">
        <v>31030315</v>
      </c>
      <c r="D761">
        <v>29084611</v>
      </c>
      <c r="E761">
        <v>1</v>
      </c>
      <c r="F761">
        <v>1</v>
      </c>
      <c r="G761">
        <v>1</v>
      </c>
      <c r="H761">
        <v>1</v>
      </c>
      <c r="I761" t="s">
        <v>1292</v>
      </c>
      <c r="J761" t="s">
        <v>6</v>
      </c>
      <c r="K761" t="s">
        <v>1293</v>
      </c>
      <c r="L761">
        <v>1369</v>
      </c>
      <c r="N761">
        <v>1013</v>
      </c>
      <c r="O761" t="s">
        <v>773</v>
      </c>
      <c r="P761" t="s">
        <v>773</v>
      </c>
      <c r="Q761">
        <v>1</v>
      </c>
      <c r="X761">
        <v>13.4</v>
      </c>
      <c r="Y761">
        <v>0</v>
      </c>
      <c r="Z761">
        <v>0</v>
      </c>
      <c r="AA761">
        <v>0</v>
      </c>
      <c r="AB761">
        <v>9.08</v>
      </c>
      <c r="AC761">
        <v>0</v>
      </c>
      <c r="AD761">
        <v>1</v>
      </c>
      <c r="AE761">
        <v>1</v>
      </c>
      <c r="AF761" t="s">
        <v>669</v>
      </c>
      <c r="AG761">
        <v>16.079999999999998</v>
      </c>
      <c r="AH761">
        <v>2</v>
      </c>
      <c r="AI761">
        <v>31030316</v>
      </c>
      <c r="AJ761">
        <v>730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</row>
    <row r="762" spans="1:44">
      <c r="A762">
        <f>ROW(Source!A280)</f>
        <v>280</v>
      </c>
      <c r="B762">
        <v>31030324</v>
      </c>
      <c r="C762">
        <v>31030315</v>
      </c>
      <c r="D762">
        <v>29084573</v>
      </c>
      <c r="E762">
        <v>1</v>
      </c>
      <c r="F762">
        <v>1</v>
      </c>
      <c r="G762">
        <v>1</v>
      </c>
      <c r="H762">
        <v>1</v>
      </c>
      <c r="I762" t="s">
        <v>774</v>
      </c>
      <c r="J762" t="s">
        <v>6</v>
      </c>
      <c r="K762" t="s">
        <v>775</v>
      </c>
      <c r="L762">
        <v>608254</v>
      </c>
      <c r="N762">
        <v>1013</v>
      </c>
      <c r="O762" t="s">
        <v>776</v>
      </c>
      <c r="P762" t="s">
        <v>776</v>
      </c>
      <c r="Q762">
        <v>1</v>
      </c>
      <c r="X762">
        <v>0.02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1</v>
      </c>
      <c r="AE762">
        <v>2</v>
      </c>
      <c r="AF762" t="s">
        <v>669</v>
      </c>
      <c r="AG762">
        <v>2.4E-2</v>
      </c>
      <c r="AH762">
        <v>2</v>
      </c>
      <c r="AI762">
        <v>31030317</v>
      </c>
      <c r="AJ762">
        <v>731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</row>
    <row r="763" spans="1:44">
      <c r="A763">
        <f>ROW(Source!A280)</f>
        <v>280</v>
      </c>
      <c r="B763">
        <v>31030325</v>
      </c>
      <c r="C763">
        <v>31030315</v>
      </c>
      <c r="D763">
        <v>29147590</v>
      </c>
      <c r="E763">
        <v>1</v>
      </c>
      <c r="F763">
        <v>1</v>
      </c>
      <c r="G763">
        <v>1</v>
      </c>
      <c r="H763">
        <v>2</v>
      </c>
      <c r="I763" t="s">
        <v>1294</v>
      </c>
      <c r="J763" t="s">
        <v>1295</v>
      </c>
      <c r="K763" t="s">
        <v>1296</v>
      </c>
      <c r="L763">
        <v>1368</v>
      </c>
      <c r="N763">
        <v>1011</v>
      </c>
      <c r="O763" t="s">
        <v>780</v>
      </c>
      <c r="P763" t="s">
        <v>780</v>
      </c>
      <c r="Q763">
        <v>1</v>
      </c>
      <c r="X763">
        <v>0.02</v>
      </c>
      <c r="Y763">
        <v>0</v>
      </c>
      <c r="Z763">
        <v>131.11000000000001</v>
      </c>
      <c r="AA763">
        <v>13.03</v>
      </c>
      <c r="AB763">
        <v>0</v>
      </c>
      <c r="AC763">
        <v>0</v>
      </c>
      <c r="AD763">
        <v>1</v>
      </c>
      <c r="AE763">
        <v>0</v>
      </c>
      <c r="AF763" t="s">
        <v>669</v>
      </c>
      <c r="AG763">
        <v>2.4E-2</v>
      </c>
      <c r="AH763">
        <v>2</v>
      </c>
      <c r="AI763">
        <v>31030318</v>
      </c>
      <c r="AJ763">
        <v>732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</row>
    <row r="764" spans="1:44">
      <c r="A764">
        <f>ROW(Source!A280)</f>
        <v>280</v>
      </c>
      <c r="B764">
        <v>31030326</v>
      </c>
      <c r="C764">
        <v>31030315</v>
      </c>
      <c r="D764">
        <v>29149520</v>
      </c>
      <c r="E764">
        <v>1</v>
      </c>
      <c r="F764">
        <v>1</v>
      </c>
      <c r="G764">
        <v>1</v>
      </c>
      <c r="H764">
        <v>2</v>
      </c>
      <c r="I764" t="s">
        <v>790</v>
      </c>
      <c r="J764" t="s">
        <v>791</v>
      </c>
      <c r="K764" t="s">
        <v>792</v>
      </c>
      <c r="L764">
        <v>1368</v>
      </c>
      <c r="N764">
        <v>1011</v>
      </c>
      <c r="O764" t="s">
        <v>780</v>
      </c>
      <c r="P764" t="s">
        <v>780</v>
      </c>
      <c r="Q764">
        <v>1</v>
      </c>
      <c r="X764">
        <v>0.02</v>
      </c>
      <c r="Y764">
        <v>0</v>
      </c>
      <c r="Z764">
        <v>91.62</v>
      </c>
      <c r="AA764">
        <v>0</v>
      </c>
      <c r="AB764">
        <v>0</v>
      </c>
      <c r="AC764">
        <v>0</v>
      </c>
      <c r="AD764">
        <v>1</v>
      </c>
      <c r="AE764">
        <v>0</v>
      </c>
      <c r="AF764" t="s">
        <v>669</v>
      </c>
      <c r="AG764">
        <v>2.4E-2</v>
      </c>
      <c r="AH764">
        <v>2</v>
      </c>
      <c r="AI764">
        <v>31030319</v>
      </c>
      <c r="AJ764">
        <v>733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</row>
    <row r="765" spans="1:44">
      <c r="A765">
        <f>ROW(Source!A280)</f>
        <v>280</v>
      </c>
      <c r="B765">
        <v>31030327</v>
      </c>
      <c r="C765">
        <v>31030315</v>
      </c>
      <c r="D765">
        <v>29152349</v>
      </c>
      <c r="E765">
        <v>1</v>
      </c>
      <c r="F765">
        <v>1</v>
      </c>
      <c r="G765">
        <v>1</v>
      </c>
      <c r="H765">
        <v>3</v>
      </c>
      <c r="I765" t="s">
        <v>1297</v>
      </c>
      <c r="J765" t="s">
        <v>1298</v>
      </c>
      <c r="K765" t="s">
        <v>1299</v>
      </c>
      <c r="L765">
        <v>1346</v>
      </c>
      <c r="N765">
        <v>1009</v>
      </c>
      <c r="O765" t="s">
        <v>118</v>
      </c>
      <c r="P765" t="s">
        <v>118</v>
      </c>
      <c r="Q765">
        <v>1</v>
      </c>
      <c r="X765">
        <v>0.3</v>
      </c>
      <c r="Y765">
        <v>28.6</v>
      </c>
      <c r="Z765">
        <v>0</v>
      </c>
      <c r="AA765">
        <v>0</v>
      </c>
      <c r="AB765">
        <v>0</v>
      </c>
      <c r="AC765">
        <v>0</v>
      </c>
      <c r="AD765">
        <v>1</v>
      </c>
      <c r="AE765">
        <v>0</v>
      </c>
      <c r="AF765" t="s">
        <v>6</v>
      </c>
      <c r="AG765">
        <v>0.3</v>
      </c>
      <c r="AH765">
        <v>2</v>
      </c>
      <c r="AI765">
        <v>31030320</v>
      </c>
      <c r="AJ765">
        <v>734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</row>
    <row r="766" spans="1:44">
      <c r="A766">
        <f>ROW(Source!A280)</f>
        <v>280</v>
      </c>
      <c r="B766">
        <v>31030328</v>
      </c>
      <c r="C766">
        <v>31030315</v>
      </c>
      <c r="D766">
        <v>29203123</v>
      </c>
      <c r="E766">
        <v>1</v>
      </c>
      <c r="F766">
        <v>1</v>
      </c>
      <c r="G766">
        <v>1</v>
      </c>
      <c r="H766">
        <v>3</v>
      </c>
      <c r="I766" t="s">
        <v>1300</v>
      </c>
      <c r="J766" t="s">
        <v>1301</v>
      </c>
      <c r="K766" t="s">
        <v>1302</v>
      </c>
      <c r="L766">
        <v>1346</v>
      </c>
      <c r="N766">
        <v>1009</v>
      </c>
      <c r="O766" t="s">
        <v>118</v>
      </c>
      <c r="P766" t="s">
        <v>118</v>
      </c>
      <c r="Q766">
        <v>1</v>
      </c>
      <c r="X766">
        <v>0.53</v>
      </c>
      <c r="Y766">
        <v>45.39</v>
      </c>
      <c r="Z766">
        <v>0</v>
      </c>
      <c r="AA766">
        <v>0</v>
      </c>
      <c r="AB766">
        <v>0</v>
      </c>
      <c r="AC766">
        <v>0</v>
      </c>
      <c r="AD766">
        <v>1</v>
      </c>
      <c r="AE766">
        <v>0</v>
      </c>
      <c r="AF766" t="s">
        <v>6</v>
      </c>
      <c r="AG766">
        <v>0.53</v>
      </c>
      <c r="AH766">
        <v>2</v>
      </c>
      <c r="AI766">
        <v>31030321</v>
      </c>
      <c r="AJ766">
        <v>735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</row>
    <row r="767" spans="1:44">
      <c r="A767">
        <f>ROW(Source!A280)</f>
        <v>280</v>
      </c>
      <c r="B767">
        <v>31030329</v>
      </c>
      <c r="C767">
        <v>31030315</v>
      </c>
      <c r="D767">
        <v>29215987</v>
      </c>
      <c r="E767">
        <v>1</v>
      </c>
      <c r="F767">
        <v>1</v>
      </c>
      <c r="G767">
        <v>1</v>
      </c>
      <c r="H767">
        <v>3</v>
      </c>
      <c r="I767" t="s">
        <v>1303</v>
      </c>
      <c r="J767" t="s">
        <v>1304</v>
      </c>
      <c r="K767" t="s">
        <v>1305</v>
      </c>
      <c r="L767">
        <v>1344</v>
      </c>
      <c r="N767">
        <v>1008</v>
      </c>
      <c r="O767" t="s">
        <v>1306</v>
      </c>
      <c r="P767" t="s">
        <v>1306</v>
      </c>
      <c r="Q767">
        <v>1</v>
      </c>
      <c r="X767">
        <v>2.52</v>
      </c>
      <c r="Y767">
        <v>1</v>
      </c>
      <c r="Z767">
        <v>0</v>
      </c>
      <c r="AA767">
        <v>0</v>
      </c>
      <c r="AB767">
        <v>0</v>
      </c>
      <c r="AC767">
        <v>0</v>
      </c>
      <c r="AD767">
        <v>1</v>
      </c>
      <c r="AE767">
        <v>0</v>
      </c>
      <c r="AF767" t="s">
        <v>6</v>
      </c>
      <c r="AG767">
        <v>2.52</v>
      </c>
      <c r="AH767">
        <v>2</v>
      </c>
      <c r="AI767">
        <v>31030322</v>
      </c>
      <c r="AJ767">
        <v>736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</row>
    <row r="768" spans="1:44">
      <c r="A768">
        <f>ROW(Source!A281)</f>
        <v>281</v>
      </c>
      <c r="B768">
        <v>31030341</v>
      </c>
      <c r="C768">
        <v>31030330</v>
      </c>
      <c r="D768">
        <v>29084618</v>
      </c>
      <c r="E768">
        <v>1</v>
      </c>
      <c r="F768">
        <v>1</v>
      </c>
      <c r="G768">
        <v>1</v>
      </c>
      <c r="H768">
        <v>1</v>
      </c>
      <c r="I768" t="s">
        <v>1307</v>
      </c>
      <c r="J768" t="s">
        <v>6</v>
      </c>
      <c r="K768" t="s">
        <v>1308</v>
      </c>
      <c r="L768">
        <v>1369</v>
      </c>
      <c r="N768">
        <v>1013</v>
      </c>
      <c r="O768" t="s">
        <v>773</v>
      </c>
      <c r="P768" t="s">
        <v>773</v>
      </c>
      <c r="Q768">
        <v>1</v>
      </c>
      <c r="X768">
        <v>70.64</v>
      </c>
      <c r="Y768">
        <v>0</v>
      </c>
      <c r="Z768">
        <v>0</v>
      </c>
      <c r="AA768">
        <v>0</v>
      </c>
      <c r="AB768">
        <v>9.57</v>
      </c>
      <c r="AC768">
        <v>0</v>
      </c>
      <c r="AD768">
        <v>1</v>
      </c>
      <c r="AE768">
        <v>1</v>
      </c>
      <c r="AF768" t="s">
        <v>669</v>
      </c>
      <c r="AG768">
        <v>84.768000000000001</v>
      </c>
      <c r="AH768">
        <v>2</v>
      </c>
      <c r="AI768">
        <v>31030331</v>
      </c>
      <c r="AJ768">
        <v>737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</row>
    <row r="769" spans="1:44">
      <c r="A769">
        <f>ROW(Source!A281)</f>
        <v>281</v>
      </c>
      <c r="B769">
        <v>31030342</v>
      </c>
      <c r="C769">
        <v>31030330</v>
      </c>
      <c r="D769">
        <v>29084573</v>
      </c>
      <c r="E769">
        <v>1</v>
      </c>
      <c r="F769">
        <v>1</v>
      </c>
      <c r="G769">
        <v>1</v>
      </c>
      <c r="H769">
        <v>1</v>
      </c>
      <c r="I769" t="s">
        <v>774</v>
      </c>
      <c r="J769" t="s">
        <v>6</v>
      </c>
      <c r="K769" t="s">
        <v>775</v>
      </c>
      <c r="L769">
        <v>608254</v>
      </c>
      <c r="N769">
        <v>1013</v>
      </c>
      <c r="O769" t="s">
        <v>776</v>
      </c>
      <c r="P769" t="s">
        <v>776</v>
      </c>
      <c r="Q769">
        <v>1</v>
      </c>
      <c r="X769">
        <v>0.88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1</v>
      </c>
      <c r="AE769">
        <v>2</v>
      </c>
      <c r="AF769" t="s">
        <v>669</v>
      </c>
      <c r="AG769">
        <v>1.056</v>
      </c>
      <c r="AH769">
        <v>2</v>
      </c>
      <c r="AI769">
        <v>31030332</v>
      </c>
      <c r="AJ769">
        <v>738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</row>
    <row r="770" spans="1:44">
      <c r="A770">
        <f>ROW(Source!A281)</f>
        <v>281</v>
      </c>
      <c r="B770">
        <v>31030343</v>
      </c>
      <c r="C770">
        <v>31030330</v>
      </c>
      <c r="D770">
        <v>29147590</v>
      </c>
      <c r="E770">
        <v>1</v>
      </c>
      <c r="F770">
        <v>1</v>
      </c>
      <c r="G770">
        <v>1</v>
      </c>
      <c r="H770">
        <v>2</v>
      </c>
      <c r="I770" t="s">
        <v>1294</v>
      </c>
      <c r="J770" t="s">
        <v>1295</v>
      </c>
      <c r="K770" t="s">
        <v>1296</v>
      </c>
      <c r="L770">
        <v>1368</v>
      </c>
      <c r="N770">
        <v>1011</v>
      </c>
      <c r="O770" t="s">
        <v>780</v>
      </c>
      <c r="P770" t="s">
        <v>780</v>
      </c>
      <c r="Q770">
        <v>1</v>
      </c>
      <c r="X770">
        <v>0.88</v>
      </c>
      <c r="Y770">
        <v>0</v>
      </c>
      <c r="Z770">
        <v>131.11000000000001</v>
      </c>
      <c r="AA770">
        <v>13.03</v>
      </c>
      <c r="AB770">
        <v>0</v>
      </c>
      <c r="AC770">
        <v>0</v>
      </c>
      <c r="AD770">
        <v>1</v>
      </c>
      <c r="AE770">
        <v>0</v>
      </c>
      <c r="AF770" t="s">
        <v>669</v>
      </c>
      <c r="AG770">
        <v>1.056</v>
      </c>
      <c r="AH770">
        <v>2</v>
      </c>
      <c r="AI770">
        <v>31030333</v>
      </c>
      <c r="AJ770">
        <v>739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</row>
    <row r="771" spans="1:44">
      <c r="A771">
        <f>ROW(Source!A281)</f>
        <v>281</v>
      </c>
      <c r="B771">
        <v>31030344</v>
      </c>
      <c r="C771">
        <v>31030330</v>
      </c>
      <c r="D771">
        <v>29149183</v>
      </c>
      <c r="E771">
        <v>1</v>
      </c>
      <c r="F771">
        <v>1</v>
      </c>
      <c r="G771">
        <v>1</v>
      </c>
      <c r="H771">
        <v>2</v>
      </c>
      <c r="I771" t="s">
        <v>983</v>
      </c>
      <c r="J771" t="s">
        <v>984</v>
      </c>
      <c r="K771" t="s">
        <v>985</v>
      </c>
      <c r="L771">
        <v>1368</v>
      </c>
      <c r="N771">
        <v>1011</v>
      </c>
      <c r="O771" t="s">
        <v>780</v>
      </c>
      <c r="P771" t="s">
        <v>780</v>
      </c>
      <c r="Q771">
        <v>1</v>
      </c>
      <c r="X771">
        <v>16.38</v>
      </c>
      <c r="Y771">
        <v>0</v>
      </c>
      <c r="Z771">
        <v>1.95</v>
      </c>
      <c r="AA771">
        <v>0</v>
      </c>
      <c r="AB771">
        <v>0</v>
      </c>
      <c r="AC771">
        <v>0</v>
      </c>
      <c r="AD771">
        <v>1</v>
      </c>
      <c r="AE771">
        <v>0</v>
      </c>
      <c r="AF771" t="s">
        <v>669</v>
      </c>
      <c r="AG771">
        <v>19.655999999999999</v>
      </c>
      <c r="AH771">
        <v>2</v>
      </c>
      <c r="AI771">
        <v>31030334</v>
      </c>
      <c r="AJ771">
        <v>740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</row>
    <row r="772" spans="1:44">
      <c r="A772">
        <f>ROW(Source!A281)</f>
        <v>281</v>
      </c>
      <c r="B772">
        <v>31030345</v>
      </c>
      <c r="C772">
        <v>31030330</v>
      </c>
      <c r="D772">
        <v>29149520</v>
      </c>
      <c r="E772">
        <v>1</v>
      </c>
      <c r="F772">
        <v>1</v>
      </c>
      <c r="G772">
        <v>1</v>
      </c>
      <c r="H772">
        <v>2</v>
      </c>
      <c r="I772" t="s">
        <v>790</v>
      </c>
      <c r="J772" t="s">
        <v>791</v>
      </c>
      <c r="K772" t="s">
        <v>792</v>
      </c>
      <c r="L772">
        <v>1368</v>
      </c>
      <c r="N772">
        <v>1011</v>
      </c>
      <c r="O772" t="s">
        <v>780</v>
      </c>
      <c r="P772" t="s">
        <v>780</v>
      </c>
      <c r="Q772">
        <v>1</v>
      </c>
      <c r="X772">
        <v>0.87</v>
      </c>
      <c r="Y772">
        <v>0</v>
      </c>
      <c r="Z772">
        <v>91.62</v>
      </c>
      <c r="AA772">
        <v>0</v>
      </c>
      <c r="AB772">
        <v>0</v>
      </c>
      <c r="AC772">
        <v>0</v>
      </c>
      <c r="AD772">
        <v>1</v>
      </c>
      <c r="AE772">
        <v>0</v>
      </c>
      <c r="AF772" t="s">
        <v>669</v>
      </c>
      <c r="AG772">
        <v>1.044</v>
      </c>
      <c r="AH772">
        <v>2</v>
      </c>
      <c r="AI772">
        <v>31030335</v>
      </c>
      <c r="AJ772">
        <v>741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</row>
    <row r="773" spans="1:44">
      <c r="A773">
        <f>ROW(Source!A281)</f>
        <v>281</v>
      </c>
      <c r="B773">
        <v>31030346</v>
      </c>
      <c r="C773">
        <v>31030330</v>
      </c>
      <c r="D773">
        <v>29150481</v>
      </c>
      <c r="E773">
        <v>1</v>
      </c>
      <c r="F773">
        <v>1</v>
      </c>
      <c r="G773">
        <v>1</v>
      </c>
      <c r="H773">
        <v>3</v>
      </c>
      <c r="I773" t="s">
        <v>1309</v>
      </c>
      <c r="J773" t="s">
        <v>1310</v>
      </c>
      <c r="K773" t="s">
        <v>1311</v>
      </c>
      <c r="L773">
        <v>1348</v>
      </c>
      <c r="N773">
        <v>1009</v>
      </c>
      <c r="O773" t="s">
        <v>137</v>
      </c>
      <c r="P773" t="s">
        <v>137</v>
      </c>
      <c r="Q773">
        <v>1000</v>
      </c>
      <c r="X773">
        <v>3.0599999999999998E-3</v>
      </c>
      <c r="Y773">
        <v>13505</v>
      </c>
      <c r="Z773">
        <v>0</v>
      </c>
      <c r="AA773">
        <v>0</v>
      </c>
      <c r="AB773">
        <v>0</v>
      </c>
      <c r="AC773">
        <v>0</v>
      </c>
      <c r="AD773">
        <v>1</v>
      </c>
      <c r="AE773">
        <v>0</v>
      </c>
      <c r="AF773" t="s">
        <v>6</v>
      </c>
      <c r="AG773">
        <v>3.0599999999999998E-3</v>
      </c>
      <c r="AH773">
        <v>2</v>
      </c>
      <c r="AI773">
        <v>31030336</v>
      </c>
      <c r="AJ773">
        <v>742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</row>
    <row r="774" spans="1:44">
      <c r="A774">
        <f>ROW(Source!A281)</f>
        <v>281</v>
      </c>
      <c r="B774">
        <v>31030347</v>
      </c>
      <c r="C774">
        <v>31030330</v>
      </c>
      <c r="D774">
        <v>29152725</v>
      </c>
      <c r="E774">
        <v>1</v>
      </c>
      <c r="F774">
        <v>1</v>
      </c>
      <c r="G774">
        <v>1</v>
      </c>
      <c r="H774">
        <v>3</v>
      </c>
      <c r="I774" t="s">
        <v>1312</v>
      </c>
      <c r="J774" t="s">
        <v>1313</v>
      </c>
      <c r="K774" t="s">
        <v>1314</v>
      </c>
      <c r="L774">
        <v>1346</v>
      </c>
      <c r="N774">
        <v>1009</v>
      </c>
      <c r="O774" t="s">
        <v>118</v>
      </c>
      <c r="P774" t="s">
        <v>118</v>
      </c>
      <c r="Q774">
        <v>1</v>
      </c>
      <c r="X774">
        <v>0.31</v>
      </c>
      <c r="Y774">
        <v>33.07</v>
      </c>
      <c r="Z774">
        <v>0</v>
      </c>
      <c r="AA774">
        <v>0</v>
      </c>
      <c r="AB774">
        <v>0</v>
      </c>
      <c r="AC774">
        <v>0</v>
      </c>
      <c r="AD774">
        <v>1</v>
      </c>
      <c r="AE774">
        <v>0</v>
      </c>
      <c r="AF774" t="s">
        <v>6</v>
      </c>
      <c r="AG774">
        <v>0.31</v>
      </c>
      <c r="AH774">
        <v>2</v>
      </c>
      <c r="AI774">
        <v>31030337</v>
      </c>
      <c r="AJ774">
        <v>743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</row>
    <row r="775" spans="1:44">
      <c r="A775">
        <f>ROW(Source!A281)</f>
        <v>281</v>
      </c>
      <c r="B775">
        <v>31030348</v>
      </c>
      <c r="C775">
        <v>31030330</v>
      </c>
      <c r="D775">
        <v>29154100</v>
      </c>
      <c r="E775">
        <v>1</v>
      </c>
      <c r="F775">
        <v>1</v>
      </c>
      <c r="G775">
        <v>1</v>
      </c>
      <c r="H775">
        <v>3</v>
      </c>
      <c r="I775" t="s">
        <v>1315</v>
      </c>
      <c r="J775" t="s">
        <v>1316</v>
      </c>
      <c r="K775" t="s">
        <v>1317</v>
      </c>
      <c r="L775">
        <v>1355</v>
      </c>
      <c r="N775">
        <v>1010</v>
      </c>
      <c r="O775" t="s">
        <v>680</v>
      </c>
      <c r="P775" t="s">
        <v>680</v>
      </c>
      <c r="Q775">
        <v>100</v>
      </c>
      <c r="X775">
        <v>4.08</v>
      </c>
      <c r="Y775">
        <v>93.59</v>
      </c>
      <c r="Z775">
        <v>0</v>
      </c>
      <c r="AA775">
        <v>0</v>
      </c>
      <c r="AB775">
        <v>0</v>
      </c>
      <c r="AC775">
        <v>0</v>
      </c>
      <c r="AD775">
        <v>1</v>
      </c>
      <c r="AE775">
        <v>0</v>
      </c>
      <c r="AF775" t="s">
        <v>6</v>
      </c>
      <c r="AG775">
        <v>4.08</v>
      </c>
      <c r="AH775">
        <v>2</v>
      </c>
      <c r="AI775">
        <v>31030338</v>
      </c>
      <c r="AJ775">
        <v>744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</row>
    <row r="776" spans="1:44">
      <c r="A776">
        <f>ROW(Source!A281)</f>
        <v>281</v>
      </c>
      <c r="B776">
        <v>31030349</v>
      </c>
      <c r="C776">
        <v>31030330</v>
      </c>
      <c r="D776">
        <v>29208232</v>
      </c>
      <c r="E776">
        <v>1</v>
      </c>
      <c r="F776">
        <v>1</v>
      </c>
      <c r="G776">
        <v>1</v>
      </c>
      <c r="H776">
        <v>3</v>
      </c>
      <c r="I776" t="s">
        <v>1318</v>
      </c>
      <c r="J776" t="s">
        <v>1319</v>
      </c>
      <c r="K776" t="s">
        <v>1320</v>
      </c>
      <c r="L776">
        <v>1355</v>
      </c>
      <c r="N776">
        <v>1010</v>
      </c>
      <c r="O776" t="s">
        <v>680</v>
      </c>
      <c r="P776" t="s">
        <v>680</v>
      </c>
      <c r="Q776">
        <v>100</v>
      </c>
      <c r="X776">
        <v>1.02</v>
      </c>
      <c r="Y776">
        <v>108.59</v>
      </c>
      <c r="Z776">
        <v>0</v>
      </c>
      <c r="AA776">
        <v>0</v>
      </c>
      <c r="AB776">
        <v>0</v>
      </c>
      <c r="AC776">
        <v>0</v>
      </c>
      <c r="AD776">
        <v>1</v>
      </c>
      <c r="AE776">
        <v>0</v>
      </c>
      <c r="AF776" t="s">
        <v>6</v>
      </c>
      <c r="AG776">
        <v>1.02</v>
      </c>
      <c r="AH776">
        <v>2</v>
      </c>
      <c r="AI776">
        <v>31030339</v>
      </c>
      <c r="AJ776">
        <v>745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</row>
    <row r="777" spans="1:44">
      <c r="A777">
        <f>ROW(Source!A281)</f>
        <v>281</v>
      </c>
      <c r="B777">
        <v>31030350</v>
      </c>
      <c r="C777">
        <v>31030330</v>
      </c>
      <c r="D777">
        <v>29215987</v>
      </c>
      <c r="E777">
        <v>1</v>
      </c>
      <c r="F777">
        <v>1</v>
      </c>
      <c r="G777">
        <v>1</v>
      </c>
      <c r="H777">
        <v>3</v>
      </c>
      <c r="I777" t="s">
        <v>1303</v>
      </c>
      <c r="J777" t="s">
        <v>1304</v>
      </c>
      <c r="K777" t="s">
        <v>1305</v>
      </c>
      <c r="L777">
        <v>1344</v>
      </c>
      <c r="N777">
        <v>1008</v>
      </c>
      <c r="O777" t="s">
        <v>1306</v>
      </c>
      <c r="P777" t="s">
        <v>1306</v>
      </c>
      <c r="Q777">
        <v>1</v>
      </c>
      <c r="X777">
        <v>14.01</v>
      </c>
      <c r="Y777">
        <v>1</v>
      </c>
      <c r="Z777">
        <v>0</v>
      </c>
      <c r="AA777">
        <v>0</v>
      </c>
      <c r="AB777">
        <v>0</v>
      </c>
      <c r="AC777">
        <v>0</v>
      </c>
      <c r="AD777">
        <v>1</v>
      </c>
      <c r="AE777">
        <v>0</v>
      </c>
      <c r="AF777" t="s">
        <v>6</v>
      </c>
      <c r="AG777">
        <v>14.01</v>
      </c>
      <c r="AH777">
        <v>2</v>
      </c>
      <c r="AI777">
        <v>31030340</v>
      </c>
      <c r="AJ777">
        <v>746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</row>
    <row r="778" spans="1:44">
      <c r="A778">
        <f>ROW(Source!A282)</f>
        <v>282</v>
      </c>
      <c r="B778">
        <v>31030362</v>
      </c>
      <c r="C778">
        <v>31030351</v>
      </c>
      <c r="D778">
        <v>29084618</v>
      </c>
      <c r="E778">
        <v>1</v>
      </c>
      <c r="F778">
        <v>1</v>
      </c>
      <c r="G778">
        <v>1</v>
      </c>
      <c r="H778">
        <v>1</v>
      </c>
      <c r="I778" t="s">
        <v>1307</v>
      </c>
      <c r="J778" t="s">
        <v>6</v>
      </c>
      <c r="K778" t="s">
        <v>1308</v>
      </c>
      <c r="L778">
        <v>1369</v>
      </c>
      <c r="N778">
        <v>1013</v>
      </c>
      <c r="O778" t="s">
        <v>773</v>
      </c>
      <c r="P778" t="s">
        <v>773</v>
      </c>
      <c r="Q778">
        <v>1</v>
      </c>
      <c r="X778">
        <v>31.6</v>
      </c>
      <c r="Y778">
        <v>0</v>
      </c>
      <c r="Z778">
        <v>0</v>
      </c>
      <c r="AA778">
        <v>0</v>
      </c>
      <c r="AB778">
        <v>9.57</v>
      </c>
      <c r="AC778">
        <v>0</v>
      </c>
      <c r="AD778">
        <v>1</v>
      </c>
      <c r="AE778">
        <v>1</v>
      </c>
      <c r="AF778" t="s">
        <v>669</v>
      </c>
      <c r="AG778">
        <v>37.92</v>
      </c>
      <c r="AH778">
        <v>2</v>
      </c>
      <c r="AI778">
        <v>31030352</v>
      </c>
      <c r="AJ778">
        <v>747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</row>
    <row r="779" spans="1:44">
      <c r="A779">
        <f>ROW(Source!A282)</f>
        <v>282</v>
      </c>
      <c r="B779">
        <v>31030363</v>
      </c>
      <c r="C779">
        <v>31030351</v>
      </c>
      <c r="D779">
        <v>29084573</v>
      </c>
      <c r="E779">
        <v>1</v>
      </c>
      <c r="F779">
        <v>1</v>
      </c>
      <c r="G779">
        <v>1</v>
      </c>
      <c r="H779">
        <v>1</v>
      </c>
      <c r="I779" t="s">
        <v>774</v>
      </c>
      <c r="J779" t="s">
        <v>6</v>
      </c>
      <c r="K779" t="s">
        <v>775</v>
      </c>
      <c r="L779">
        <v>608254</v>
      </c>
      <c r="N779">
        <v>1013</v>
      </c>
      <c r="O779" t="s">
        <v>776</v>
      </c>
      <c r="P779" t="s">
        <v>776</v>
      </c>
      <c r="Q779">
        <v>1</v>
      </c>
      <c r="X779">
        <v>0.03</v>
      </c>
      <c r="Y779">
        <v>0</v>
      </c>
      <c r="Z779">
        <v>0</v>
      </c>
      <c r="AA779">
        <v>0</v>
      </c>
      <c r="AB779">
        <v>0</v>
      </c>
      <c r="AC779">
        <v>0</v>
      </c>
      <c r="AD779">
        <v>1</v>
      </c>
      <c r="AE779">
        <v>2</v>
      </c>
      <c r="AF779" t="s">
        <v>669</v>
      </c>
      <c r="AG779">
        <v>3.5999999999999997E-2</v>
      </c>
      <c r="AH779">
        <v>2</v>
      </c>
      <c r="AI779">
        <v>31030353</v>
      </c>
      <c r="AJ779">
        <v>748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</row>
    <row r="780" spans="1:44">
      <c r="A780">
        <f>ROW(Source!A282)</f>
        <v>282</v>
      </c>
      <c r="B780">
        <v>31030364</v>
      </c>
      <c r="C780">
        <v>31030351</v>
      </c>
      <c r="D780">
        <v>29147590</v>
      </c>
      <c r="E780">
        <v>1</v>
      </c>
      <c r="F780">
        <v>1</v>
      </c>
      <c r="G780">
        <v>1</v>
      </c>
      <c r="H780">
        <v>2</v>
      </c>
      <c r="I780" t="s">
        <v>1294</v>
      </c>
      <c r="J780" t="s">
        <v>1295</v>
      </c>
      <c r="K780" t="s">
        <v>1296</v>
      </c>
      <c r="L780">
        <v>1368</v>
      </c>
      <c r="N780">
        <v>1011</v>
      </c>
      <c r="O780" t="s">
        <v>780</v>
      </c>
      <c r="P780" t="s">
        <v>780</v>
      </c>
      <c r="Q780">
        <v>1</v>
      </c>
      <c r="X780">
        <v>0.03</v>
      </c>
      <c r="Y780">
        <v>0</v>
      </c>
      <c r="Z780">
        <v>131.11000000000001</v>
      </c>
      <c r="AA780">
        <v>13.03</v>
      </c>
      <c r="AB780">
        <v>0</v>
      </c>
      <c r="AC780">
        <v>0</v>
      </c>
      <c r="AD780">
        <v>1</v>
      </c>
      <c r="AE780">
        <v>0</v>
      </c>
      <c r="AF780" t="s">
        <v>669</v>
      </c>
      <c r="AG780">
        <v>3.5999999999999997E-2</v>
      </c>
      <c r="AH780">
        <v>2</v>
      </c>
      <c r="AI780">
        <v>31030354</v>
      </c>
      <c r="AJ780">
        <v>749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</row>
    <row r="781" spans="1:44">
      <c r="A781">
        <f>ROW(Source!A282)</f>
        <v>282</v>
      </c>
      <c r="B781">
        <v>31030365</v>
      </c>
      <c r="C781">
        <v>31030351</v>
      </c>
      <c r="D781">
        <v>29149183</v>
      </c>
      <c r="E781">
        <v>1</v>
      </c>
      <c r="F781">
        <v>1</v>
      </c>
      <c r="G781">
        <v>1</v>
      </c>
      <c r="H781">
        <v>2</v>
      </c>
      <c r="I781" t="s">
        <v>983</v>
      </c>
      <c r="J781" t="s">
        <v>984</v>
      </c>
      <c r="K781" t="s">
        <v>985</v>
      </c>
      <c r="L781">
        <v>1368</v>
      </c>
      <c r="N781">
        <v>1011</v>
      </c>
      <c r="O781" t="s">
        <v>780</v>
      </c>
      <c r="P781" t="s">
        <v>780</v>
      </c>
      <c r="Q781">
        <v>1</v>
      </c>
      <c r="X781">
        <v>4.0999999999999996</v>
      </c>
      <c r="Y781">
        <v>0</v>
      </c>
      <c r="Z781">
        <v>1.95</v>
      </c>
      <c r="AA781">
        <v>0</v>
      </c>
      <c r="AB781">
        <v>0</v>
      </c>
      <c r="AC781">
        <v>0</v>
      </c>
      <c r="AD781">
        <v>1</v>
      </c>
      <c r="AE781">
        <v>0</v>
      </c>
      <c r="AF781" t="s">
        <v>669</v>
      </c>
      <c r="AG781">
        <v>4.919999999999999</v>
      </c>
      <c r="AH781">
        <v>2</v>
      </c>
      <c r="AI781">
        <v>31030355</v>
      </c>
      <c r="AJ781">
        <v>750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</row>
    <row r="782" spans="1:44">
      <c r="A782">
        <f>ROW(Source!A282)</f>
        <v>282</v>
      </c>
      <c r="B782">
        <v>31030366</v>
      </c>
      <c r="C782">
        <v>31030351</v>
      </c>
      <c r="D782">
        <v>29149520</v>
      </c>
      <c r="E782">
        <v>1</v>
      </c>
      <c r="F782">
        <v>1</v>
      </c>
      <c r="G782">
        <v>1</v>
      </c>
      <c r="H782">
        <v>2</v>
      </c>
      <c r="I782" t="s">
        <v>790</v>
      </c>
      <c r="J782" t="s">
        <v>791</v>
      </c>
      <c r="K782" t="s">
        <v>792</v>
      </c>
      <c r="L782">
        <v>1368</v>
      </c>
      <c r="N782">
        <v>1011</v>
      </c>
      <c r="O782" t="s">
        <v>780</v>
      </c>
      <c r="P782" t="s">
        <v>780</v>
      </c>
      <c r="Q782">
        <v>1</v>
      </c>
      <c r="X782">
        <v>0.02</v>
      </c>
      <c r="Y782">
        <v>0</v>
      </c>
      <c r="Z782">
        <v>91.62</v>
      </c>
      <c r="AA782">
        <v>0</v>
      </c>
      <c r="AB782">
        <v>0</v>
      </c>
      <c r="AC782">
        <v>0</v>
      </c>
      <c r="AD782">
        <v>1</v>
      </c>
      <c r="AE782">
        <v>0</v>
      </c>
      <c r="AF782" t="s">
        <v>669</v>
      </c>
      <c r="AG782">
        <v>2.4E-2</v>
      </c>
      <c r="AH782">
        <v>2</v>
      </c>
      <c r="AI782">
        <v>31030356</v>
      </c>
      <c r="AJ782">
        <v>751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</row>
    <row r="783" spans="1:44">
      <c r="A783">
        <f>ROW(Source!A282)</f>
        <v>282</v>
      </c>
      <c r="B783">
        <v>31030367</v>
      </c>
      <c r="C783">
        <v>31030351</v>
      </c>
      <c r="D783">
        <v>29151754</v>
      </c>
      <c r="E783">
        <v>1</v>
      </c>
      <c r="F783">
        <v>1</v>
      </c>
      <c r="G783">
        <v>1</v>
      </c>
      <c r="H783">
        <v>3</v>
      </c>
      <c r="I783" t="s">
        <v>1321</v>
      </c>
      <c r="J783" t="s">
        <v>1322</v>
      </c>
      <c r="K783" t="s">
        <v>1323</v>
      </c>
      <c r="L783">
        <v>1348</v>
      </c>
      <c r="N783">
        <v>1009</v>
      </c>
      <c r="O783" t="s">
        <v>137</v>
      </c>
      <c r="P783" t="s">
        <v>137</v>
      </c>
      <c r="Q783">
        <v>1000</v>
      </c>
      <c r="X783">
        <v>1.6000000000000001E-4</v>
      </c>
      <c r="Y783">
        <v>18162</v>
      </c>
      <c r="Z783">
        <v>0</v>
      </c>
      <c r="AA783">
        <v>0</v>
      </c>
      <c r="AB783">
        <v>0</v>
      </c>
      <c r="AC783">
        <v>0</v>
      </c>
      <c r="AD783">
        <v>1</v>
      </c>
      <c r="AE783">
        <v>0</v>
      </c>
      <c r="AF783" t="s">
        <v>6</v>
      </c>
      <c r="AG783">
        <v>1.6000000000000001E-4</v>
      </c>
      <c r="AH783">
        <v>2</v>
      </c>
      <c r="AI783">
        <v>31030357</v>
      </c>
      <c r="AJ783">
        <v>752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</row>
    <row r="784" spans="1:44">
      <c r="A784">
        <f>ROW(Source!A282)</f>
        <v>282</v>
      </c>
      <c r="B784">
        <v>31030368</v>
      </c>
      <c r="C784">
        <v>31030351</v>
      </c>
      <c r="D784">
        <v>29151758</v>
      </c>
      <c r="E784">
        <v>1</v>
      </c>
      <c r="F784">
        <v>1</v>
      </c>
      <c r="G784">
        <v>1</v>
      </c>
      <c r="H784">
        <v>3</v>
      </c>
      <c r="I784" t="s">
        <v>1324</v>
      </c>
      <c r="J784" t="s">
        <v>1325</v>
      </c>
      <c r="K784" t="s">
        <v>1326</v>
      </c>
      <c r="L784">
        <v>1348</v>
      </c>
      <c r="N784">
        <v>1009</v>
      </c>
      <c r="O784" t="s">
        <v>137</v>
      </c>
      <c r="P784" t="s">
        <v>137</v>
      </c>
      <c r="Q784">
        <v>1000</v>
      </c>
      <c r="X784">
        <v>2.9999999999999997E-4</v>
      </c>
      <c r="Y784">
        <v>10207</v>
      </c>
      <c r="Z784">
        <v>0</v>
      </c>
      <c r="AA784">
        <v>0</v>
      </c>
      <c r="AB784">
        <v>0</v>
      </c>
      <c r="AC784">
        <v>0</v>
      </c>
      <c r="AD784">
        <v>1</v>
      </c>
      <c r="AE784">
        <v>0</v>
      </c>
      <c r="AF784" t="s">
        <v>6</v>
      </c>
      <c r="AG784">
        <v>2.9999999999999997E-4</v>
      </c>
      <c r="AH784">
        <v>2</v>
      </c>
      <c r="AI784">
        <v>31030358</v>
      </c>
      <c r="AJ784">
        <v>753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</row>
    <row r="785" spans="1:44">
      <c r="A785">
        <f>ROW(Source!A282)</f>
        <v>282</v>
      </c>
      <c r="B785">
        <v>31030369</v>
      </c>
      <c r="C785">
        <v>31030351</v>
      </c>
      <c r="D785">
        <v>29152725</v>
      </c>
      <c r="E785">
        <v>1</v>
      </c>
      <c r="F785">
        <v>1</v>
      </c>
      <c r="G785">
        <v>1</v>
      </c>
      <c r="H785">
        <v>3</v>
      </c>
      <c r="I785" t="s">
        <v>1312</v>
      </c>
      <c r="J785" t="s">
        <v>1313</v>
      </c>
      <c r="K785" t="s">
        <v>1314</v>
      </c>
      <c r="L785">
        <v>1346</v>
      </c>
      <c r="N785">
        <v>1009</v>
      </c>
      <c r="O785" t="s">
        <v>118</v>
      </c>
      <c r="P785" t="s">
        <v>118</v>
      </c>
      <c r="Q785">
        <v>1</v>
      </c>
      <c r="X785">
        <v>0.11</v>
      </c>
      <c r="Y785">
        <v>33.07</v>
      </c>
      <c r="Z785">
        <v>0</v>
      </c>
      <c r="AA785">
        <v>0</v>
      </c>
      <c r="AB785">
        <v>0</v>
      </c>
      <c r="AC785">
        <v>0</v>
      </c>
      <c r="AD785">
        <v>1</v>
      </c>
      <c r="AE785">
        <v>0</v>
      </c>
      <c r="AF785" t="s">
        <v>6</v>
      </c>
      <c r="AG785">
        <v>0.11</v>
      </c>
      <c r="AH785">
        <v>2</v>
      </c>
      <c r="AI785">
        <v>31030359</v>
      </c>
      <c r="AJ785">
        <v>754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</row>
    <row r="786" spans="1:44">
      <c r="A786">
        <f>ROW(Source!A282)</f>
        <v>282</v>
      </c>
      <c r="B786">
        <v>31030370</v>
      </c>
      <c r="C786">
        <v>31030351</v>
      </c>
      <c r="D786">
        <v>29154100</v>
      </c>
      <c r="E786">
        <v>1</v>
      </c>
      <c r="F786">
        <v>1</v>
      </c>
      <c r="G786">
        <v>1</v>
      </c>
      <c r="H786">
        <v>3</v>
      </c>
      <c r="I786" t="s">
        <v>1315</v>
      </c>
      <c r="J786" t="s">
        <v>1316</v>
      </c>
      <c r="K786" t="s">
        <v>1317</v>
      </c>
      <c r="L786">
        <v>1355</v>
      </c>
      <c r="N786">
        <v>1010</v>
      </c>
      <c r="O786" t="s">
        <v>680</v>
      </c>
      <c r="P786" t="s">
        <v>680</v>
      </c>
      <c r="Q786">
        <v>100</v>
      </c>
      <c r="X786">
        <v>1.02</v>
      </c>
      <c r="Y786">
        <v>93.59</v>
      </c>
      <c r="Z786">
        <v>0</v>
      </c>
      <c r="AA786">
        <v>0</v>
      </c>
      <c r="AB786">
        <v>0</v>
      </c>
      <c r="AC786">
        <v>0</v>
      </c>
      <c r="AD786">
        <v>1</v>
      </c>
      <c r="AE786">
        <v>0</v>
      </c>
      <c r="AF786" t="s">
        <v>6</v>
      </c>
      <c r="AG786">
        <v>1.02</v>
      </c>
      <c r="AH786">
        <v>2</v>
      </c>
      <c r="AI786">
        <v>31030360</v>
      </c>
      <c r="AJ786">
        <v>755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</row>
    <row r="787" spans="1:44">
      <c r="A787">
        <f>ROW(Source!A282)</f>
        <v>282</v>
      </c>
      <c r="B787">
        <v>31030371</v>
      </c>
      <c r="C787">
        <v>31030351</v>
      </c>
      <c r="D787">
        <v>29215987</v>
      </c>
      <c r="E787">
        <v>1</v>
      </c>
      <c r="F787">
        <v>1</v>
      </c>
      <c r="G787">
        <v>1</v>
      </c>
      <c r="H787">
        <v>3</v>
      </c>
      <c r="I787" t="s">
        <v>1303</v>
      </c>
      <c r="J787" t="s">
        <v>1304</v>
      </c>
      <c r="K787" t="s">
        <v>1305</v>
      </c>
      <c r="L787">
        <v>1344</v>
      </c>
      <c r="N787">
        <v>1008</v>
      </c>
      <c r="O787" t="s">
        <v>1306</v>
      </c>
      <c r="P787" t="s">
        <v>1306</v>
      </c>
      <c r="Q787">
        <v>1</v>
      </c>
      <c r="X787">
        <v>6.27</v>
      </c>
      <c r="Y787">
        <v>1</v>
      </c>
      <c r="Z787">
        <v>0</v>
      </c>
      <c r="AA787">
        <v>0</v>
      </c>
      <c r="AB787">
        <v>0</v>
      </c>
      <c r="AC787">
        <v>0</v>
      </c>
      <c r="AD787">
        <v>1</v>
      </c>
      <c r="AE787">
        <v>0</v>
      </c>
      <c r="AF787" t="s">
        <v>6</v>
      </c>
      <c r="AG787">
        <v>6.27</v>
      </c>
      <c r="AH787">
        <v>2</v>
      </c>
      <c r="AI787">
        <v>31030361</v>
      </c>
      <c r="AJ787">
        <v>756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</row>
    <row r="788" spans="1:44">
      <c r="A788">
        <f>ROW(Source!A283)</f>
        <v>283</v>
      </c>
      <c r="B788">
        <v>31030383</v>
      </c>
      <c r="C788">
        <v>31030372</v>
      </c>
      <c r="D788">
        <v>29084618</v>
      </c>
      <c r="E788">
        <v>1</v>
      </c>
      <c r="F788">
        <v>1</v>
      </c>
      <c r="G788">
        <v>1</v>
      </c>
      <c r="H788">
        <v>1</v>
      </c>
      <c r="I788" t="s">
        <v>1307</v>
      </c>
      <c r="J788" t="s">
        <v>6</v>
      </c>
      <c r="K788" t="s">
        <v>1308</v>
      </c>
      <c r="L788">
        <v>1369</v>
      </c>
      <c r="N788">
        <v>1013</v>
      </c>
      <c r="O788" t="s">
        <v>773</v>
      </c>
      <c r="P788" t="s">
        <v>773</v>
      </c>
      <c r="Q788">
        <v>1</v>
      </c>
      <c r="X788">
        <v>34.56</v>
      </c>
      <c r="Y788">
        <v>0</v>
      </c>
      <c r="Z788">
        <v>0</v>
      </c>
      <c r="AA788">
        <v>0</v>
      </c>
      <c r="AB788">
        <v>9.57</v>
      </c>
      <c r="AC788">
        <v>0</v>
      </c>
      <c r="AD788">
        <v>1</v>
      </c>
      <c r="AE788">
        <v>1</v>
      </c>
      <c r="AF788" t="s">
        <v>669</v>
      </c>
      <c r="AG788">
        <v>41.472000000000001</v>
      </c>
      <c r="AH788">
        <v>2</v>
      </c>
      <c r="AI788">
        <v>31030373</v>
      </c>
      <c r="AJ788">
        <v>757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</row>
    <row r="789" spans="1:44">
      <c r="A789">
        <f>ROW(Source!A283)</f>
        <v>283</v>
      </c>
      <c r="B789">
        <v>31030384</v>
      </c>
      <c r="C789">
        <v>31030372</v>
      </c>
      <c r="D789">
        <v>29084573</v>
      </c>
      <c r="E789">
        <v>1</v>
      </c>
      <c r="F789">
        <v>1</v>
      </c>
      <c r="G789">
        <v>1</v>
      </c>
      <c r="H789">
        <v>1</v>
      </c>
      <c r="I789" t="s">
        <v>774</v>
      </c>
      <c r="J789" t="s">
        <v>6</v>
      </c>
      <c r="K789" t="s">
        <v>775</v>
      </c>
      <c r="L789">
        <v>608254</v>
      </c>
      <c r="N789">
        <v>1013</v>
      </c>
      <c r="O789" t="s">
        <v>776</v>
      </c>
      <c r="P789" t="s">
        <v>776</v>
      </c>
      <c r="Q789">
        <v>1</v>
      </c>
      <c r="X789">
        <v>0.03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1</v>
      </c>
      <c r="AE789">
        <v>2</v>
      </c>
      <c r="AF789" t="s">
        <v>669</v>
      </c>
      <c r="AG789">
        <v>3.5999999999999997E-2</v>
      </c>
      <c r="AH789">
        <v>2</v>
      </c>
      <c r="AI789">
        <v>31030374</v>
      </c>
      <c r="AJ789">
        <v>758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</row>
    <row r="790" spans="1:44">
      <c r="A790">
        <f>ROW(Source!A283)</f>
        <v>283</v>
      </c>
      <c r="B790">
        <v>31030385</v>
      </c>
      <c r="C790">
        <v>31030372</v>
      </c>
      <c r="D790">
        <v>29147590</v>
      </c>
      <c r="E790">
        <v>1</v>
      </c>
      <c r="F790">
        <v>1</v>
      </c>
      <c r="G790">
        <v>1</v>
      </c>
      <c r="H790">
        <v>2</v>
      </c>
      <c r="I790" t="s">
        <v>1294</v>
      </c>
      <c r="J790" t="s">
        <v>1295</v>
      </c>
      <c r="K790" t="s">
        <v>1296</v>
      </c>
      <c r="L790">
        <v>1368</v>
      </c>
      <c r="N790">
        <v>1011</v>
      </c>
      <c r="O790" t="s">
        <v>780</v>
      </c>
      <c r="P790" t="s">
        <v>780</v>
      </c>
      <c r="Q790">
        <v>1</v>
      </c>
      <c r="X790">
        <v>0.03</v>
      </c>
      <c r="Y790">
        <v>0</v>
      </c>
      <c r="Z790">
        <v>131.11000000000001</v>
      </c>
      <c r="AA790">
        <v>13.03</v>
      </c>
      <c r="AB790">
        <v>0</v>
      </c>
      <c r="AC790">
        <v>0</v>
      </c>
      <c r="AD790">
        <v>1</v>
      </c>
      <c r="AE790">
        <v>0</v>
      </c>
      <c r="AF790" t="s">
        <v>669</v>
      </c>
      <c r="AG790">
        <v>3.5999999999999997E-2</v>
      </c>
      <c r="AH790">
        <v>2</v>
      </c>
      <c r="AI790">
        <v>31030375</v>
      </c>
      <c r="AJ790">
        <v>759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</row>
    <row r="791" spans="1:44">
      <c r="A791">
        <f>ROW(Source!A283)</f>
        <v>283</v>
      </c>
      <c r="B791">
        <v>31030386</v>
      </c>
      <c r="C791">
        <v>31030372</v>
      </c>
      <c r="D791">
        <v>29149183</v>
      </c>
      <c r="E791">
        <v>1</v>
      </c>
      <c r="F791">
        <v>1</v>
      </c>
      <c r="G791">
        <v>1</v>
      </c>
      <c r="H791">
        <v>2</v>
      </c>
      <c r="I791" t="s">
        <v>983</v>
      </c>
      <c r="J791" t="s">
        <v>984</v>
      </c>
      <c r="K791" t="s">
        <v>985</v>
      </c>
      <c r="L791">
        <v>1368</v>
      </c>
      <c r="N791">
        <v>1011</v>
      </c>
      <c r="O791" t="s">
        <v>780</v>
      </c>
      <c r="P791" t="s">
        <v>780</v>
      </c>
      <c r="Q791">
        <v>1</v>
      </c>
      <c r="X791">
        <v>4.0999999999999996</v>
      </c>
      <c r="Y791">
        <v>0</v>
      </c>
      <c r="Z791">
        <v>1.95</v>
      </c>
      <c r="AA791">
        <v>0</v>
      </c>
      <c r="AB791">
        <v>0</v>
      </c>
      <c r="AC791">
        <v>0</v>
      </c>
      <c r="AD791">
        <v>1</v>
      </c>
      <c r="AE791">
        <v>0</v>
      </c>
      <c r="AF791" t="s">
        <v>669</v>
      </c>
      <c r="AG791">
        <v>4.919999999999999</v>
      </c>
      <c r="AH791">
        <v>2</v>
      </c>
      <c r="AI791">
        <v>31030376</v>
      </c>
      <c r="AJ791">
        <v>760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</row>
    <row r="792" spans="1:44">
      <c r="A792">
        <f>ROW(Source!A283)</f>
        <v>283</v>
      </c>
      <c r="B792">
        <v>31030387</v>
      </c>
      <c r="C792">
        <v>31030372</v>
      </c>
      <c r="D792">
        <v>29149520</v>
      </c>
      <c r="E792">
        <v>1</v>
      </c>
      <c r="F792">
        <v>1</v>
      </c>
      <c r="G792">
        <v>1</v>
      </c>
      <c r="H792">
        <v>2</v>
      </c>
      <c r="I792" t="s">
        <v>790</v>
      </c>
      <c r="J792" t="s">
        <v>791</v>
      </c>
      <c r="K792" t="s">
        <v>792</v>
      </c>
      <c r="L792">
        <v>1368</v>
      </c>
      <c r="N792">
        <v>1011</v>
      </c>
      <c r="O792" t="s">
        <v>780</v>
      </c>
      <c r="P792" t="s">
        <v>780</v>
      </c>
      <c r="Q792">
        <v>1</v>
      </c>
      <c r="X792">
        <v>0.02</v>
      </c>
      <c r="Y792">
        <v>0</v>
      </c>
      <c r="Z792">
        <v>91.62</v>
      </c>
      <c r="AA792">
        <v>0</v>
      </c>
      <c r="AB792">
        <v>0</v>
      </c>
      <c r="AC792">
        <v>0</v>
      </c>
      <c r="AD792">
        <v>1</v>
      </c>
      <c r="AE792">
        <v>0</v>
      </c>
      <c r="AF792" t="s">
        <v>669</v>
      </c>
      <c r="AG792">
        <v>2.4E-2</v>
      </c>
      <c r="AH792">
        <v>2</v>
      </c>
      <c r="AI792">
        <v>31030377</v>
      </c>
      <c r="AJ792">
        <v>761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</row>
    <row r="793" spans="1:44">
      <c r="A793">
        <f>ROW(Source!A283)</f>
        <v>283</v>
      </c>
      <c r="B793">
        <v>31030388</v>
      </c>
      <c r="C793">
        <v>31030372</v>
      </c>
      <c r="D793">
        <v>29151754</v>
      </c>
      <c r="E793">
        <v>1</v>
      </c>
      <c r="F793">
        <v>1</v>
      </c>
      <c r="G793">
        <v>1</v>
      </c>
      <c r="H793">
        <v>3</v>
      </c>
      <c r="I793" t="s">
        <v>1321</v>
      </c>
      <c r="J793" t="s">
        <v>1322</v>
      </c>
      <c r="K793" t="s">
        <v>1323</v>
      </c>
      <c r="L793">
        <v>1348</v>
      </c>
      <c r="N793">
        <v>1009</v>
      </c>
      <c r="O793" t="s">
        <v>137</v>
      </c>
      <c r="P793" t="s">
        <v>137</v>
      </c>
      <c r="Q793">
        <v>1000</v>
      </c>
      <c r="X793">
        <v>1.6000000000000001E-4</v>
      </c>
      <c r="Y793">
        <v>18162</v>
      </c>
      <c r="Z793">
        <v>0</v>
      </c>
      <c r="AA793">
        <v>0</v>
      </c>
      <c r="AB793">
        <v>0</v>
      </c>
      <c r="AC793">
        <v>0</v>
      </c>
      <c r="AD793">
        <v>1</v>
      </c>
      <c r="AE793">
        <v>0</v>
      </c>
      <c r="AF793" t="s">
        <v>6</v>
      </c>
      <c r="AG793">
        <v>1.6000000000000001E-4</v>
      </c>
      <c r="AH793">
        <v>2</v>
      </c>
      <c r="AI793">
        <v>31030378</v>
      </c>
      <c r="AJ793">
        <v>762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</row>
    <row r="794" spans="1:44">
      <c r="A794">
        <f>ROW(Source!A283)</f>
        <v>283</v>
      </c>
      <c r="B794">
        <v>31030389</v>
      </c>
      <c r="C794">
        <v>31030372</v>
      </c>
      <c r="D794">
        <v>29151758</v>
      </c>
      <c r="E794">
        <v>1</v>
      </c>
      <c r="F794">
        <v>1</v>
      </c>
      <c r="G794">
        <v>1</v>
      </c>
      <c r="H794">
        <v>3</v>
      </c>
      <c r="I794" t="s">
        <v>1324</v>
      </c>
      <c r="J794" t="s">
        <v>1325</v>
      </c>
      <c r="K794" t="s">
        <v>1326</v>
      </c>
      <c r="L794">
        <v>1348</v>
      </c>
      <c r="N794">
        <v>1009</v>
      </c>
      <c r="O794" t="s">
        <v>137</v>
      </c>
      <c r="P794" t="s">
        <v>137</v>
      </c>
      <c r="Q794">
        <v>1000</v>
      </c>
      <c r="X794">
        <v>2.9999999999999997E-4</v>
      </c>
      <c r="Y794">
        <v>10207</v>
      </c>
      <c r="Z794">
        <v>0</v>
      </c>
      <c r="AA794">
        <v>0</v>
      </c>
      <c r="AB794">
        <v>0</v>
      </c>
      <c r="AC794">
        <v>0</v>
      </c>
      <c r="AD794">
        <v>1</v>
      </c>
      <c r="AE794">
        <v>0</v>
      </c>
      <c r="AF794" t="s">
        <v>6</v>
      </c>
      <c r="AG794">
        <v>2.9999999999999997E-4</v>
      </c>
      <c r="AH794">
        <v>2</v>
      </c>
      <c r="AI794">
        <v>31030379</v>
      </c>
      <c r="AJ794">
        <v>763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</row>
    <row r="795" spans="1:44">
      <c r="A795">
        <f>ROW(Source!A283)</f>
        <v>283</v>
      </c>
      <c r="B795">
        <v>31030390</v>
      </c>
      <c r="C795">
        <v>31030372</v>
      </c>
      <c r="D795">
        <v>29152725</v>
      </c>
      <c r="E795">
        <v>1</v>
      </c>
      <c r="F795">
        <v>1</v>
      </c>
      <c r="G795">
        <v>1</v>
      </c>
      <c r="H795">
        <v>3</v>
      </c>
      <c r="I795" t="s">
        <v>1312</v>
      </c>
      <c r="J795" t="s">
        <v>1313</v>
      </c>
      <c r="K795" t="s">
        <v>1314</v>
      </c>
      <c r="L795">
        <v>1346</v>
      </c>
      <c r="N795">
        <v>1009</v>
      </c>
      <c r="O795" t="s">
        <v>118</v>
      </c>
      <c r="P795" t="s">
        <v>118</v>
      </c>
      <c r="Q795">
        <v>1</v>
      </c>
      <c r="X795">
        <v>0.11</v>
      </c>
      <c r="Y795">
        <v>33.07</v>
      </c>
      <c r="Z795">
        <v>0</v>
      </c>
      <c r="AA795">
        <v>0</v>
      </c>
      <c r="AB795">
        <v>0</v>
      </c>
      <c r="AC795">
        <v>0</v>
      </c>
      <c r="AD795">
        <v>1</v>
      </c>
      <c r="AE795">
        <v>0</v>
      </c>
      <c r="AF795" t="s">
        <v>6</v>
      </c>
      <c r="AG795">
        <v>0.11</v>
      </c>
      <c r="AH795">
        <v>2</v>
      </c>
      <c r="AI795">
        <v>31030380</v>
      </c>
      <c r="AJ795">
        <v>764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</row>
    <row r="796" spans="1:44">
      <c r="A796">
        <f>ROW(Source!A283)</f>
        <v>283</v>
      </c>
      <c r="B796">
        <v>31030391</v>
      </c>
      <c r="C796">
        <v>31030372</v>
      </c>
      <c r="D796">
        <v>29154100</v>
      </c>
      <c r="E796">
        <v>1</v>
      </c>
      <c r="F796">
        <v>1</v>
      </c>
      <c r="G796">
        <v>1</v>
      </c>
      <c r="H796">
        <v>3</v>
      </c>
      <c r="I796" t="s">
        <v>1315</v>
      </c>
      <c r="J796" t="s">
        <v>1316</v>
      </c>
      <c r="K796" t="s">
        <v>1317</v>
      </c>
      <c r="L796">
        <v>1355</v>
      </c>
      <c r="N796">
        <v>1010</v>
      </c>
      <c r="O796" t="s">
        <v>680</v>
      </c>
      <c r="P796" t="s">
        <v>680</v>
      </c>
      <c r="Q796">
        <v>100</v>
      </c>
      <c r="X796">
        <v>1.02</v>
      </c>
      <c r="Y796">
        <v>93.59</v>
      </c>
      <c r="Z796">
        <v>0</v>
      </c>
      <c r="AA796">
        <v>0</v>
      </c>
      <c r="AB796">
        <v>0</v>
      </c>
      <c r="AC796">
        <v>0</v>
      </c>
      <c r="AD796">
        <v>1</v>
      </c>
      <c r="AE796">
        <v>0</v>
      </c>
      <c r="AF796" t="s">
        <v>6</v>
      </c>
      <c r="AG796">
        <v>1.02</v>
      </c>
      <c r="AH796">
        <v>2</v>
      </c>
      <c r="AI796">
        <v>31030381</v>
      </c>
      <c r="AJ796">
        <v>765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</row>
    <row r="797" spans="1:44">
      <c r="A797">
        <f>ROW(Source!A283)</f>
        <v>283</v>
      </c>
      <c r="B797">
        <v>31030392</v>
      </c>
      <c r="C797">
        <v>31030372</v>
      </c>
      <c r="D797">
        <v>29215987</v>
      </c>
      <c r="E797">
        <v>1</v>
      </c>
      <c r="F797">
        <v>1</v>
      </c>
      <c r="G797">
        <v>1</v>
      </c>
      <c r="H797">
        <v>3</v>
      </c>
      <c r="I797" t="s">
        <v>1303</v>
      </c>
      <c r="J797" t="s">
        <v>1304</v>
      </c>
      <c r="K797" t="s">
        <v>1305</v>
      </c>
      <c r="L797">
        <v>1344</v>
      </c>
      <c r="N797">
        <v>1008</v>
      </c>
      <c r="O797" t="s">
        <v>1306</v>
      </c>
      <c r="P797" t="s">
        <v>1306</v>
      </c>
      <c r="Q797">
        <v>1</v>
      </c>
      <c r="X797">
        <v>6.86</v>
      </c>
      <c r="Y797">
        <v>1</v>
      </c>
      <c r="Z797">
        <v>0</v>
      </c>
      <c r="AA797">
        <v>0</v>
      </c>
      <c r="AB797">
        <v>0</v>
      </c>
      <c r="AC797">
        <v>0</v>
      </c>
      <c r="AD797">
        <v>1</v>
      </c>
      <c r="AE797">
        <v>0</v>
      </c>
      <c r="AF797" t="s">
        <v>6</v>
      </c>
      <c r="AG797">
        <v>6.86</v>
      </c>
      <c r="AH797">
        <v>2</v>
      </c>
      <c r="AI797">
        <v>31030382</v>
      </c>
      <c r="AJ797">
        <v>766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Смета по ФЕР 421пр (12 гр.</vt:lpstr>
      <vt:lpstr>Source</vt:lpstr>
      <vt:lpstr>SourceObSm</vt:lpstr>
      <vt:lpstr>SmtRes</vt:lpstr>
      <vt:lpstr>EtalonRes</vt:lpstr>
      <vt:lpstr>'Смета по ФЕР 421пр (12 гр.'!Заголовки_для_печати</vt:lpstr>
      <vt:lpstr>'Смета по ФЕР 421пр (12 гр.'!Область_печати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blinova_ei</cp:lastModifiedBy>
  <dcterms:created xsi:type="dcterms:W3CDTF">2021-08-16T08:37:57Z</dcterms:created>
  <dcterms:modified xsi:type="dcterms:W3CDTF">2021-08-16T08:38:41Z</dcterms:modified>
</cp:coreProperties>
</file>